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14" activeTab="30"/>
  </bookViews>
  <sheets>
    <sheet name="31" sheetId="528" r:id="rId1"/>
    <sheet name="1" sheetId="556" r:id="rId2"/>
    <sheet name="2" sheetId="555" r:id="rId3"/>
    <sheet name="3" sheetId="554" r:id="rId4"/>
    <sheet name="4" sheetId="553" r:id="rId5"/>
    <sheet name="5" sheetId="552" r:id="rId6"/>
    <sheet name="6" sheetId="551" r:id="rId7"/>
    <sheet name="7" sheetId="550" r:id="rId8"/>
    <sheet name="8" sheetId="549" r:id="rId9"/>
    <sheet name="9" sheetId="548" r:id="rId10"/>
    <sheet name="10" sheetId="547" r:id="rId11"/>
    <sheet name="11" sheetId="546" r:id="rId12"/>
    <sheet name="12" sheetId="545" r:id="rId13"/>
    <sheet name="13" sheetId="544" r:id="rId14"/>
    <sheet name="14" sheetId="543" r:id="rId15"/>
    <sheet name="15" sheetId="542" r:id="rId16"/>
    <sheet name="16" sheetId="541" r:id="rId17"/>
    <sheet name="17" sheetId="540" r:id="rId18"/>
    <sheet name="18" sheetId="512" r:id="rId19"/>
    <sheet name="19" sheetId="539" r:id="rId20"/>
    <sheet name="20" sheetId="538" r:id="rId21"/>
    <sheet name="21" sheetId="537" r:id="rId22"/>
    <sheet name="22" sheetId="536" r:id="rId23"/>
    <sheet name="23" sheetId="535" r:id="rId24"/>
    <sheet name="24" sheetId="534" r:id="rId25"/>
    <sheet name="25" sheetId="533" r:id="rId26"/>
    <sheet name="26" sheetId="532" r:id="rId27"/>
    <sheet name="27" sheetId="531" r:id="rId28"/>
    <sheet name="28" sheetId="530" r:id="rId29"/>
    <sheet name="29" sheetId="529" r:id="rId30"/>
    <sheet name="汇总" sheetId="48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P451" i="486"/>
  <c r="O451"/>
  <c r="N451"/>
  <c r="M451"/>
  <c r="L451"/>
  <c r="K451"/>
  <c r="E451"/>
  <c r="F451"/>
  <c r="G451"/>
  <c r="H451"/>
  <c r="I451"/>
  <c r="D451"/>
  <c r="P449"/>
  <c r="O449"/>
  <c r="N449"/>
  <c r="M449"/>
  <c r="L449"/>
  <c r="K449"/>
  <c r="P448"/>
  <c r="O448"/>
  <c r="N448"/>
  <c r="M448"/>
  <c r="L448"/>
  <c r="K448"/>
  <c r="P447"/>
  <c r="O447"/>
  <c r="N447"/>
  <c r="M447"/>
  <c r="L447"/>
  <c r="K447"/>
  <c r="P446"/>
  <c r="O446"/>
  <c r="N446"/>
  <c r="M446"/>
  <c r="L446"/>
  <c r="K446"/>
  <c r="P445"/>
  <c r="O445"/>
  <c r="N445"/>
  <c r="M445"/>
  <c r="L445"/>
  <c r="K445"/>
  <c r="P444"/>
  <c r="O444"/>
  <c r="N444"/>
  <c r="M444"/>
  <c r="L444"/>
  <c r="K444"/>
  <c r="I449"/>
  <c r="H449"/>
  <c r="G449"/>
  <c r="F449"/>
  <c r="E449"/>
  <c r="D449"/>
  <c r="I448"/>
  <c r="H448"/>
  <c r="G448"/>
  <c r="F448"/>
  <c r="E448"/>
  <c r="D448"/>
  <c r="I447"/>
  <c r="H447"/>
  <c r="G447"/>
  <c r="F447"/>
  <c r="E447"/>
  <c r="D447"/>
  <c r="I446"/>
  <c r="H446"/>
  <c r="G446"/>
  <c r="F446"/>
  <c r="E446"/>
  <c r="D446"/>
  <c r="I445"/>
  <c r="H445"/>
  <c r="G445"/>
  <c r="F445"/>
  <c r="E445"/>
  <c r="D445"/>
  <c r="I444"/>
  <c r="H444"/>
  <c r="G444"/>
  <c r="F444"/>
  <c r="E444"/>
  <c r="D444"/>
  <c r="P442"/>
  <c r="O442"/>
  <c r="N442"/>
  <c r="M442"/>
  <c r="L442"/>
  <c r="K442"/>
  <c r="P441"/>
  <c r="O441"/>
  <c r="N441"/>
  <c r="M441"/>
  <c r="L441"/>
  <c r="K441"/>
  <c r="P440"/>
  <c r="O440"/>
  <c r="N440"/>
  <c r="M440"/>
  <c r="L440"/>
  <c r="K440"/>
  <c r="P439"/>
  <c r="O439"/>
  <c r="N439"/>
  <c r="M439"/>
  <c r="L439"/>
  <c r="K439"/>
  <c r="P438"/>
  <c r="O438"/>
  <c r="N438"/>
  <c r="M438"/>
  <c r="L438"/>
  <c r="K438"/>
  <c r="P437"/>
  <c r="O437"/>
  <c r="N437"/>
  <c r="M437"/>
  <c r="L437"/>
  <c r="K437"/>
  <c r="D438"/>
  <c r="E438"/>
  <c r="F438"/>
  <c r="G438"/>
  <c r="H438"/>
  <c r="I438"/>
  <c r="D439"/>
  <c r="E439"/>
  <c r="F439"/>
  <c r="G439"/>
  <c r="H439"/>
  <c r="I439"/>
  <c r="D440"/>
  <c r="E440"/>
  <c r="F440"/>
  <c r="G440"/>
  <c r="H440"/>
  <c r="I440"/>
  <c r="D441"/>
  <c r="E441"/>
  <c r="F441"/>
  <c r="G441"/>
  <c r="H441"/>
  <c r="I441"/>
  <c r="D442"/>
  <c r="E442"/>
  <c r="F442"/>
  <c r="G442"/>
  <c r="H442"/>
  <c r="I442"/>
  <c r="E437"/>
  <c r="F437"/>
  <c r="G437"/>
  <c r="H437"/>
  <c r="I437"/>
  <c r="D437"/>
  <c r="Y419"/>
  <c r="W419"/>
  <c r="S413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G417"/>
  <c r="I417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R408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P408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L408"/>
  <c r="K408"/>
  <c r="G407"/>
  <c r="H407"/>
  <c r="I407"/>
  <c r="J407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H215"/>
  <c r="I215"/>
  <c r="J215"/>
  <c r="G215"/>
  <c r="Y210"/>
  <c r="W210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G208"/>
  <c r="I208"/>
  <c r="I206"/>
  <c r="G206"/>
  <c r="E203"/>
  <c r="G203"/>
  <c r="E204"/>
  <c r="G204"/>
  <c r="G202"/>
  <c r="E202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X6"/>
  <c r="Y6"/>
  <c r="Z6"/>
  <c r="AA6"/>
  <c r="AB6"/>
  <c r="AC6"/>
  <c r="W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6"/>
  <c r="R199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P199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L199"/>
  <c r="K199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J6"/>
  <c r="H6"/>
  <c r="I6"/>
  <c r="G6"/>
  <c r="W346" i="553" l="1"/>
  <c r="X403"/>
  <c r="L408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7" a="1"/>
  <c r="V317" s="1"/>
  <c r="V10" a="1"/>
  <c r="V10" s="1"/>
  <c r="V11" a="1"/>
  <c r="V11" s="1"/>
  <c r="V12" a="1"/>
  <c r="V12" s="1"/>
  <c r="V13" a="1"/>
  <c r="V13" s="1"/>
  <c r="V14" a="1"/>
  <c r="V14" s="1"/>
  <c r="V15" a="1"/>
  <c r="V15" s="1"/>
  <c r="V16" a="1"/>
  <c r="V16" s="1"/>
  <c r="V17" a="1"/>
  <c r="V17" s="1"/>
  <c r="V18" a="1"/>
  <c r="V18" s="1"/>
  <c r="V19" a="1"/>
  <c r="V19" s="1"/>
  <c r="V20" a="1"/>
  <c r="V20" s="1"/>
  <c r="V21" a="1"/>
  <c r="V21" s="1"/>
  <c r="V22" a="1"/>
  <c r="V22" s="1"/>
  <c r="V23" a="1"/>
  <c r="V23" s="1"/>
  <c r="V24" a="1"/>
  <c r="V24" s="1"/>
  <c r="V25" a="1"/>
  <c r="V25" s="1"/>
  <c r="V26" a="1"/>
  <c r="V26" s="1"/>
  <c r="V28" a="1"/>
  <c r="V28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4" a="1"/>
  <c r="V194" s="1"/>
  <c r="V9" a="1"/>
  <c r="V9" s="1"/>
  <c r="I403"/>
  <c r="I346"/>
  <c r="I324"/>
  <c r="I321"/>
  <c r="I318"/>
  <c r="I316"/>
  <c r="I257"/>
  <c r="I236"/>
  <c r="I234"/>
  <c r="I222"/>
  <c r="I218"/>
  <c r="I194"/>
  <c r="I176"/>
  <c r="I137"/>
  <c r="I112"/>
  <c r="I107"/>
  <c r="I78"/>
  <c r="I49"/>
  <c r="I29"/>
  <c r="I27"/>
  <c r="I9"/>
  <c r="X238" i="554"/>
  <c r="X218"/>
  <c r="W38"/>
  <c r="L408" i="555"/>
  <c r="K418" i="554"/>
  <c r="G417"/>
  <c r="G416"/>
  <c r="K209"/>
  <c r="G208"/>
  <c r="G207"/>
  <c r="G416" i="555"/>
  <c r="K418"/>
  <c r="K209"/>
  <c r="G208"/>
  <c r="G207"/>
  <c r="W413" i="554"/>
  <c r="Y413"/>
  <c r="W414"/>
  <c r="Y414"/>
  <c r="W415"/>
  <c r="Y415"/>
  <c r="W416"/>
  <c r="Y416"/>
  <c r="W417"/>
  <c r="Y417"/>
  <c r="W418"/>
  <c r="Y418"/>
  <c r="W419"/>
  <c r="Y419"/>
  <c r="Y412"/>
  <c r="W412"/>
  <c r="I403"/>
  <c r="I400"/>
  <c r="V221" l="1" a="1"/>
  <c r="V221" s="1"/>
  <c r="V222" a="1"/>
  <c r="V222" s="1"/>
  <c r="V223" a="1"/>
  <c r="V223" s="1"/>
  <c r="V224" a="1"/>
  <c r="V224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6" a="1"/>
  <c r="V36" s="1"/>
  <c r="V37" a="1"/>
  <c r="V37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6" a="1"/>
  <c r="V106" s="1"/>
  <c r="V107" a="1"/>
  <c r="V107" s="1"/>
  <c r="V108" a="1"/>
  <c r="V108" s="1"/>
  <c r="V109" a="1"/>
  <c r="V109" s="1"/>
  <c r="V110" a="1"/>
  <c r="V110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I385" l="1"/>
  <c r="I378"/>
  <c r="I321"/>
  <c r="I320"/>
  <c r="I287"/>
  <c r="I258"/>
  <c r="I247"/>
  <c r="I238"/>
  <c r="I220"/>
  <c r="I218"/>
  <c r="I191"/>
  <c r="I169"/>
  <c r="I111"/>
  <c r="I105"/>
  <c r="I78"/>
  <c r="I58"/>
  <c r="I38"/>
  <c r="I35"/>
  <c r="I11"/>
  <c r="W413" i="555"/>
  <c r="Y413"/>
  <c r="W414"/>
  <c r="Y414"/>
  <c r="W415"/>
  <c r="Y415"/>
  <c r="W416"/>
  <c r="Y416"/>
  <c r="W417"/>
  <c r="Y417"/>
  <c r="W418"/>
  <c r="Y418"/>
  <c r="W419"/>
  <c r="Y412"/>
  <c r="W412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I400"/>
  <c r="Q320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I378" l="1"/>
  <c r="I347"/>
  <c r="I324"/>
  <c r="I320"/>
  <c r="I319"/>
  <c r="I314"/>
  <c r="I267"/>
  <c r="I244"/>
  <c r="I243"/>
  <c r="I220"/>
  <c r="I170"/>
  <c r="I169"/>
  <c r="I141"/>
  <c r="I138"/>
  <c r="I115"/>
  <c r="I110"/>
  <c r="I74"/>
  <c r="I34"/>
  <c r="I8"/>
  <c r="X215" i="556"/>
  <c r="W33"/>
  <c r="X61"/>
  <c r="X33"/>
  <c r="X6"/>
  <c r="W413" l="1"/>
  <c r="Y413"/>
  <c r="W414"/>
  <c r="Y414"/>
  <c r="W415"/>
  <c r="Y415"/>
  <c r="W416"/>
  <c r="Y416"/>
  <c r="W417"/>
  <c r="Y417"/>
  <c r="W418"/>
  <c r="Y418"/>
  <c r="W419"/>
  <c r="Y419"/>
  <c r="Y412"/>
  <c r="W412"/>
  <c r="K418" l="1"/>
  <c r="G417"/>
  <c r="G416"/>
  <c r="K209"/>
  <c r="G208"/>
  <c r="G207"/>
  <c r="G416" i="528"/>
  <c r="I170" i="556" l="1"/>
  <c r="I175"/>
  <c r="V284" l="1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59" a="1"/>
  <c r="V59" s="1"/>
  <c r="V60" a="1"/>
  <c r="V60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9" a="1"/>
  <c r="V109" s="1"/>
  <c r="V110" a="1"/>
  <c r="V110" s="1"/>
  <c r="V111" a="1"/>
  <c r="V111" s="1"/>
  <c r="V112" a="1"/>
  <c r="V112" s="1"/>
  <c r="I379"/>
  <c r="I350"/>
  <c r="I322"/>
  <c r="I319"/>
  <c r="I283"/>
  <c r="I267"/>
  <c r="I243"/>
  <c r="I242"/>
  <c r="I217"/>
  <c r="I215"/>
  <c r="I141"/>
  <c r="I113"/>
  <c r="I110"/>
  <c r="I108"/>
  <c r="I61"/>
  <c r="I58"/>
  <c r="I36"/>
  <c r="I33"/>
  <c r="I6"/>
  <c r="V246" i="528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I384" l="1"/>
  <c r="I408" a="1"/>
  <c r="I408" s="1"/>
  <c r="I350"/>
  <c r="I322"/>
  <c r="I317"/>
  <c r="I270"/>
  <c r="I245"/>
  <c r="I215"/>
  <c r="P450" i="55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AA415"/>
  <c r="K415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P379"/>
  <c r="N379"/>
  <c r="L379"/>
  <c r="V379" s="1" a="1"/>
  <c r="V379" s="1"/>
  <c r="K379"/>
  <c r="R378"/>
  <c r="P378"/>
  <c r="S378" s="1"/>
  <c r="N378"/>
  <c r="L378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P322"/>
  <c r="N322"/>
  <c r="L322"/>
  <c r="K322"/>
  <c r="R321"/>
  <c r="P321"/>
  <c r="S321" s="1"/>
  <c r="N321"/>
  <c r="L321"/>
  <c r="K321"/>
  <c r="R320"/>
  <c r="P320"/>
  <c r="S320" s="1"/>
  <c r="N320"/>
  <c r="L320"/>
  <c r="V320" s="1" a="1"/>
  <c r="V320" s="1"/>
  <c r="K320"/>
  <c r="R319"/>
  <c r="P319"/>
  <c r="N319"/>
  <c r="L319"/>
  <c r="K319"/>
  <c r="V319" s="1" a="1"/>
  <c r="V319" s="1"/>
  <c r="R318"/>
  <c r="N318"/>
  <c r="P318" s="1"/>
  <c r="S318" s="1"/>
  <c r="L318"/>
  <c r="K318"/>
  <c r="R317"/>
  <c r="N317"/>
  <c r="P317" s="1"/>
  <c r="S317" s="1"/>
  <c r="L317"/>
  <c r="K317"/>
  <c r="R316"/>
  <c r="N316"/>
  <c r="P316" s="1"/>
  <c r="S316" s="1"/>
  <c r="L316"/>
  <c r="K316"/>
  <c r="R315"/>
  <c r="P315"/>
  <c r="S315" s="1"/>
  <c r="N315"/>
  <c r="L315"/>
  <c r="K315"/>
  <c r="R314"/>
  <c r="P314"/>
  <c r="S314" s="1"/>
  <c r="N314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N283"/>
  <c r="L283"/>
  <c r="V283" s="1" a="1"/>
  <c r="V283" s="1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N268"/>
  <c r="L268"/>
  <c r="K268"/>
  <c r="R267"/>
  <c r="P267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V265" s="1" a="1"/>
  <c r="V265" s="1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V262" s="1" a="1"/>
  <c r="V262" s="1"/>
  <c r="K262"/>
  <c r="R261"/>
  <c r="P261"/>
  <c r="S261" s="1"/>
  <c r="N261"/>
  <c r="L261"/>
  <c r="V261" s="1" a="1"/>
  <c r="V261" s="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V253" s="1" a="1"/>
  <c r="V253" s="1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S246" s="1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P243"/>
  <c r="N243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P217"/>
  <c r="N217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L195"/>
  <c r="K195"/>
  <c r="R194"/>
  <c r="N194"/>
  <c r="P194" s="1"/>
  <c r="L194"/>
  <c r="K194"/>
  <c r="R193"/>
  <c r="N193"/>
  <c r="P193" s="1"/>
  <c r="L193"/>
  <c r="K193"/>
  <c r="R192"/>
  <c r="N192"/>
  <c r="P192" s="1"/>
  <c r="L192"/>
  <c r="K192"/>
  <c r="R191"/>
  <c r="N191"/>
  <c r="P191" s="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N187"/>
  <c r="P187" s="1"/>
  <c r="L187"/>
  <c r="K187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L181"/>
  <c r="K181"/>
  <c r="R180"/>
  <c r="N180"/>
  <c r="P180" s="1"/>
  <c r="L180"/>
  <c r="K180"/>
  <c r="R179"/>
  <c r="N179"/>
  <c r="P179" s="1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N113"/>
  <c r="L113"/>
  <c r="K113"/>
  <c r="V113" s="1" a="1"/>
  <c r="V113" s="1"/>
  <c r="R112"/>
  <c r="N112"/>
  <c r="P112" s="1"/>
  <c r="S112" s="1"/>
  <c r="L112"/>
  <c r="K112"/>
  <c r="R111"/>
  <c r="P111"/>
  <c r="S111" s="1"/>
  <c r="N111"/>
  <c r="L111"/>
  <c r="K111"/>
  <c r="R110"/>
  <c r="P110"/>
  <c r="N110"/>
  <c r="L110"/>
  <c r="K110"/>
  <c r="R109"/>
  <c r="P109"/>
  <c r="S109" s="1"/>
  <c r="N109"/>
  <c r="L109"/>
  <c r="K109"/>
  <c r="R108"/>
  <c r="P108"/>
  <c r="N108"/>
  <c r="L108"/>
  <c r="K108"/>
  <c r="V108" s="1" a="1"/>
  <c r="V108" s="1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N61"/>
  <c r="L61"/>
  <c r="K61"/>
  <c r="V61" s="1" a="1"/>
  <c r="V61" s="1"/>
  <c r="R60"/>
  <c r="N60"/>
  <c r="P60" s="1"/>
  <c r="S60" s="1"/>
  <c r="L60"/>
  <c r="K60"/>
  <c r="R59"/>
  <c r="P59"/>
  <c r="S59" s="1"/>
  <c r="N59"/>
  <c r="L59"/>
  <c r="K59"/>
  <c r="R58"/>
  <c r="P58"/>
  <c r="N58"/>
  <c r="L58"/>
  <c r="V58" s="1" a="1"/>
  <c r="V58" s="1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P36"/>
  <c r="N36"/>
  <c r="L36"/>
  <c r="K36"/>
  <c r="R35"/>
  <c r="P35"/>
  <c r="S35" s="1"/>
  <c r="N35"/>
  <c r="L35"/>
  <c r="K35"/>
  <c r="R34"/>
  <c r="N34"/>
  <c r="P34" s="1"/>
  <c r="S34" s="1"/>
  <c r="L34"/>
  <c r="K34"/>
  <c r="R33"/>
  <c r="P33"/>
  <c r="N33"/>
  <c r="L33"/>
  <c r="V33" s="1" a="1"/>
  <c r="V33" s="1"/>
  <c r="K33"/>
  <c r="R32"/>
  <c r="P32"/>
  <c r="S32" s="1"/>
  <c r="N32"/>
  <c r="L32"/>
  <c r="K32"/>
  <c r="R31"/>
  <c r="N31"/>
  <c r="P31" s="1"/>
  <c r="S31" s="1"/>
  <c r="L31"/>
  <c r="K31"/>
  <c r="R30"/>
  <c r="P30"/>
  <c r="S30" s="1"/>
  <c r="N30"/>
  <c r="L30"/>
  <c r="V30" s="1" a="1"/>
  <c r="V30" s="1"/>
  <c r="K30"/>
  <c r="R29"/>
  <c r="N29"/>
  <c r="P29" s="1"/>
  <c r="S29" s="1"/>
  <c r="L29"/>
  <c r="K29"/>
  <c r="R28"/>
  <c r="P28"/>
  <c r="S28" s="1"/>
  <c r="N28"/>
  <c r="L28"/>
  <c r="K28"/>
  <c r="R27"/>
  <c r="N27"/>
  <c r="P27" s="1"/>
  <c r="S27" s="1"/>
  <c r="L27"/>
  <c r="K27"/>
  <c r="R26"/>
  <c r="P26"/>
  <c r="S26" s="1"/>
  <c r="N26"/>
  <c r="L26"/>
  <c r="V26" s="1" a="1"/>
  <c r="V26" s="1"/>
  <c r="K26"/>
  <c r="R25"/>
  <c r="N25"/>
  <c r="P25" s="1"/>
  <c r="S25" s="1"/>
  <c r="L25"/>
  <c r="K25"/>
  <c r="R24"/>
  <c r="P24"/>
  <c r="S24" s="1"/>
  <c r="N24"/>
  <c r="L24"/>
  <c r="K24"/>
  <c r="R23"/>
  <c r="N23"/>
  <c r="P23" s="1"/>
  <c r="S23" s="1"/>
  <c r="L23"/>
  <c r="K23"/>
  <c r="R22"/>
  <c r="P22"/>
  <c r="S22" s="1"/>
  <c r="N22"/>
  <c r="L22"/>
  <c r="V22" s="1" a="1"/>
  <c r="V22" s="1"/>
  <c r="K22"/>
  <c r="R21"/>
  <c r="N21"/>
  <c r="P21" s="1"/>
  <c r="S21" s="1"/>
  <c r="L21"/>
  <c r="K21"/>
  <c r="R20"/>
  <c r="P20"/>
  <c r="S20" s="1"/>
  <c r="N20"/>
  <c r="L20"/>
  <c r="K20"/>
  <c r="R19"/>
  <c r="N19"/>
  <c r="P19" s="1"/>
  <c r="S19" s="1"/>
  <c r="L19"/>
  <c r="K19"/>
  <c r="R18"/>
  <c r="P18"/>
  <c r="S18" s="1"/>
  <c r="N18"/>
  <c r="L18"/>
  <c r="V18" s="1" a="1"/>
  <c r="V18" s="1"/>
  <c r="K18"/>
  <c r="R17"/>
  <c r="N17"/>
  <c r="P17" s="1"/>
  <c r="S17" s="1"/>
  <c r="L17"/>
  <c r="K17"/>
  <c r="R16"/>
  <c r="P16"/>
  <c r="S16" s="1"/>
  <c r="N16"/>
  <c r="L16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K8"/>
  <c r="R7"/>
  <c r="N7"/>
  <c r="P7" s="1"/>
  <c r="S7" s="1"/>
  <c r="L7"/>
  <c r="K7"/>
  <c r="R6"/>
  <c r="P6"/>
  <c r="N6"/>
  <c r="L6"/>
  <c r="K6"/>
  <c r="P450" i="55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L405"/>
  <c r="K405"/>
  <c r="R404"/>
  <c r="N404"/>
  <c r="P404" s="1"/>
  <c r="L404"/>
  <c r="K404"/>
  <c r="R403"/>
  <c r="N403"/>
  <c r="P403" s="1"/>
  <c r="S403" s="1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L400"/>
  <c r="K400"/>
  <c r="R399"/>
  <c r="N399"/>
  <c r="P399" s="1"/>
  <c r="S399" s="1"/>
  <c r="L399"/>
  <c r="K399"/>
  <c r="R398"/>
  <c r="P398"/>
  <c r="S398" s="1"/>
  <c r="N398"/>
  <c r="L398"/>
  <c r="K398"/>
  <c r="R397"/>
  <c r="N397"/>
  <c r="P397" s="1"/>
  <c r="L397"/>
  <c r="K397"/>
  <c r="R396"/>
  <c r="N396"/>
  <c r="P396" s="1"/>
  <c r="L396"/>
  <c r="K396"/>
  <c r="R395"/>
  <c r="N395"/>
  <c r="P395" s="1"/>
  <c r="L395"/>
  <c r="K395"/>
  <c r="R394"/>
  <c r="N394"/>
  <c r="P394" s="1"/>
  <c r="S394" s="1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N389"/>
  <c r="P389" s="1"/>
  <c r="L389"/>
  <c r="K389"/>
  <c r="R388"/>
  <c r="N388"/>
  <c r="P388" s="1"/>
  <c r="L388"/>
  <c r="K388"/>
  <c r="R387"/>
  <c r="N387"/>
  <c r="P387" s="1"/>
  <c r="L387"/>
  <c r="K387"/>
  <c r="R386"/>
  <c r="N386"/>
  <c r="P386" s="1"/>
  <c r="S386" s="1"/>
  <c r="L386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N381"/>
  <c r="P381" s="1"/>
  <c r="L381"/>
  <c r="K381"/>
  <c r="R380"/>
  <c r="N380"/>
  <c r="P380" s="1"/>
  <c r="L380"/>
  <c r="K380"/>
  <c r="R379"/>
  <c r="N379"/>
  <c r="P379" s="1"/>
  <c r="L379"/>
  <c r="K379"/>
  <c r="R378"/>
  <c r="P378"/>
  <c r="N378"/>
  <c r="L378"/>
  <c r="V378" s="1" a="1"/>
  <c r="V378" s="1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K349"/>
  <c r="R348"/>
  <c r="N348"/>
  <c r="P348" s="1"/>
  <c r="S348" s="1"/>
  <c r="L348"/>
  <c r="K348"/>
  <c r="R347"/>
  <c r="P347"/>
  <c r="N347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N320"/>
  <c r="L320"/>
  <c r="K320"/>
  <c r="R319"/>
  <c r="P319"/>
  <c r="S319" s="1"/>
  <c r="N319"/>
  <c r="L319"/>
  <c r="K319"/>
  <c r="V319" s="1" a="1"/>
  <c r="V319" s="1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P27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P244"/>
  <c r="N244"/>
  <c r="L244"/>
  <c r="V244" s="1" a="1"/>
  <c r="V244" s="1"/>
  <c r="K244"/>
  <c r="R243"/>
  <c r="P243"/>
  <c r="N243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P220"/>
  <c r="N220"/>
  <c r="L220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P217"/>
  <c r="N217"/>
  <c r="L217"/>
  <c r="V217" s="1" a="1"/>
  <c r="V217" s="1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L170"/>
  <c r="K170"/>
  <c r="R169"/>
  <c r="P169"/>
  <c r="N169"/>
  <c r="L169"/>
  <c r="V169" s="1" a="1"/>
  <c r="V169" s="1"/>
  <c r="K169"/>
  <c r="R168"/>
  <c r="N168"/>
  <c r="P168" s="1"/>
  <c r="L168"/>
  <c r="K168"/>
  <c r="R167"/>
  <c r="N167"/>
  <c r="P167" s="1"/>
  <c r="S167" s="1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L160"/>
  <c r="K160"/>
  <c r="R159"/>
  <c r="N159"/>
  <c r="P159" s="1"/>
  <c r="S159" s="1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L148"/>
  <c r="K148"/>
  <c r="R147"/>
  <c r="N147"/>
  <c r="P147" s="1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L144"/>
  <c r="K144"/>
  <c r="R143"/>
  <c r="N143"/>
  <c r="P143" s="1"/>
  <c r="S143" s="1"/>
  <c r="L143"/>
  <c r="K143"/>
  <c r="R142"/>
  <c r="N142"/>
  <c r="P142" s="1"/>
  <c r="S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P138"/>
  <c r="N138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P110"/>
  <c r="N110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P74"/>
  <c r="N74"/>
  <c r="L74"/>
  <c r="V74" s="1" a="1"/>
  <c r="V74" s="1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P62"/>
  <c r="N62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V34" s="1" a="1"/>
  <c r="V34" s="1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N8"/>
  <c r="L8"/>
  <c r="V8" s="1" a="1"/>
  <c r="V8" s="1"/>
  <c r="K8"/>
  <c r="R7"/>
  <c r="N7"/>
  <c r="P7" s="1"/>
  <c r="S7" s="1"/>
  <c r="L7"/>
  <c r="K7"/>
  <c r="R6"/>
  <c r="P6"/>
  <c r="N6"/>
  <c r="L6"/>
  <c r="K6"/>
  <c r="P450" i="554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L405"/>
  <c r="K405"/>
  <c r="R404"/>
  <c r="N404"/>
  <c r="P404" s="1"/>
  <c r="L404"/>
  <c r="K404"/>
  <c r="R403"/>
  <c r="P403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N397"/>
  <c r="P397" s="1"/>
  <c r="L397"/>
  <c r="K397"/>
  <c r="R396"/>
  <c r="N396"/>
  <c r="P396" s="1"/>
  <c r="L396"/>
  <c r="K396"/>
  <c r="R395"/>
  <c r="N395"/>
  <c r="P395" s="1"/>
  <c r="L395"/>
  <c r="K395"/>
  <c r="R394"/>
  <c r="N394"/>
  <c r="P394" s="1"/>
  <c r="S394" s="1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L389"/>
  <c r="K389"/>
  <c r="R388"/>
  <c r="N388"/>
  <c r="P388" s="1"/>
  <c r="L388"/>
  <c r="K388"/>
  <c r="R387"/>
  <c r="N387"/>
  <c r="P387" s="1"/>
  <c r="L387"/>
  <c r="K387"/>
  <c r="R386"/>
  <c r="N386"/>
  <c r="P386" s="1"/>
  <c r="S386" s="1"/>
  <c r="L386"/>
  <c r="K386"/>
  <c r="R385"/>
  <c r="N385"/>
  <c r="P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V378" s="1" a="1"/>
  <c r="V378" s="1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R320"/>
  <c r="P320"/>
  <c r="N320"/>
  <c r="L320"/>
  <c r="K320"/>
  <c r="V320" s="1" a="1"/>
  <c r="V320" s="1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L247"/>
  <c r="K247"/>
  <c r="V247" s="1" a="1"/>
  <c r="V247" s="1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L238"/>
  <c r="K238"/>
  <c r="V238" s="1" a="1"/>
  <c r="V238" s="1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L235"/>
  <c r="K235"/>
  <c r="R234"/>
  <c r="N234"/>
  <c r="P234" s="1"/>
  <c r="L234"/>
  <c r="K234"/>
  <c r="R233"/>
  <c r="N233"/>
  <c r="P233" s="1"/>
  <c r="S233" s="1"/>
  <c r="L233"/>
  <c r="K233"/>
  <c r="R232"/>
  <c r="P232"/>
  <c r="S232" s="1"/>
  <c r="N232"/>
  <c r="L232"/>
  <c r="K232"/>
  <c r="R231"/>
  <c r="N231"/>
  <c r="P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L223"/>
  <c r="K223"/>
  <c r="R222"/>
  <c r="N222"/>
  <c r="P222" s="1"/>
  <c r="L222"/>
  <c r="K222"/>
  <c r="R221"/>
  <c r="N221"/>
  <c r="P221" s="1"/>
  <c r="S221" s="1"/>
  <c r="L221"/>
  <c r="K221"/>
  <c r="R220"/>
  <c r="N220"/>
  <c r="P220" s="1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N191"/>
  <c r="P191" s="1"/>
  <c r="L191"/>
  <c r="K191"/>
  <c r="V191" s="1" a="1"/>
  <c r="V191" s="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N169"/>
  <c r="L169"/>
  <c r="K169"/>
  <c r="V169" s="1" a="1"/>
  <c r="V169" s="1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N111"/>
  <c r="L111"/>
  <c r="K111"/>
  <c r="V111" s="1" a="1"/>
  <c r="V111" s="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N105"/>
  <c r="L105"/>
  <c r="K105"/>
  <c r="V105" s="1" a="1"/>
  <c r="V105" s="1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P58"/>
  <c r="N58"/>
  <c r="L58"/>
  <c r="K58"/>
  <c r="V58" s="1" a="1"/>
  <c r="V58" s="1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P38"/>
  <c r="N38"/>
  <c r="L38"/>
  <c r="K38"/>
  <c r="V38" s="1" a="1"/>
  <c r="V38" s="1"/>
  <c r="R37"/>
  <c r="P37"/>
  <c r="S37" s="1"/>
  <c r="N37"/>
  <c r="L37"/>
  <c r="K37"/>
  <c r="R36"/>
  <c r="N36"/>
  <c r="P36" s="1"/>
  <c r="S36" s="1"/>
  <c r="L36"/>
  <c r="K36"/>
  <c r="R35"/>
  <c r="P35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N7"/>
  <c r="P7" s="1"/>
  <c r="S7" s="1"/>
  <c r="L7"/>
  <c r="K7"/>
  <c r="R6"/>
  <c r="N6"/>
  <c r="P6" s="1"/>
  <c r="L6"/>
  <c r="K6"/>
  <c r="P450" i="55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N403"/>
  <c r="P403" s="1"/>
  <c r="L403"/>
  <c r="K403"/>
  <c r="V403" s="1" a="1"/>
  <c r="V403" s="1"/>
  <c r="R402"/>
  <c r="N402"/>
  <c r="P402" s="1"/>
  <c r="S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R320"/>
  <c r="N320"/>
  <c r="P320" s="1"/>
  <c r="S320" s="1"/>
  <c r="L320"/>
  <c r="K320"/>
  <c r="R319"/>
  <c r="N319"/>
  <c r="P319" s="1"/>
  <c r="S319" s="1"/>
  <c r="L319"/>
  <c r="K319"/>
  <c r="R318"/>
  <c r="P318"/>
  <c r="N318"/>
  <c r="L318"/>
  <c r="K318"/>
  <c r="V318" s="1" a="1"/>
  <c r="V318" s="1"/>
  <c r="R317"/>
  <c r="N317"/>
  <c r="P317" s="1"/>
  <c r="S317" s="1"/>
  <c r="L317"/>
  <c r="K317"/>
  <c r="R316"/>
  <c r="P316"/>
  <c r="N316"/>
  <c r="L316"/>
  <c r="K316"/>
  <c r="V316" s="1" a="1"/>
  <c r="V316" s="1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N257"/>
  <c r="L257"/>
  <c r="K257"/>
  <c r="V257" s="1" a="1"/>
  <c r="V257" s="1"/>
  <c r="R256"/>
  <c r="P256"/>
  <c r="N256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N235"/>
  <c r="P235" s="1"/>
  <c r="S235" s="1"/>
  <c r="L235"/>
  <c r="K235"/>
  <c r="R234"/>
  <c r="P234"/>
  <c r="N234"/>
  <c r="L234"/>
  <c r="K234"/>
  <c r="R233"/>
  <c r="N233"/>
  <c r="P233" s="1"/>
  <c r="S233" s="1"/>
  <c r="L233"/>
  <c r="K233"/>
  <c r="R232"/>
  <c r="N232"/>
  <c r="P232" s="1"/>
  <c r="S232" s="1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N222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P194"/>
  <c r="N194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P176"/>
  <c r="N176"/>
  <c r="L176"/>
  <c r="K176"/>
  <c r="V176" s="1" a="1"/>
  <c r="V176" s="1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P112"/>
  <c r="N112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K78"/>
  <c r="V78" s="1" a="1"/>
  <c r="V78" s="1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V49" s="1" a="1"/>
  <c r="V49" s="1"/>
  <c r="R48"/>
  <c r="N48"/>
  <c r="P48" s="1"/>
  <c r="S48" s="1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N29"/>
  <c r="L29"/>
  <c r="K29"/>
  <c r="V29" s="1" a="1"/>
  <c r="V29" s="1"/>
  <c r="R28"/>
  <c r="N28"/>
  <c r="P28" s="1"/>
  <c r="S28" s="1"/>
  <c r="L28"/>
  <c r="K28"/>
  <c r="R27"/>
  <c r="P27"/>
  <c r="N27"/>
  <c r="L27"/>
  <c r="K27"/>
  <c r="V27" s="1" a="1"/>
  <c r="V27" s="1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R8"/>
  <c r="N8"/>
  <c r="P8" s="1"/>
  <c r="S8" s="1"/>
  <c r="L8"/>
  <c r="K8"/>
  <c r="R7"/>
  <c r="N7"/>
  <c r="P7" s="1"/>
  <c r="S7" s="1"/>
  <c r="L7"/>
  <c r="V7" s="1" a="1"/>
  <c r="V7" s="1"/>
  <c r="K7"/>
  <c r="R6"/>
  <c r="N6"/>
  <c r="P6" s="1"/>
  <c r="L6"/>
  <c r="K6"/>
  <c r="C451" i="55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5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S7" s="1"/>
  <c r="N7"/>
  <c r="P7" s="1"/>
  <c r="L7"/>
  <c r="K7"/>
  <c r="V7" s="1" a="1"/>
  <c r="V7" s="1"/>
  <c r="R6"/>
  <c r="R199" s="1"/>
  <c r="G424" s="1"/>
  <c r="N6"/>
  <c r="P6" s="1"/>
  <c r="P199" s="1"/>
  <c r="L6"/>
  <c r="K6"/>
  <c r="K199" s="1" a="1"/>
  <c r="K199" s="1"/>
  <c r="C423" s="1"/>
  <c r="C451" i="55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V198" s="1" a="1"/>
  <c r="V198" s="1"/>
  <c r="R197"/>
  <c r="N197"/>
  <c r="P197" s="1"/>
  <c r="L197"/>
  <c r="K197"/>
  <c r="V197" s="1" a="1"/>
  <c r="V197" s="1"/>
  <c r="R196"/>
  <c r="N196"/>
  <c r="P196" s="1"/>
  <c r="L196"/>
  <c r="K196"/>
  <c r="V196" s="1" a="1"/>
  <c r="V196" s="1"/>
  <c r="R195"/>
  <c r="N195"/>
  <c r="P195" s="1"/>
  <c r="L195"/>
  <c r="K195"/>
  <c r="V195" s="1" a="1"/>
  <c r="V195" s="1"/>
  <c r="R194"/>
  <c r="N194"/>
  <c r="P194" s="1"/>
  <c r="L194"/>
  <c r="K194"/>
  <c r="R193"/>
  <c r="N193"/>
  <c r="P193" s="1"/>
  <c r="L193"/>
  <c r="K193"/>
  <c r="R192"/>
  <c r="N192"/>
  <c r="P192" s="1"/>
  <c r="L192"/>
  <c r="K192"/>
  <c r="R191"/>
  <c r="N191"/>
  <c r="P191" s="1"/>
  <c r="L191"/>
  <c r="K191"/>
  <c r="R190"/>
  <c r="N190"/>
  <c r="P190" s="1"/>
  <c r="L190"/>
  <c r="K190"/>
  <c r="V190" s="1" a="1"/>
  <c r="V190" s="1"/>
  <c r="R189"/>
  <c r="N189"/>
  <c r="P189" s="1"/>
  <c r="L189"/>
  <c r="K189"/>
  <c r="V189" s="1" a="1"/>
  <c r="V189" s="1"/>
  <c r="R188"/>
  <c r="N188"/>
  <c r="P188" s="1"/>
  <c r="L188"/>
  <c r="K188"/>
  <c r="V188" s="1" a="1"/>
  <c r="V188" s="1"/>
  <c r="R187"/>
  <c r="N187"/>
  <c r="P187" s="1"/>
  <c r="L187"/>
  <c r="K187"/>
  <c r="V187" s="1" a="1"/>
  <c r="V187" s="1"/>
  <c r="R186"/>
  <c r="N186"/>
  <c r="P186" s="1"/>
  <c r="L186"/>
  <c r="K186"/>
  <c r="V186" s="1" a="1"/>
  <c r="V186" s="1"/>
  <c r="R185"/>
  <c r="N185"/>
  <c r="P185" s="1"/>
  <c r="L185"/>
  <c r="K185"/>
  <c r="V185" s="1" a="1"/>
  <c r="V185" s="1"/>
  <c r="R184"/>
  <c r="N184"/>
  <c r="P184" s="1"/>
  <c r="L184"/>
  <c r="K184"/>
  <c r="V184" s="1" a="1"/>
  <c r="V184" s="1"/>
  <c r="R183"/>
  <c r="N183"/>
  <c r="P183" s="1"/>
  <c r="L183"/>
  <c r="K183"/>
  <c r="V183" s="1" a="1"/>
  <c r="V183" s="1"/>
  <c r="R182"/>
  <c r="N182"/>
  <c r="P182" s="1"/>
  <c r="L182"/>
  <c r="K182"/>
  <c r="V182" s="1" a="1"/>
  <c r="V182" s="1"/>
  <c r="R181"/>
  <c r="N181"/>
  <c r="P181" s="1"/>
  <c r="L181"/>
  <c r="K181"/>
  <c r="V181" s="1" a="1"/>
  <c r="V181" s="1"/>
  <c r="R180"/>
  <c r="N180"/>
  <c r="P180" s="1"/>
  <c r="L180"/>
  <c r="K180"/>
  <c r="V180" s="1" a="1"/>
  <c r="V180" s="1"/>
  <c r="R179"/>
  <c r="N179"/>
  <c r="P179" s="1"/>
  <c r="L179"/>
  <c r="K179"/>
  <c r="V179" s="1" a="1"/>
  <c r="V179" s="1"/>
  <c r="R178"/>
  <c r="N178"/>
  <c r="P178" s="1"/>
  <c r="L178"/>
  <c r="K178"/>
  <c r="V178" s="1" a="1"/>
  <c r="V178" s="1"/>
  <c r="R177"/>
  <c r="N177"/>
  <c r="P177" s="1"/>
  <c r="L177"/>
  <c r="K177"/>
  <c r="V177" s="1" a="1"/>
  <c r="V177" s="1"/>
  <c r="R176"/>
  <c r="N176"/>
  <c r="P176" s="1"/>
  <c r="L176"/>
  <c r="K176"/>
  <c r="V176" s="1" a="1"/>
  <c r="V176" s="1"/>
  <c r="R175"/>
  <c r="N175"/>
  <c r="P175" s="1"/>
  <c r="L175"/>
  <c r="K175"/>
  <c r="V175" s="1" a="1"/>
  <c r="V175" s="1"/>
  <c r="R174"/>
  <c r="N174"/>
  <c r="P174" s="1"/>
  <c r="L174"/>
  <c r="K174"/>
  <c r="V174" s="1" a="1"/>
  <c r="V174" s="1"/>
  <c r="R173"/>
  <c r="N173"/>
  <c r="P173" s="1"/>
  <c r="L173"/>
  <c r="K173"/>
  <c r="V173" s="1" a="1"/>
  <c r="V173" s="1"/>
  <c r="R172"/>
  <c r="N172"/>
  <c r="P172" s="1"/>
  <c r="L172"/>
  <c r="K172"/>
  <c r="V172" s="1" a="1"/>
  <c r="V172" s="1"/>
  <c r="R171"/>
  <c r="N171"/>
  <c r="P171" s="1"/>
  <c r="L171"/>
  <c r="K171"/>
  <c r="V171" s="1" a="1"/>
  <c r="V171" s="1"/>
  <c r="R170"/>
  <c r="N170"/>
  <c r="P170" s="1"/>
  <c r="L170"/>
  <c r="K170"/>
  <c r="V170" s="1" a="1"/>
  <c r="V170" s="1"/>
  <c r="R169"/>
  <c r="N169"/>
  <c r="P169" s="1"/>
  <c r="L169"/>
  <c r="K169"/>
  <c r="V169" s="1" a="1"/>
  <c r="V169" s="1"/>
  <c r="R168"/>
  <c r="N168"/>
  <c r="P168" s="1"/>
  <c r="L168"/>
  <c r="K168"/>
  <c r="V168" s="1" a="1"/>
  <c r="V168" s="1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S142" s="1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S140" s="1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S138" s="1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S136" s="1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S134" s="1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S132" s="1"/>
  <c r="N132"/>
  <c r="P132" s="1"/>
  <c r="L132"/>
  <c r="K132"/>
  <c r="V132" s="1" a="1"/>
  <c r="V132" s="1"/>
  <c r="R131"/>
  <c r="S131" s="1"/>
  <c r="N131"/>
  <c r="P131" s="1"/>
  <c r="L131"/>
  <c r="K131"/>
  <c r="R130"/>
  <c r="S130" s="1"/>
  <c r="N130"/>
  <c r="P130" s="1"/>
  <c r="L130"/>
  <c r="K130"/>
  <c r="R129"/>
  <c r="N129"/>
  <c r="P129" s="1"/>
  <c r="L129"/>
  <c r="K129"/>
  <c r="V129" s="1" a="1"/>
  <c r="V129" s="1"/>
  <c r="R128"/>
  <c r="S128" s="1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S126" s="1"/>
  <c r="N126"/>
  <c r="P126" s="1"/>
  <c r="L126"/>
  <c r="K126"/>
  <c r="V126" s="1" a="1"/>
  <c r="V126" s="1"/>
  <c r="R125"/>
  <c r="S125" s="1"/>
  <c r="N125"/>
  <c r="P125" s="1"/>
  <c r="L125"/>
  <c r="K125"/>
  <c r="R124"/>
  <c r="S124" s="1"/>
  <c r="N124"/>
  <c r="P124" s="1"/>
  <c r="L124"/>
  <c r="K124"/>
  <c r="R123"/>
  <c r="S123" s="1"/>
  <c r="N123"/>
  <c r="P123" s="1"/>
  <c r="L123"/>
  <c r="K123"/>
  <c r="R122"/>
  <c r="S122" s="1"/>
  <c r="N122"/>
  <c r="P122" s="1"/>
  <c r="L122"/>
  <c r="K122"/>
  <c r="R121"/>
  <c r="S121" s="1"/>
  <c r="N121"/>
  <c r="P121" s="1"/>
  <c r="L121"/>
  <c r="K121"/>
  <c r="R120"/>
  <c r="N120"/>
  <c r="P120" s="1"/>
  <c r="L120"/>
  <c r="K120"/>
  <c r="V120" s="1" a="1"/>
  <c r="V120" s="1"/>
  <c r="R119"/>
  <c r="S119" s="1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S117" s="1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S115" s="1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S113" s="1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S111" s="1"/>
  <c r="N111"/>
  <c r="P111" s="1"/>
  <c r="L111"/>
  <c r="K111"/>
  <c r="V111" s="1" a="1"/>
  <c r="V111" s="1"/>
  <c r="R110"/>
  <c r="S110" s="1"/>
  <c r="N110"/>
  <c r="P110" s="1"/>
  <c r="L110"/>
  <c r="K110"/>
  <c r="R109"/>
  <c r="S109" s="1"/>
  <c r="N109"/>
  <c r="P109" s="1"/>
  <c r="L109"/>
  <c r="K109"/>
  <c r="R108"/>
  <c r="S108" s="1"/>
  <c r="N108"/>
  <c r="P108" s="1"/>
  <c r="L108"/>
  <c r="K108"/>
  <c r="R107"/>
  <c r="N107"/>
  <c r="P107" s="1"/>
  <c r="L107"/>
  <c r="K107"/>
  <c r="V107" s="1" a="1"/>
  <c r="V107" s="1"/>
  <c r="R106"/>
  <c r="S106" s="1"/>
  <c r="N106"/>
  <c r="P106" s="1"/>
  <c r="L106"/>
  <c r="K106"/>
  <c r="V106" s="1" a="1"/>
  <c r="V106" s="1"/>
  <c r="R105"/>
  <c r="S105" s="1"/>
  <c r="N105"/>
  <c r="P105" s="1"/>
  <c r="L105"/>
  <c r="K105"/>
  <c r="R104"/>
  <c r="S104" s="1"/>
  <c r="N104"/>
  <c r="P104" s="1"/>
  <c r="L104"/>
  <c r="K104"/>
  <c r="R103"/>
  <c r="S103" s="1"/>
  <c r="N103"/>
  <c r="P103" s="1"/>
  <c r="L103"/>
  <c r="K103"/>
  <c r="R102"/>
  <c r="N102"/>
  <c r="P102" s="1"/>
  <c r="L102"/>
  <c r="K102"/>
  <c r="V102" s="1" a="1"/>
  <c r="V102" s="1"/>
  <c r="R101"/>
  <c r="S101" s="1"/>
  <c r="N101"/>
  <c r="P101" s="1"/>
  <c r="L101"/>
  <c r="K101"/>
  <c r="V101" s="1" a="1"/>
  <c r="V101" s="1"/>
  <c r="R100"/>
  <c r="N100"/>
  <c r="P100" s="1"/>
  <c r="L100"/>
  <c r="K100"/>
  <c r="V100" s="1" a="1"/>
  <c r="V100" s="1"/>
  <c r="R99"/>
  <c r="S99" s="1"/>
  <c r="N99"/>
  <c r="P99" s="1"/>
  <c r="L99"/>
  <c r="K99"/>
  <c r="V99" s="1" a="1"/>
  <c r="V99" s="1"/>
  <c r="R98"/>
  <c r="N98"/>
  <c r="P98" s="1"/>
  <c r="L98"/>
  <c r="K98"/>
  <c r="V98" s="1" a="1"/>
  <c r="V98" s="1"/>
  <c r="R97"/>
  <c r="S97" s="1"/>
  <c r="N97"/>
  <c r="P97" s="1"/>
  <c r="L97"/>
  <c r="K97"/>
  <c r="V97" s="1" a="1"/>
  <c r="V97" s="1"/>
  <c r="R96"/>
  <c r="N96"/>
  <c r="P96" s="1"/>
  <c r="L96"/>
  <c r="K96"/>
  <c r="V96" s="1" a="1"/>
  <c r="V96" s="1"/>
  <c r="R95"/>
  <c r="S95" s="1"/>
  <c r="N95"/>
  <c r="P95" s="1"/>
  <c r="L95"/>
  <c r="K95"/>
  <c r="V95" s="1" a="1"/>
  <c r="V95" s="1"/>
  <c r="R94"/>
  <c r="N94"/>
  <c r="P94" s="1"/>
  <c r="L94"/>
  <c r="K94"/>
  <c r="V94" s="1" a="1"/>
  <c r="V94" s="1"/>
  <c r="R93"/>
  <c r="S93" s="1"/>
  <c r="N93"/>
  <c r="P93" s="1"/>
  <c r="L93"/>
  <c r="K93"/>
  <c r="V93" s="1" a="1"/>
  <c r="V93" s="1"/>
  <c r="R92"/>
  <c r="N92"/>
  <c r="P92" s="1"/>
  <c r="L92"/>
  <c r="K92"/>
  <c r="V92" s="1" a="1"/>
  <c r="V92" s="1"/>
  <c r="R91"/>
  <c r="S91" s="1"/>
  <c r="N91"/>
  <c r="P91" s="1"/>
  <c r="L91"/>
  <c r="K91"/>
  <c r="V91" s="1" a="1"/>
  <c r="V91" s="1"/>
  <c r="R90"/>
  <c r="N90"/>
  <c r="P90" s="1"/>
  <c r="L90"/>
  <c r="K90"/>
  <c r="V90" s="1" a="1"/>
  <c r="V90" s="1"/>
  <c r="R89"/>
  <c r="S89" s="1"/>
  <c r="N89"/>
  <c r="P89" s="1"/>
  <c r="L89"/>
  <c r="K89"/>
  <c r="V89" s="1" a="1"/>
  <c r="V89" s="1"/>
  <c r="R88"/>
  <c r="N88"/>
  <c r="P88" s="1"/>
  <c r="L88"/>
  <c r="K88"/>
  <c r="V88" s="1" a="1"/>
  <c r="V88" s="1"/>
  <c r="R87"/>
  <c r="N87"/>
  <c r="P87" s="1"/>
  <c r="L87"/>
  <c r="K87"/>
  <c r="R86"/>
  <c r="N86"/>
  <c r="P86" s="1"/>
  <c r="L86"/>
  <c r="K86"/>
  <c r="R85"/>
  <c r="N85"/>
  <c r="P85" s="1"/>
  <c r="L85"/>
  <c r="K85"/>
  <c r="R84"/>
  <c r="S84" s="1"/>
  <c r="N84"/>
  <c r="P84" s="1"/>
  <c r="L84"/>
  <c r="K84"/>
  <c r="V84" s="1" a="1"/>
  <c r="V84" s="1"/>
  <c r="R83"/>
  <c r="S83" s="1"/>
  <c r="N83"/>
  <c r="P83" s="1"/>
  <c r="L83"/>
  <c r="K83"/>
  <c r="R82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S62" s="1"/>
  <c r="N62"/>
  <c r="P62" s="1"/>
  <c r="L62"/>
  <c r="K62"/>
  <c r="V62" s="1" a="1"/>
  <c r="V62" s="1"/>
  <c r="R61"/>
  <c r="S61" s="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S58" s="1"/>
  <c r="N58"/>
  <c r="P58" s="1"/>
  <c r="L58"/>
  <c r="K58"/>
  <c r="V58" s="1" a="1"/>
  <c r="V58" s="1"/>
  <c r="R57"/>
  <c r="S57" s="1"/>
  <c r="N57"/>
  <c r="P57" s="1"/>
  <c r="L57"/>
  <c r="K57"/>
  <c r="R56"/>
  <c r="N56"/>
  <c r="P56" s="1"/>
  <c r="L56"/>
  <c r="K56"/>
  <c r="V56" s="1" a="1"/>
  <c r="V56" s="1"/>
  <c r="R55"/>
  <c r="S55" s="1"/>
  <c r="N55"/>
  <c r="P55" s="1"/>
  <c r="L55"/>
  <c r="K55"/>
  <c r="V55" s="1" a="1"/>
  <c r="V55" s="1"/>
  <c r="R54"/>
  <c r="N54"/>
  <c r="P54" s="1"/>
  <c r="L54"/>
  <c r="K54"/>
  <c r="V54" s="1" a="1"/>
  <c r="V54" s="1"/>
  <c r="R53"/>
  <c r="S53" s="1"/>
  <c r="N53"/>
  <c r="P53" s="1"/>
  <c r="L53"/>
  <c r="K53"/>
  <c r="V53" s="1" a="1"/>
  <c r="V53" s="1"/>
  <c r="R52"/>
  <c r="N52"/>
  <c r="P52" s="1"/>
  <c r="L52"/>
  <c r="K52"/>
  <c r="V52" s="1" a="1"/>
  <c r="V52" s="1"/>
  <c r="R51"/>
  <c r="S51" s="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S45" s="1"/>
  <c r="N45"/>
  <c r="P45" s="1"/>
  <c r="L45"/>
  <c r="K45"/>
  <c r="V45" s="1" a="1"/>
  <c r="V45" s="1"/>
  <c r="R44"/>
  <c r="N44"/>
  <c r="P44" s="1"/>
  <c r="L44"/>
  <c r="K44"/>
  <c r="V44" s="1" a="1"/>
  <c r="V44" s="1"/>
  <c r="R43"/>
  <c r="S43" s="1"/>
  <c r="N43"/>
  <c r="P43" s="1"/>
  <c r="L43"/>
  <c r="K43"/>
  <c r="V43" s="1" a="1"/>
  <c r="V43" s="1"/>
  <c r="R42"/>
  <c r="N42"/>
  <c r="P42" s="1"/>
  <c r="L42"/>
  <c r="K42"/>
  <c r="V42" s="1" a="1"/>
  <c r="V42" s="1"/>
  <c r="R41"/>
  <c r="S41" s="1"/>
  <c r="N41"/>
  <c r="P41" s="1"/>
  <c r="L41"/>
  <c r="K41"/>
  <c r="V41" s="1" a="1"/>
  <c r="V41" s="1"/>
  <c r="R40"/>
  <c r="S40" s="1"/>
  <c r="N40"/>
  <c r="P40" s="1"/>
  <c r="L40"/>
  <c r="K40"/>
  <c r="R39"/>
  <c r="S39" s="1"/>
  <c r="N39"/>
  <c r="P39" s="1"/>
  <c r="L39"/>
  <c r="K39"/>
  <c r="R38"/>
  <c r="S38" s="1"/>
  <c r="N38"/>
  <c r="P38" s="1"/>
  <c r="L38"/>
  <c r="K38"/>
  <c r="R37"/>
  <c r="N37"/>
  <c r="P37" s="1"/>
  <c r="L37"/>
  <c r="K37"/>
  <c r="V37" s="1" a="1"/>
  <c r="V37" s="1"/>
  <c r="R36"/>
  <c r="S36" s="1"/>
  <c r="N36"/>
  <c r="P36" s="1"/>
  <c r="L36"/>
  <c r="K36"/>
  <c r="V36" s="1" a="1"/>
  <c r="V36" s="1"/>
  <c r="R35"/>
  <c r="N35"/>
  <c r="P35" s="1"/>
  <c r="L35"/>
  <c r="K35"/>
  <c r="V35" s="1" a="1"/>
  <c r="V35" s="1"/>
  <c r="R34"/>
  <c r="S34" s="1"/>
  <c r="N34"/>
  <c r="P34" s="1"/>
  <c r="L34"/>
  <c r="K34"/>
  <c r="V34" s="1" a="1"/>
  <c r="V34" s="1"/>
  <c r="R33"/>
  <c r="N33"/>
  <c r="P33" s="1"/>
  <c r="L33"/>
  <c r="K33"/>
  <c r="V33" s="1" a="1"/>
  <c r="V33" s="1"/>
  <c r="R32"/>
  <c r="S32" s="1"/>
  <c r="N32"/>
  <c r="P32" s="1"/>
  <c r="L32"/>
  <c r="K32"/>
  <c r="V32" s="1" a="1"/>
  <c r="V32" s="1"/>
  <c r="R31"/>
  <c r="N31"/>
  <c r="P31" s="1"/>
  <c r="L31"/>
  <c r="K31"/>
  <c r="V31" s="1" a="1"/>
  <c r="V31" s="1"/>
  <c r="R30"/>
  <c r="S30" s="1"/>
  <c r="N30"/>
  <c r="P30" s="1"/>
  <c r="L30"/>
  <c r="K30"/>
  <c r="V30" s="1" a="1"/>
  <c r="V30" s="1"/>
  <c r="R29"/>
  <c r="S29" s="1"/>
  <c r="N29"/>
  <c r="P29" s="1"/>
  <c r="L29"/>
  <c r="K29"/>
  <c r="R28"/>
  <c r="N28"/>
  <c r="P28" s="1"/>
  <c r="L28"/>
  <c r="K28"/>
  <c r="V28" s="1" a="1"/>
  <c r="V28" s="1"/>
  <c r="R27"/>
  <c r="S27" s="1"/>
  <c r="N27"/>
  <c r="P27" s="1"/>
  <c r="L27"/>
  <c r="K27"/>
  <c r="V27" s="1" a="1"/>
  <c r="V27" s="1"/>
  <c r="R26"/>
  <c r="N26"/>
  <c r="P26" s="1"/>
  <c r="L26"/>
  <c r="K26"/>
  <c r="V26" s="1" a="1"/>
  <c r="V26" s="1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P6"/>
  <c r="P199" s="1"/>
  <c r="N6"/>
  <c r="L6"/>
  <c r="L199" s="1"/>
  <c r="K6"/>
  <c r="C451" i="54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4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4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4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N9"/>
  <c r="P9" s="1"/>
  <c r="L9"/>
  <c r="K9"/>
  <c r="R8"/>
  <c r="N8"/>
  <c r="P8" s="1"/>
  <c r="L8"/>
  <c r="V8" s="1" a="1"/>
  <c r="V8" s="1"/>
  <c r="K8"/>
  <c r="R7"/>
  <c r="S7" s="1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54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51" i="54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4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4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K12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K6"/>
  <c r="K199" s="1" a="1"/>
  <c r="K199" s="1"/>
  <c r="C451" i="54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N6"/>
  <c r="P6" s="1"/>
  <c r="P199" s="1"/>
  <c r="L6"/>
  <c r="K6"/>
  <c r="K199" s="1" a="1"/>
  <c r="K199" s="1"/>
  <c r="C423" s="1"/>
  <c r="C451" i="54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3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51" i="53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N6"/>
  <c r="P6" s="1"/>
  <c r="L6"/>
  <c r="K6"/>
  <c r="K199" s="1" a="1"/>
  <c r="K199" s="1"/>
  <c r="C423" s="1"/>
  <c r="C451" i="53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3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3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3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3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51" i="53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3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N8"/>
  <c r="P8" s="1"/>
  <c r="L8"/>
  <c r="K8"/>
  <c r="R7"/>
  <c r="N7"/>
  <c r="P7" s="1"/>
  <c r="L7"/>
  <c r="K7"/>
  <c r="V7" s="1" a="1"/>
  <c r="V7" s="1"/>
  <c r="R6"/>
  <c r="R199" s="1"/>
  <c r="G424" s="1"/>
  <c r="N6"/>
  <c r="P6" s="1"/>
  <c r="P199" s="1"/>
  <c r="L6"/>
  <c r="K6"/>
  <c r="K199" s="1" a="1"/>
  <c r="K199" s="1"/>
  <c r="C451" i="53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52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P450" i="52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AA415" s="1"/>
  <c r="K415"/>
  <c r="Y414"/>
  <c r="W414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P407"/>
  <c r="S407" s="1"/>
  <c r="N407"/>
  <c r="L407"/>
  <c r="V407" s="1" a="1"/>
  <c r="V407" s="1"/>
  <c r="K407"/>
  <c r="R406"/>
  <c r="N406"/>
  <c r="P406" s="1"/>
  <c r="S406" s="1"/>
  <c r="L406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P384"/>
  <c r="N384"/>
  <c r="L384"/>
  <c r="V384" s="1" a="1"/>
  <c r="V384" s="1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N378"/>
  <c r="P378" s="1"/>
  <c r="S378" s="1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P358"/>
  <c r="S358" s="1"/>
  <c r="N358"/>
  <c r="L358"/>
  <c r="K358"/>
  <c r="R357"/>
  <c r="N357"/>
  <c r="P357" s="1"/>
  <c r="S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R351"/>
  <c r="N351"/>
  <c r="P351" s="1"/>
  <c r="S351" s="1"/>
  <c r="L351"/>
  <c r="K351"/>
  <c r="R350"/>
  <c r="P350"/>
  <c r="N350"/>
  <c r="L350"/>
  <c r="V350" s="1" a="1"/>
  <c r="V350" s="1"/>
  <c r="K350"/>
  <c r="R349"/>
  <c r="N349"/>
  <c r="P349" s="1"/>
  <c r="S349" s="1"/>
  <c r="L349"/>
  <c r="K349"/>
  <c r="R348"/>
  <c r="N348"/>
  <c r="P348" s="1"/>
  <c r="S348" s="1"/>
  <c r="L348"/>
  <c r="K348"/>
  <c r="R347"/>
  <c r="P347"/>
  <c r="S347" s="1"/>
  <c r="N347"/>
  <c r="L347"/>
  <c r="K347"/>
  <c r="R346"/>
  <c r="P346"/>
  <c r="S346" s="1"/>
  <c r="N346"/>
  <c r="L346"/>
  <c r="K346"/>
  <c r="R345"/>
  <c r="N345"/>
  <c r="P345" s="1"/>
  <c r="S345" s="1"/>
  <c r="L345"/>
  <c r="K345"/>
  <c r="R344"/>
  <c r="N344"/>
  <c r="P344" s="1"/>
  <c r="S344" s="1"/>
  <c r="L344"/>
  <c r="K344"/>
  <c r="R343"/>
  <c r="P343"/>
  <c r="S343" s="1"/>
  <c r="N343"/>
  <c r="L343"/>
  <c r="K343"/>
  <c r="R342"/>
  <c r="P342"/>
  <c r="S342" s="1"/>
  <c r="N342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N338"/>
  <c r="P338" s="1"/>
  <c r="S338" s="1"/>
  <c r="L338"/>
  <c r="K338"/>
  <c r="R337"/>
  <c r="P337"/>
  <c r="S337" s="1"/>
  <c r="N337"/>
  <c r="L337"/>
  <c r="K337"/>
  <c r="R336"/>
  <c r="P336"/>
  <c r="S336" s="1"/>
  <c r="N336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P329"/>
  <c r="S329" s="1"/>
  <c r="N329"/>
  <c r="L329"/>
  <c r="K329"/>
  <c r="R328"/>
  <c r="N328"/>
  <c r="P328" s="1"/>
  <c r="S328" s="1"/>
  <c r="L328"/>
  <c r="K328"/>
  <c r="R327"/>
  <c r="N327"/>
  <c r="P327" s="1"/>
  <c r="S327" s="1"/>
  <c r="L327"/>
  <c r="K327"/>
  <c r="R326"/>
  <c r="P326"/>
  <c r="S326" s="1"/>
  <c r="N326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P322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P317"/>
  <c r="N317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P306"/>
  <c r="S306" s="1"/>
  <c r="N306"/>
  <c r="L306"/>
  <c r="K306"/>
  <c r="R305"/>
  <c r="P305"/>
  <c r="S305" s="1"/>
  <c r="N305"/>
  <c r="L305"/>
  <c r="K305"/>
  <c r="R304"/>
  <c r="N304"/>
  <c r="P304" s="1"/>
  <c r="S304" s="1"/>
  <c r="L304"/>
  <c r="K304"/>
  <c r="R303"/>
  <c r="N303"/>
  <c r="P303" s="1"/>
  <c r="S303" s="1"/>
  <c r="L303"/>
  <c r="K303"/>
  <c r="R302"/>
  <c r="P302"/>
  <c r="S302" s="1"/>
  <c r="N302"/>
  <c r="L302"/>
  <c r="K302"/>
  <c r="R301"/>
  <c r="P301"/>
  <c r="S301" s="1"/>
  <c r="N301"/>
  <c r="L301"/>
  <c r="K301"/>
  <c r="R300"/>
  <c r="N300"/>
  <c r="P300" s="1"/>
  <c r="S300" s="1"/>
  <c r="L300"/>
  <c r="K300"/>
  <c r="R299"/>
  <c r="N299"/>
  <c r="P299" s="1"/>
  <c r="S299" s="1"/>
  <c r="L299"/>
  <c r="K299"/>
  <c r="R298"/>
  <c r="P298"/>
  <c r="S298" s="1"/>
  <c r="N298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P293"/>
  <c r="S293" s="1"/>
  <c r="N293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N289"/>
  <c r="P289" s="1"/>
  <c r="S289" s="1"/>
  <c r="L289"/>
  <c r="K289"/>
  <c r="R288"/>
  <c r="N288"/>
  <c r="P288" s="1"/>
  <c r="S288" s="1"/>
  <c r="L288"/>
  <c r="K288"/>
  <c r="R287"/>
  <c r="P287"/>
  <c r="S287" s="1"/>
  <c r="N287"/>
  <c r="L287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P283"/>
  <c r="S283" s="1"/>
  <c r="N283"/>
  <c r="L283"/>
  <c r="K283"/>
  <c r="R282"/>
  <c r="P282"/>
  <c r="S282" s="1"/>
  <c r="N282"/>
  <c r="L282"/>
  <c r="K282"/>
  <c r="R281"/>
  <c r="N281"/>
  <c r="P281" s="1"/>
  <c r="S281" s="1"/>
  <c r="L281"/>
  <c r="K281"/>
  <c r="R280"/>
  <c r="N280"/>
  <c r="P280" s="1"/>
  <c r="S280" s="1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N273"/>
  <c r="P273" s="1"/>
  <c r="S273" s="1"/>
  <c r="L273"/>
  <c r="K273"/>
  <c r="R272"/>
  <c r="P272"/>
  <c r="S272" s="1"/>
  <c r="N272"/>
  <c r="L272"/>
  <c r="K272"/>
  <c r="R271"/>
  <c r="P271"/>
  <c r="S271" s="1"/>
  <c r="N271"/>
  <c r="L271"/>
  <c r="K271"/>
  <c r="R270"/>
  <c r="P270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P263"/>
  <c r="S263" s="1"/>
  <c r="N263"/>
  <c r="L263"/>
  <c r="K263"/>
  <c r="R262"/>
  <c r="P262"/>
  <c r="S262" s="1"/>
  <c r="N262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P254"/>
  <c r="S254" s="1"/>
  <c r="N254"/>
  <c r="L254"/>
  <c r="K254"/>
  <c r="R253"/>
  <c r="N253"/>
  <c r="P253" s="1"/>
  <c r="S253" s="1"/>
  <c r="L253"/>
  <c r="K253"/>
  <c r="R252"/>
  <c r="N252"/>
  <c r="P252" s="1"/>
  <c r="S252" s="1"/>
  <c r="L252"/>
  <c r="K252"/>
  <c r="R251"/>
  <c r="P251"/>
  <c r="S251" s="1"/>
  <c r="N251"/>
  <c r="L251"/>
  <c r="K251"/>
  <c r="R250"/>
  <c r="P250"/>
  <c r="S250" s="1"/>
  <c r="N250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P246"/>
  <c r="S246" s="1"/>
  <c r="N246"/>
  <c r="L246"/>
  <c r="K246"/>
  <c r="R245"/>
  <c r="P245"/>
  <c r="N245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N242"/>
  <c r="P242" s="1"/>
  <c r="S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P236"/>
  <c r="S236" s="1"/>
  <c r="N236"/>
  <c r="L236"/>
  <c r="V236" s="1" a="1"/>
  <c r="V236" s="1"/>
  <c r="K236"/>
  <c r="R235"/>
  <c r="N235"/>
  <c r="P235" s="1"/>
  <c r="S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P232"/>
  <c r="S232" s="1"/>
  <c r="N232"/>
  <c r="L232"/>
  <c r="V232" s="1" a="1"/>
  <c r="V232" s="1"/>
  <c r="K232"/>
  <c r="R231"/>
  <c r="N231"/>
  <c r="P231" s="1"/>
  <c r="S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P228"/>
  <c r="S228" s="1"/>
  <c r="N228"/>
  <c r="L228"/>
  <c r="V228" s="1" a="1"/>
  <c r="V228" s="1"/>
  <c r="K228"/>
  <c r="R227"/>
  <c r="N227"/>
  <c r="P227" s="1"/>
  <c r="S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P219"/>
  <c r="S219" s="1"/>
  <c r="N219"/>
  <c r="L219"/>
  <c r="V219" s="1" a="1"/>
  <c r="V219" s="1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AA209" s="1"/>
  <c r="W209"/>
  <c r="Y208"/>
  <c r="W208"/>
  <c r="AA208" s="1"/>
  <c r="K208"/>
  <c r="Y207"/>
  <c r="W207"/>
  <c r="AA207" s="1"/>
  <c r="K207"/>
  <c r="C427" s="1"/>
  <c r="Y206"/>
  <c r="W206"/>
  <c r="AA206" s="1"/>
  <c r="K206"/>
  <c r="C426" s="1"/>
  <c r="Y205"/>
  <c r="W205"/>
  <c r="AA205" s="1"/>
  <c r="Y204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L168"/>
  <c r="K168"/>
  <c r="R167"/>
  <c r="N167"/>
  <c r="P167" s="1"/>
  <c r="S167" s="1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L164"/>
  <c r="K164"/>
  <c r="R163"/>
  <c r="N163"/>
  <c r="P163" s="1"/>
  <c r="S163" s="1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L160"/>
  <c r="K160"/>
  <c r="R159"/>
  <c r="N159"/>
  <c r="P159" s="1"/>
  <c r="S159" s="1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L148"/>
  <c r="K148"/>
  <c r="R147"/>
  <c r="N147"/>
  <c r="P147" s="1"/>
  <c r="S147" s="1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L144"/>
  <c r="K144"/>
  <c r="R143"/>
  <c r="N143"/>
  <c r="P143" s="1"/>
  <c r="S143" s="1"/>
  <c r="L143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L140"/>
  <c r="K140"/>
  <c r="R139"/>
  <c r="N139"/>
  <c r="P139" s="1"/>
  <c r="S139" s="1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L136"/>
  <c r="K136"/>
  <c r="R135"/>
  <c r="N135"/>
  <c r="P135" s="1"/>
  <c r="S135" s="1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L132"/>
  <c r="K132"/>
  <c r="R131"/>
  <c r="N131"/>
  <c r="P131" s="1"/>
  <c r="S131" s="1"/>
  <c r="L131"/>
  <c r="K131"/>
  <c r="R130"/>
  <c r="N130"/>
  <c r="P130" s="1"/>
  <c r="S130" s="1"/>
  <c r="L130"/>
  <c r="K130"/>
  <c r="R129"/>
  <c r="N129"/>
  <c r="P129" s="1"/>
  <c r="S129" s="1"/>
  <c r="L129"/>
  <c r="K129"/>
  <c r="R128"/>
  <c r="P128"/>
  <c r="S128" s="1"/>
  <c r="N128"/>
  <c r="L128"/>
  <c r="V128" s="1" a="1"/>
  <c r="V128" s="1"/>
  <c r="K128"/>
  <c r="R127"/>
  <c r="N127"/>
  <c r="P127" s="1"/>
  <c r="S127" s="1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N119"/>
  <c r="P119" s="1"/>
  <c r="S119" s="1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N115"/>
  <c r="P115" s="1"/>
  <c r="S115" s="1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N111"/>
  <c r="P111" s="1"/>
  <c r="S111" s="1"/>
  <c r="L111"/>
  <c r="K111"/>
  <c r="R110"/>
  <c r="P110"/>
  <c r="S110" s="1"/>
  <c r="N110"/>
  <c r="L110"/>
  <c r="K110"/>
  <c r="R109"/>
  <c r="N109"/>
  <c r="P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N97"/>
  <c r="P97" s="1"/>
  <c r="S97" s="1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N89"/>
  <c r="P89" s="1"/>
  <c r="S89" s="1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S81" s="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L78"/>
  <c r="K78"/>
  <c r="R77"/>
  <c r="N77"/>
  <c r="P77" s="1"/>
  <c r="S77" s="1"/>
  <c r="L77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L74"/>
  <c r="K74"/>
  <c r="R73"/>
  <c r="N73"/>
  <c r="P73" s="1"/>
  <c r="S73" s="1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S65" s="1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L62"/>
  <c r="K62"/>
  <c r="R61"/>
  <c r="N61"/>
  <c r="P61" s="1"/>
  <c r="S61" s="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S55" s="1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S47" s="1"/>
  <c r="L47"/>
  <c r="K47"/>
  <c r="R46"/>
  <c r="N46"/>
  <c r="P46" s="1"/>
  <c r="S46" s="1"/>
  <c r="L46"/>
  <c r="K46"/>
  <c r="R45"/>
  <c r="N45"/>
  <c r="P45" s="1"/>
  <c r="S45" s="1"/>
  <c r="L45"/>
  <c r="K45"/>
  <c r="R44"/>
  <c r="N44"/>
  <c r="P44" s="1"/>
  <c r="S44" s="1"/>
  <c r="L44"/>
  <c r="K44"/>
  <c r="R43"/>
  <c r="N43"/>
  <c r="P43" s="1"/>
  <c r="L43"/>
  <c r="K43"/>
  <c r="R42"/>
  <c r="N42"/>
  <c r="P42" s="1"/>
  <c r="L42"/>
  <c r="K42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N6"/>
  <c r="P6" s="1"/>
  <c r="L6"/>
  <c r="K6"/>
  <c r="V236" i="553" l="1" a="1"/>
  <c r="V236" s="1"/>
  <c r="V222" a="1"/>
  <c r="V222" s="1"/>
  <c r="K434"/>
  <c r="O434" s="1" a="1"/>
  <c r="O434" s="1"/>
  <c r="I452"/>
  <c r="K452"/>
  <c r="AA417"/>
  <c r="AA415"/>
  <c r="AA418"/>
  <c r="AA412"/>
  <c r="AA419"/>
  <c r="S403"/>
  <c r="S346"/>
  <c r="S324"/>
  <c r="S321"/>
  <c r="S318"/>
  <c r="S316"/>
  <c r="S256"/>
  <c r="S257"/>
  <c r="S236"/>
  <c r="S234"/>
  <c r="S218"/>
  <c r="S222"/>
  <c r="AA208"/>
  <c r="AA206"/>
  <c r="AA209"/>
  <c r="AA203"/>
  <c r="S137"/>
  <c r="S176"/>
  <c r="S194"/>
  <c r="S112"/>
  <c r="S78"/>
  <c r="S107"/>
  <c r="S49"/>
  <c r="S47"/>
  <c r="S29"/>
  <c r="S27"/>
  <c r="S9"/>
  <c r="V320" a="1"/>
  <c r="V320" s="1"/>
  <c r="V321" a="1"/>
  <c r="V321" s="1"/>
  <c r="V328" a="1"/>
  <c r="V328" s="1"/>
  <c r="V335" a="1"/>
  <c r="V335" s="1"/>
  <c r="V342" a="1"/>
  <c r="V342" s="1"/>
  <c r="V346" a="1"/>
  <c r="V346" s="1"/>
  <c r="V234" a="1"/>
  <c r="V234" s="1"/>
  <c r="V218" a="1"/>
  <c r="V218" s="1"/>
  <c r="V404" a="1"/>
  <c r="V404" s="1"/>
  <c r="V407" a="1"/>
  <c r="V407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22" a="1"/>
  <c r="V322" s="1"/>
  <c r="V323" a="1"/>
  <c r="V323" s="1"/>
  <c r="K408" a="1"/>
  <c r="K408" s="1"/>
  <c r="V235" a="1"/>
  <c r="V235" s="1"/>
  <c r="R408"/>
  <c r="V225" a="1"/>
  <c r="V225" s="1"/>
  <c r="V226" a="1"/>
  <c r="V226" s="1"/>
  <c r="V229" a="1"/>
  <c r="V229" s="1"/>
  <c r="V230" a="1"/>
  <c r="V230" s="1"/>
  <c r="V233" a="1"/>
  <c r="V233" s="1"/>
  <c r="P408"/>
  <c r="O409" s="1" a="1"/>
  <c r="O409" s="1"/>
  <c r="V219" a="1"/>
  <c r="V219" s="1"/>
  <c r="V220" a="1"/>
  <c r="V220" s="1"/>
  <c r="V221" a="1"/>
  <c r="V221" s="1"/>
  <c r="V217" a="1"/>
  <c r="V217" s="1"/>
  <c r="K433"/>
  <c r="O433" s="1" a="1"/>
  <c r="O433" s="1"/>
  <c r="K432"/>
  <c r="O432" s="1" a="1"/>
  <c r="O432" s="1"/>
  <c r="V196" a="1"/>
  <c r="V196" s="1"/>
  <c r="V198" a="1"/>
  <c r="V198" s="1"/>
  <c r="K199" a="1"/>
  <c r="K199" s="1"/>
  <c r="R199"/>
  <c r="V8" a="1"/>
  <c r="V8" s="1"/>
  <c r="V35" i="554" a="1"/>
  <c r="V35" s="1"/>
  <c r="K434"/>
  <c r="O434" s="1" a="1"/>
  <c r="O434" s="1"/>
  <c r="I452"/>
  <c r="K452"/>
  <c r="AA417"/>
  <c r="AA415"/>
  <c r="AA418"/>
  <c r="AA412"/>
  <c r="AA419"/>
  <c r="S400"/>
  <c r="S403"/>
  <c r="V403" a="1"/>
  <c r="V403" s="1"/>
  <c r="V402" a="1"/>
  <c r="V402" s="1"/>
  <c r="S404"/>
  <c r="S405"/>
  <c r="V386" a="1"/>
  <c r="V386" s="1"/>
  <c r="S387"/>
  <c r="S388"/>
  <c r="S389"/>
  <c r="V394" a="1"/>
  <c r="V394" s="1"/>
  <c r="S395"/>
  <c r="S396"/>
  <c r="S397"/>
  <c r="V385" a="1"/>
  <c r="V385" s="1"/>
  <c r="V387" a="1"/>
  <c r="V387" s="1"/>
  <c r="V388" a="1"/>
  <c r="V388" s="1"/>
  <c r="V389" a="1"/>
  <c r="V389" s="1"/>
  <c r="V391" a="1"/>
  <c r="V391" s="1"/>
  <c r="V392" a="1"/>
  <c r="V392" s="1"/>
  <c r="V393" a="1"/>
  <c r="V393" s="1"/>
  <c r="V395" a="1"/>
  <c r="V395" s="1"/>
  <c r="V396" a="1"/>
  <c r="V396" s="1"/>
  <c r="V397" a="1"/>
  <c r="V397" s="1"/>
  <c r="V399" a="1"/>
  <c r="V399" s="1"/>
  <c r="V400" a="1"/>
  <c r="V400" s="1"/>
  <c r="V401" a="1"/>
  <c r="V401" s="1"/>
  <c r="S402"/>
  <c r="V404" a="1"/>
  <c r="V404" s="1"/>
  <c r="V405" a="1"/>
  <c r="V405" s="1"/>
  <c r="V407" a="1"/>
  <c r="V407" s="1"/>
  <c r="S385"/>
  <c r="S378"/>
  <c r="S320"/>
  <c r="S321"/>
  <c r="S287"/>
  <c r="S267"/>
  <c r="S238"/>
  <c r="S247"/>
  <c r="R408"/>
  <c r="S220"/>
  <c r="S218"/>
  <c r="AA208"/>
  <c r="AA206"/>
  <c r="AA209"/>
  <c r="AA203"/>
  <c r="S191"/>
  <c r="S169"/>
  <c r="S111"/>
  <c r="S105"/>
  <c r="S78"/>
  <c r="S58"/>
  <c r="S35"/>
  <c r="S38"/>
  <c r="S11"/>
  <c r="V218" a="1"/>
  <c r="V218" s="1"/>
  <c r="S234"/>
  <c r="S235"/>
  <c r="S222"/>
  <c r="S229"/>
  <c r="S230"/>
  <c r="S231"/>
  <c r="V220" a="1"/>
  <c r="V220" s="1"/>
  <c r="S223"/>
  <c r="K408" a="1"/>
  <c r="K408" s="1"/>
  <c r="P408"/>
  <c r="O409" s="1" a="1"/>
  <c r="O409" s="1"/>
  <c r="V219" a="1"/>
  <c r="V219" s="1"/>
  <c r="V217" a="1"/>
  <c r="V217" s="1"/>
  <c r="K433"/>
  <c r="O433" s="1" a="1"/>
  <c r="O433" s="1"/>
  <c r="K432"/>
  <c r="O432" s="1" a="1"/>
  <c r="O432" s="1"/>
  <c r="V13" a="1"/>
  <c r="V13" s="1"/>
  <c r="V17" a="1"/>
  <c r="V17" s="1"/>
  <c r="V21" a="1"/>
  <c r="V21" s="1"/>
  <c r="V25" a="1"/>
  <c r="V25" s="1"/>
  <c r="V33" a="1"/>
  <c r="V33" s="1"/>
  <c r="V11" a="1"/>
  <c r="V11" s="1"/>
  <c r="K199" a="1"/>
  <c r="K199" s="1"/>
  <c r="R199"/>
  <c r="G42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7" a="1"/>
  <c r="V7" s="1"/>
  <c r="V8" a="1"/>
  <c r="V8" s="1"/>
  <c r="K434" i="555"/>
  <c r="O434" s="1" a="1"/>
  <c r="O434" s="1"/>
  <c r="E452"/>
  <c r="I452"/>
  <c r="AA417"/>
  <c r="AA415"/>
  <c r="AA418"/>
  <c r="AA412"/>
  <c r="AA419"/>
  <c r="S400"/>
  <c r="S404"/>
  <c r="S405"/>
  <c r="S379"/>
  <c r="S380"/>
  <c r="S381"/>
  <c r="S387"/>
  <c r="S388"/>
  <c r="S389"/>
  <c r="S395"/>
  <c r="S396"/>
  <c r="S397"/>
  <c r="S402"/>
  <c r="V405" a="1"/>
  <c r="V405" s="1"/>
  <c r="S378"/>
  <c r="S347"/>
  <c r="S320"/>
  <c r="S324"/>
  <c r="S314"/>
  <c r="S267"/>
  <c r="S271"/>
  <c r="S244"/>
  <c r="S243"/>
  <c r="S217"/>
  <c r="S220"/>
  <c r="AA208"/>
  <c r="AA206"/>
  <c r="AA209"/>
  <c r="AA203"/>
  <c r="S169"/>
  <c r="S170"/>
  <c r="S138"/>
  <c r="S141"/>
  <c r="S115"/>
  <c r="S74"/>
  <c r="S110"/>
  <c r="S59"/>
  <c r="S62"/>
  <c r="S34"/>
  <c r="S8"/>
  <c r="V324" a="1"/>
  <c r="V324" s="1"/>
  <c r="V320" a="1"/>
  <c r="V320" s="1"/>
  <c r="V325" a="1"/>
  <c r="V325" s="1"/>
  <c r="V329" a="1"/>
  <c r="V329" s="1"/>
  <c r="V336" a="1"/>
  <c r="V336" s="1"/>
  <c r="V341" a="1"/>
  <c r="V341" s="1"/>
  <c r="V345" a="1"/>
  <c r="V345" s="1"/>
  <c r="V347" a="1"/>
  <c r="V347" s="1"/>
  <c r="V349" a="1"/>
  <c r="V349" s="1"/>
  <c r="V356" a="1"/>
  <c r="V356" s="1"/>
  <c r="V377" a="1"/>
  <c r="V377" s="1"/>
  <c r="V321" a="1"/>
  <c r="V321" s="1"/>
  <c r="V271" a="1"/>
  <c r="V271" s="1"/>
  <c r="V243" a="1"/>
  <c r="V243" s="1"/>
  <c r="V220" a="1"/>
  <c r="V220" s="1"/>
  <c r="V404" a="1"/>
  <c r="V404" s="1"/>
  <c r="V407" a="1"/>
  <c r="V407" s="1"/>
  <c r="V348" a="1"/>
  <c r="V348" s="1"/>
  <c r="V351" a="1"/>
  <c r="V351" s="1"/>
  <c r="V352" a="1"/>
  <c r="V352" s="1"/>
  <c r="V357" a="1"/>
  <c r="V357" s="1"/>
  <c r="V358" a="1"/>
  <c r="V358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22" a="1"/>
  <c r="V322" s="1"/>
  <c r="V323" a="1"/>
  <c r="V323" s="1"/>
  <c r="V265" a="1"/>
  <c r="V265" s="1"/>
  <c r="V263" a="1"/>
  <c r="V263" s="1"/>
  <c r="V264" a="1"/>
  <c r="V26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42" a="1"/>
  <c r="V242" s="1"/>
  <c r="K408" a="1"/>
  <c r="K408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P408"/>
  <c r="R408"/>
  <c r="V218" a="1"/>
  <c r="V218" s="1"/>
  <c r="V216" a="1"/>
  <c r="V216" s="1"/>
  <c r="K433"/>
  <c r="O433" s="1" a="1"/>
  <c r="O433" s="1"/>
  <c r="K432"/>
  <c r="O432" s="1" a="1"/>
  <c r="O432" s="1"/>
  <c r="V13" a="1"/>
  <c r="V13" s="1"/>
  <c r="V17" a="1"/>
  <c r="V17" s="1"/>
  <c r="V21" a="1"/>
  <c r="V21" s="1"/>
  <c r="V25" a="1"/>
  <c r="V25" s="1"/>
  <c r="V33" a="1"/>
  <c r="V33" s="1"/>
  <c r="V35" a="1"/>
  <c r="V35" s="1"/>
  <c r="V43" a="1"/>
  <c r="V43" s="1"/>
  <c r="V51" a="1"/>
  <c r="V51" s="1"/>
  <c r="V55" a="1"/>
  <c r="V55" s="1"/>
  <c r="V59" a="1"/>
  <c r="V59" s="1"/>
  <c r="V62" a="1"/>
  <c r="V62" s="1"/>
  <c r="V73" a="1"/>
  <c r="V73" s="1"/>
  <c r="V149" a="1"/>
  <c r="V149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46"/>
  <c r="S147"/>
  <c r="S154"/>
  <c r="S155"/>
  <c r="S162"/>
  <c r="S163"/>
  <c r="V143" a="1"/>
  <c r="V143" s="1"/>
  <c r="S144"/>
  <c r="V147" a="1"/>
  <c r="V147" s="1"/>
  <c r="S148"/>
  <c r="S152"/>
  <c r="S156"/>
  <c r="S160"/>
  <c r="S164"/>
  <c r="S168"/>
  <c r="V170" a="1"/>
  <c r="V170" s="1"/>
  <c r="V142" a="1"/>
  <c r="V142" s="1"/>
  <c r="V146" a="1"/>
  <c r="V146" s="1"/>
  <c r="V148" a="1"/>
  <c r="V148" s="1"/>
  <c r="V168" a="1"/>
  <c r="V168" s="1"/>
  <c r="V64" a="1"/>
  <c r="V64" s="1"/>
  <c r="V70" a="1"/>
  <c r="V70" s="1"/>
  <c r="V72" a="1"/>
  <c r="V72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K199" a="1"/>
  <c r="K199" s="1"/>
  <c r="R199"/>
  <c r="G424" s="1"/>
  <c r="V7" a="1"/>
  <c r="V7" s="1"/>
  <c r="V141" i="556" a="1"/>
  <c r="V141" s="1"/>
  <c r="V36" a="1"/>
  <c r="V36" s="1"/>
  <c r="AA417"/>
  <c r="AA416"/>
  <c r="AA414"/>
  <c r="AA418"/>
  <c r="S175"/>
  <c r="AA208"/>
  <c r="AA206"/>
  <c r="AA209"/>
  <c r="AA417" i="528"/>
  <c r="AA416"/>
  <c r="AA414"/>
  <c r="AA418"/>
  <c r="M211" i="556"/>
  <c r="V183" a="1"/>
  <c r="V183" s="1"/>
  <c r="S184"/>
  <c r="S185"/>
  <c r="S187"/>
  <c r="S191"/>
  <c r="V175" a="1"/>
  <c r="V175" s="1"/>
  <c r="S176"/>
  <c r="S177"/>
  <c r="S179"/>
  <c r="S192"/>
  <c r="S193"/>
  <c r="S195"/>
  <c r="K434"/>
  <c r="O434" s="1" a="1"/>
  <c r="O434" s="1"/>
  <c r="AA412"/>
  <c r="AA419"/>
  <c r="S379"/>
  <c r="S350"/>
  <c r="S322"/>
  <c r="S283"/>
  <c r="S319"/>
  <c r="S267"/>
  <c r="S268"/>
  <c r="S242"/>
  <c r="S243"/>
  <c r="S217"/>
  <c r="AA203"/>
  <c r="S141"/>
  <c r="S58"/>
  <c r="S61"/>
  <c r="S113"/>
  <c r="S108"/>
  <c r="S110"/>
  <c r="S36"/>
  <c r="S33"/>
  <c r="V347" a="1"/>
  <c r="V347" s="1"/>
  <c r="V322" a="1"/>
  <c r="V322" s="1"/>
  <c r="V321" a="1"/>
  <c r="V321" s="1"/>
  <c r="V328" a="1"/>
  <c r="V328" s="1"/>
  <c r="V335" a="1"/>
  <c r="V335" s="1"/>
  <c r="V342" a="1"/>
  <c r="V342" s="1"/>
  <c r="V346" a="1"/>
  <c r="V346" s="1"/>
  <c r="V350" a="1"/>
  <c r="V350" s="1"/>
  <c r="V355" a="1"/>
  <c r="V355" s="1"/>
  <c r="V378" a="1"/>
  <c r="V378" s="1"/>
  <c r="V268" a="1"/>
  <c r="V268" s="1"/>
  <c r="V243" a="1"/>
  <c r="V243" s="1"/>
  <c r="V242" a="1"/>
  <c r="V242" s="1"/>
  <c r="V217" a="1"/>
  <c r="V217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51" a="1"/>
  <c r="V351" s="1"/>
  <c r="V352" a="1"/>
  <c r="V352" s="1"/>
  <c r="V357" a="1"/>
  <c r="V357" s="1"/>
  <c r="V358" a="1"/>
  <c r="V358" s="1"/>
  <c r="V348" a="1"/>
  <c r="V348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23" a="1"/>
  <c r="V323" s="1"/>
  <c r="V272" a="1"/>
  <c r="V272" s="1"/>
  <c r="V273" a="1"/>
  <c r="V273" s="1"/>
  <c r="V279" a="1"/>
  <c r="V279" s="1"/>
  <c r="V280" a="1"/>
  <c r="V280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41" a="1"/>
  <c r="V241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K408" a="1"/>
  <c r="K408" s="1"/>
  <c r="R408"/>
  <c r="V216" a="1"/>
  <c r="V216" s="1"/>
  <c r="P408"/>
  <c r="O409" s="1" a="1"/>
  <c r="O409" s="1"/>
  <c r="K433"/>
  <c r="O433" s="1" a="1"/>
  <c r="O433" s="1"/>
  <c r="K432"/>
  <c r="O432" s="1" a="1"/>
  <c r="O432" s="1"/>
  <c r="V171" a="1"/>
  <c r="V171" s="1"/>
  <c r="S172"/>
  <c r="S173"/>
  <c r="V179" a="1"/>
  <c r="V179" s="1"/>
  <c r="S180"/>
  <c r="S181"/>
  <c r="V187" a="1"/>
  <c r="V187" s="1"/>
  <c r="S188"/>
  <c r="S189"/>
  <c r="V195" a="1"/>
  <c r="V195" s="1"/>
  <c r="S196"/>
  <c r="S197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194"/>
  <c r="V197" a="1"/>
  <c r="V197" s="1"/>
  <c r="S198"/>
  <c r="V8" a="1"/>
  <c r="V8" s="1"/>
  <c r="V11" a="1"/>
  <c r="V11" s="1"/>
  <c r="V16" a="1"/>
  <c r="V16" s="1"/>
  <c r="V20" a="1"/>
  <c r="V20" s="1"/>
  <c r="V24" a="1"/>
  <c r="V24" s="1"/>
  <c r="V28" a="1"/>
  <c r="V28" s="1"/>
  <c r="V32" a="1"/>
  <c r="V32" s="1"/>
  <c r="V35" a="1"/>
  <c r="V35" s="1"/>
  <c r="V37" a="1"/>
  <c r="V37" s="1"/>
  <c r="V41" a="1"/>
  <c r="V41" s="1"/>
  <c r="V45" a="1"/>
  <c r="V45" s="1"/>
  <c r="V53" a="1"/>
  <c r="V53" s="1"/>
  <c r="V115" a="1"/>
  <c r="V115" s="1"/>
  <c r="V119" a="1"/>
  <c r="V119" s="1"/>
  <c r="V127" a="1"/>
  <c r="V127" s="1"/>
  <c r="V135" a="1"/>
  <c r="V135" s="1"/>
  <c r="V139" a="1"/>
  <c r="V139" s="1"/>
  <c r="V143" a="1"/>
  <c r="V143" s="1"/>
  <c r="V147" a="1"/>
  <c r="V147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42" a="1"/>
  <c r="V142" s="1"/>
  <c r="V146" a="1"/>
  <c r="V146" s="1"/>
  <c r="V148" a="1"/>
  <c r="V148" s="1"/>
  <c r="V168" a="1"/>
  <c r="V168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42" a="1"/>
  <c r="V42" s="1"/>
  <c r="V44" a="1"/>
  <c r="V44" s="1"/>
  <c r="V50" a="1"/>
  <c r="V50" s="1"/>
  <c r="V52" a="1"/>
  <c r="V52" s="1"/>
  <c r="V54" a="1"/>
  <c r="V54" s="1"/>
  <c r="V56" a="1"/>
  <c r="V56" s="1"/>
  <c r="V34" a="1"/>
  <c r="V34" s="1"/>
  <c r="K199" a="1"/>
  <c r="K199" s="1"/>
  <c r="R199"/>
  <c r="V7" a="1"/>
  <c r="V7" s="1"/>
  <c r="V12" a="1"/>
  <c r="V12" s="1"/>
  <c r="V13" a="1"/>
  <c r="V13" s="1"/>
  <c r="V17" a="1"/>
  <c r="V17" s="1"/>
  <c r="V19" a="1"/>
  <c r="V19" s="1"/>
  <c r="V21" a="1"/>
  <c r="V21" s="1"/>
  <c r="V23" a="1"/>
  <c r="V23" s="1"/>
  <c r="V25" a="1"/>
  <c r="V25" s="1"/>
  <c r="V27" a="1"/>
  <c r="V27" s="1"/>
  <c r="V31" a="1"/>
  <c r="V31" s="1"/>
  <c r="AA412" i="528"/>
  <c r="AA419"/>
  <c r="S384"/>
  <c r="S350"/>
  <c r="S322"/>
  <c r="S317"/>
  <c r="S270"/>
  <c r="S245"/>
  <c r="K432"/>
  <c r="O432" s="1" a="1"/>
  <c r="O432" s="1"/>
  <c r="V379" a="1"/>
  <c r="V379" s="1"/>
  <c r="V358" a="1"/>
  <c r="V358" s="1"/>
  <c r="V377" a="1"/>
  <c r="V377" s="1"/>
  <c r="V382" a="1"/>
  <c r="V382" s="1"/>
  <c r="V245" a="1"/>
  <c r="V245" s="1"/>
  <c r="AA203"/>
  <c r="AA204"/>
  <c r="M211"/>
  <c r="K433"/>
  <c r="O433" s="1" a="1"/>
  <c r="O433" s="1"/>
  <c r="S36"/>
  <c r="S48"/>
  <c r="V51" a="1"/>
  <c r="V51" s="1"/>
  <c r="S52"/>
  <c r="V55" a="1"/>
  <c r="V55" s="1"/>
  <c r="S56"/>
  <c r="V58" a="1"/>
  <c r="V58" s="1"/>
  <c r="S62"/>
  <c r="S66"/>
  <c r="S70"/>
  <c r="V73" a="1"/>
  <c r="V73" s="1"/>
  <c r="S74"/>
  <c r="V77" a="1"/>
  <c r="V77" s="1"/>
  <c r="S78"/>
  <c r="S82"/>
  <c r="S86"/>
  <c r="V90" a="1"/>
  <c r="V90" s="1"/>
  <c r="V94" a="1"/>
  <c r="V94" s="1"/>
  <c r="V98" a="1"/>
  <c r="V98" s="1"/>
  <c r="V102" a="1"/>
  <c r="V102" s="1"/>
  <c r="S106"/>
  <c r="S109"/>
  <c r="V112" a="1"/>
  <c r="V112" s="1"/>
  <c r="V116" a="1"/>
  <c r="V116" s="1"/>
  <c r="V120" a="1"/>
  <c r="V120" s="1"/>
  <c r="S124"/>
  <c r="V127" a="1"/>
  <c r="V127" s="1"/>
  <c r="S132"/>
  <c r="V135" a="1"/>
  <c r="V135" s="1"/>
  <c r="S136"/>
  <c r="V139" a="1"/>
  <c r="V139" s="1"/>
  <c r="S140"/>
  <c r="V143" a="1"/>
  <c r="V143" s="1"/>
  <c r="S144"/>
  <c r="V147" a="1"/>
  <c r="V147" s="1"/>
  <c r="S148"/>
  <c r="S152"/>
  <c r="S156"/>
  <c r="S160"/>
  <c r="S164"/>
  <c r="S168"/>
  <c r="V170" a="1"/>
  <c r="V170" s="1"/>
  <c r="V173" a="1"/>
  <c r="V173" s="1"/>
  <c r="S174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6" a="1"/>
  <c r="V406" s="1"/>
  <c r="V380" a="1"/>
  <c r="V380" s="1"/>
  <c r="V383" a="1"/>
  <c r="V383" s="1"/>
  <c r="V378" a="1"/>
  <c r="V378" s="1"/>
  <c r="V351" a="1"/>
  <c r="V351" s="1"/>
  <c r="V356" a="1"/>
  <c r="V356" s="1"/>
  <c r="V357" a="1"/>
  <c r="V357" s="1"/>
  <c r="P408"/>
  <c r="V244" a="1"/>
  <c r="V244" s="1"/>
  <c r="K408" a="1"/>
  <c r="K408" s="1"/>
  <c r="R408"/>
  <c r="V216" a="1"/>
  <c r="V216" s="1"/>
  <c r="V217" a="1"/>
  <c r="V217" s="1"/>
  <c r="V220" a="1"/>
  <c r="V220" s="1"/>
  <c r="V221" a="1"/>
  <c r="V221" s="1"/>
  <c r="V226" a="1"/>
  <c r="V226" s="1"/>
  <c r="V227" a="1"/>
  <c r="V227" s="1"/>
  <c r="V230" a="1"/>
  <c r="V230" s="1"/>
  <c r="V231" a="1"/>
  <c r="V231" s="1"/>
  <c r="V234" a="1"/>
  <c r="V234" s="1"/>
  <c r="V235" a="1"/>
  <c r="V235" s="1"/>
  <c r="V241" a="1"/>
  <c r="V241" s="1"/>
  <c r="V242" a="1"/>
  <c r="V242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42" a="1"/>
  <c r="V142" s="1"/>
  <c r="V146" a="1"/>
  <c r="V146" s="1"/>
  <c r="V148" a="1"/>
  <c r="V148" s="1"/>
  <c r="V168" a="1"/>
  <c r="V168" s="1"/>
  <c r="V114" a="1"/>
  <c r="V114" s="1"/>
  <c r="V115" a="1"/>
  <c r="V115" s="1"/>
  <c r="V118" a="1"/>
  <c r="V118" s="1"/>
  <c r="V119" a="1"/>
  <c r="V119" s="1"/>
  <c r="V126" a="1"/>
  <c r="V126" s="1"/>
  <c r="V129" a="1"/>
  <c r="V129" s="1"/>
  <c r="V132" a="1"/>
  <c r="V132" s="1"/>
  <c r="V134" a="1"/>
  <c r="V134" s="1"/>
  <c r="V136" a="1"/>
  <c r="V136" s="1"/>
  <c r="V138" a="1"/>
  <c r="V138" s="1"/>
  <c r="V140" a="1"/>
  <c r="V140" s="1"/>
  <c r="K199" a="1"/>
  <c r="K199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89" a="1"/>
  <c r="V89" s="1"/>
  <c r="V92" a="1"/>
  <c r="V92" s="1"/>
  <c r="V93" a="1"/>
  <c r="V93" s="1"/>
  <c r="V96" a="1"/>
  <c r="V96" s="1"/>
  <c r="V97" a="1"/>
  <c r="V97" s="1"/>
  <c r="V100" a="1"/>
  <c r="V100" s="1"/>
  <c r="V101" a="1"/>
  <c r="V101" s="1"/>
  <c r="V106" a="1"/>
  <c r="V106" s="1"/>
  <c r="V111" a="1"/>
  <c r="V111" s="1"/>
  <c r="V54" a="1"/>
  <c r="V54" s="1"/>
  <c r="V56" a="1"/>
  <c r="V56" s="1"/>
  <c r="P199"/>
  <c r="L199"/>
  <c r="R199"/>
  <c r="S37"/>
  <c r="S38"/>
  <c r="S39"/>
  <c r="S40"/>
  <c r="S41"/>
  <c r="V42" a="1"/>
  <c r="V42" s="1"/>
  <c r="S42"/>
  <c r="V43" a="1"/>
  <c r="V43" s="1"/>
  <c r="S43"/>
  <c r="V44" a="1"/>
  <c r="V44" s="1"/>
  <c r="V45" a="1"/>
  <c r="V45" s="1"/>
  <c r="V50" a="1"/>
  <c r="V50" s="1"/>
  <c r="V52" a="1"/>
  <c r="V52" s="1"/>
  <c r="S32"/>
  <c r="S33"/>
  <c r="S34"/>
  <c r="S35"/>
  <c r="L199" i="556"/>
  <c r="V6" a="1"/>
  <c r="V6" s="1"/>
  <c r="C423" i="530"/>
  <c r="C423" i="544"/>
  <c r="P199" i="556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555"/>
  <c r="V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L199" i="554"/>
  <c r="V6" a="1"/>
  <c r="V6" s="1"/>
  <c r="C423" i="532"/>
  <c r="P199" i="554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53"/>
  <c r="V6" a="1"/>
  <c r="V6" s="1"/>
  <c r="P199"/>
  <c r="S6"/>
  <c r="W200"/>
  <c r="AA210"/>
  <c r="V215" a="1"/>
  <c r="V215" s="1"/>
  <c r="S215"/>
  <c r="S408" s="1" a="1"/>
  <c r="S408" s="1"/>
  <c r="W409"/>
  <c r="I426" a="1"/>
  <c r="I426" s="1"/>
  <c r="C423" i="534"/>
  <c r="C423" i="536"/>
  <c r="C423" i="539"/>
  <c r="C423" i="542"/>
  <c r="W409" i="550"/>
  <c r="L199" i="552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51"/>
  <c r="K424" s="1"/>
  <c r="O200"/>
  <c r="V6" a="1"/>
  <c r="V6" s="1"/>
  <c r="W200" i="550"/>
  <c r="O424" s="1"/>
  <c r="L199" i="551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550" a="1"/>
  <c r="S211" s="1"/>
  <c r="M208" a="1"/>
  <c r="M208" s="1"/>
  <c r="M207" a="1"/>
  <c r="M207" s="1"/>
  <c r="M206" a="1"/>
  <c r="M206" s="1"/>
  <c r="M209" a="1"/>
  <c r="M209" s="1"/>
  <c r="C424"/>
  <c r="S6"/>
  <c r="K199" a="1"/>
  <c r="K199" s="1"/>
  <c r="C423" s="1"/>
  <c r="R199"/>
  <c r="G424" s="1"/>
  <c r="V6" a="1"/>
  <c r="V6" s="1"/>
  <c r="S26"/>
  <c r="S28"/>
  <c r="S31"/>
  <c r="S33"/>
  <c r="S35"/>
  <c r="S37"/>
  <c r="S42"/>
  <c r="S44"/>
  <c r="S46"/>
  <c r="S47"/>
  <c r="S48"/>
  <c r="S49"/>
  <c r="S50"/>
  <c r="S52"/>
  <c r="S54"/>
  <c r="S56"/>
  <c r="S59"/>
  <c r="S63"/>
  <c r="S65"/>
  <c r="S66"/>
  <c r="S67"/>
  <c r="S68"/>
  <c r="S69"/>
  <c r="S70"/>
  <c r="S72"/>
  <c r="S73"/>
  <c r="S74"/>
  <c r="S75"/>
  <c r="S76"/>
  <c r="S77"/>
  <c r="S78"/>
  <c r="S79"/>
  <c r="S80"/>
  <c r="S81"/>
  <c r="S424" a="1"/>
  <c r="S424" s="1"/>
  <c r="S82"/>
  <c r="S85"/>
  <c r="S86"/>
  <c r="S87"/>
  <c r="S88"/>
  <c r="S90"/>
  <c r="S92"/>
  <c r="S94"/>
  <c r="S96"/>
  <c r="S98"/>
  <c r="S100"/>
  <c r="S102"/>
  <c r="S107"/>
  <c r="S112"/>
  <c r="S114"/>
  <c r="S116"/>
  <c r="S118"/>
  <c r="S120"/>
  <c r="S127"/>
  <c r="S129"/>
  <c r="S133"/>
  <c r="S135"/>
  <c r="S137"/>
  <c r="S139"/>
  <c r="S141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4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528"/>
  <c r="C423" i="529"/>
  <c r="C423" i="531"/>
  <c r="C423" i="533"/>
  <c r="C423" i="537"/>
  <c r="C423" i="540"/>
  <c r="C423" i="545"/>
  <c r="L199" i="54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543"/>
  <c r="L199" i="54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46"/>
  <c r="K424" s="1"/>
  <c r="O200"/>
  <c r="S8"/>
  <c r="S9"/>
  <c r="S211" a="1"/>
  <c r="S211" s="1"/>
  <c r="M208" a="1"/>
  <c r="M208" s="1"/>
  <c r="M207" a="1"/>
  <c r="M207" s="1"/>
  <c r="M206" a="1"/>
  <c r="M206" s="1"/>
  <c r="V199"/>
  <c r="M209" a="1"/>
  <c r="M209" s="1"/>
  <c r="S6"/>
  <c r="S199" s="1" a="1"/>
  <c r="S199" s="1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45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4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4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542"/>
  <c r="S8"/>
  <c r="S9"/>
  <c r="S10"/>
  <c r="S11"/>
  <c r="C424"/>
  <c r="K424" s="1"/>
  <c r="O200"/>
  <c r="V6" a="1"/>
  <c r="V6" s="1"/>
  <c r="L199"/>
  <c r="S6"/>
  <c r="S199" s="1" a="1"/>
  <c r="S199" s="1"/>
  <c r="V12" a="1"/>
  <c r="V12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41"/>
  <c r="K424" s="1"/>
  <c r="O200"/>
  <c r="L199"/>
  <c r="V6" a="1"/>
  <c r="V6" s="1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4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539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S199" s="1" a="1"/>
  <c r="S199" s="1"/>
  <c r="C423" i="535"/>
  <c r="V6" i="539" a="1"/>
  <c r="V6" s="1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P199" i="538"/>
  <c r="S6"/>
  <c r="S199" s="1" a="1"/>
  <c r="S199" s="1"/>
  <c r="L199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3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3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35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3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533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S199" s="1" a="1"/>
  <c r="S199" s="1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32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531"/>
  <c r="S8"/>
  <c r="C424"/>
  <c r="K424" s="1"/>
  <c r="O200"/>
  <c r="V6" a="1"/>
  <c r="V6" s="1"/>
  <c r="L199"/>
  <c r="S6"/>
  <c r="S199" s="1" a="1"/>
  <c r="S199" s="1"/>
  <c r="V8" a="1"/>
  <c r="V8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3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9"/>
  <c r="V6" a="1"/>
  <c r="V6" s="1"/>
  <c r="C424"/>
  <c r="K424" s="1"/>
  <c r="O200"/>
  <c r="S6"/>
  <c r="S199" s="1" a="1"/>
  <c r="S199" s="1"/>
  <c r="W200" i="528"/>
  <c r="W200" i="529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28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V6" a="1"/>
  <c r="V6" s="1"/>
  <c r="AA210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L408"/>
  <c r="V215" a="1"/>
  <c r="V215" s="1"/>
  <c r="G211"/>
  <c r="S215"/>
  <c r="W409"/>
  <c r="O424" s="1"/>
  <c r="I426" a="1"/>
  <c r="I426" s="1"/>
  <c r="S199" i="553" l="1" a="1"/>
  <c r="S199" s="1"/>
  <c r="C423"/>
  <c r="G424"/>
  <c r="C423" i="554"/>
  <c r="O409" i="555" a="1"/>
  <c r="O409" s="1"/>
  <c r="C423"/>
  <c r="G424" i="556"/>
  <c r="C423"/>
  <c r="S408" i="528" a="1"/>
  <c r="S408" s="1"/>
  <c r="G424"/>
  <c r="K424" s="1"/>
  <c r="O409" a="1"/>
  <c r="O409" s="1"/>
  <c r="C424" i="556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55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M416" i="554" a="1"/>
  <c r="M416" s="1"/>
  <c r="M415" a="1"/>
  <c r="M415" s="1"/>
  <c r="S420" a="1"/>
  <c r="S420" s="1"/>
  <c r="M418" a="1"/>
  <c r="M418" s="1"/>
  <c r="V408" a="1"/>
  <c r="V408" s="1"/>
  <c r="G423"/>
  <c r="S211" a="1"/>
  <c r="S211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C424" i="55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1" i="55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i="55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50"/>
  <c r="O423"/>
  <c r="K423"/>
  <c r="G428"/>
  <c r="G426" a="1"/>
  <c r="G426" s="1"/>
  <c r="G427"/>
  <c r="G430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O200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K424"/>
  <c r="V199"/>
  <c r="S450" i="54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48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i="547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i="546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i="54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4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4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4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i="54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4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39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3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G423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3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3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3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3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33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0" i="532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3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i="53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2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M416" i="528" a="1"/>
  <c r="M416" s="1"/>
  <c r="M415" a="1"/>
  <c r="M415" s="1"/>
  <c r="V408" a="1"/>
  <c r="V408" s="1"/>
  <c r="S420" a="1"/>
  <c r="S420" s="1"/>
  <c r="M418" a="1"/>
  <c r="M418" s="1"/>
  <c r="G423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K6"/>
  <c r="K199" s="1" a="1"/>
  <c r="K199" s="1"/>
  <c r="C423" s="1"/>
  <c r="K424" i="556" l="1"/>
  <c r="S424" i="528" a="1"/>
  <c r="S424" s="1"/>
  <c r="G429" i="556"/>
  <c r="O423"/>
  <c r="K423"/>
  <c r="G426" a="1"/>
  <c r="G426" s="1"/>
  <c r="G430"/>
  <c r="G427"/>
  <c r="G429" i="555"/>
  <c r="O423"/>
  <c r="K423"/>
  <c r="G426" a="1"/>
  <c r="G426" s="1"/>
  <c r="G430"/>
  <c r="G427"/>
  <c r="G429" i="554"/>
  <c r="O423"/>
  <c r="K423"/>
  <c r="G427"/>
  <c r="G426" a="1"/>
  <c r="G426" s="1"/>
  <c r="G430"/>
  <c r="G429" i="553"/>
  <c r="O423"/>
  <c r="K423"/>
  <c r="G426" a="1"/>
  <c r="G426" s="1"/>
  <c r="G430"/>
  <c r="G427"/>
  <c r="G429" i="552"/>
  <c r="O423"/>
  <c r="K423"/>
  <c r="G427"/>
  <c r="G428"/>
  <c r="G426" a="1"/>
  <c r="G426" s="1"/>
  <c r="G430"/>
  <c r="R452"/>
  <c r="S423" s="1"/>
  <c r="G429" i="551"/>
  <c r="O423"/>
  <c r="S423"/>
  <c r="K423"/>
  <c r="G428"/>
  <c r="G426" a="1"/>
  <c r="G426" s="1"/>
  <c r="G430"/>
  <c r="G427"/>
  <c r="R452" i="550"/>
  <c r="S423" s="1"/>
  <c r="G429" i="549"/>
  <c r="O423"/>
  <c r="S423"/>
  <c r="K423"/>
  <c r="G428"/>
  <c r="G426" a="1"/>
  <c r="G426" s="1"/>
  <c r="G430"/>
  <c r="G427"/>
  <c r="G429" i="548"/>
  <c r="O423"/>
  <c r="K423"/>
  <c r="G427"/>
  <c r="G428"/>
  <c r="G426" a="1"/>
  <c r="G426" s="1"/>
  <c r="G430"/>
  <c r="R452"/>
  <c r="S423" s="1"/>
  <c r="G429" i="547"/>
  <c r="O423"/>
  <c r="K423"/>
  <c r="G427"/>
  <c r="G428"/>
  <c r="G426" a="1"/>
  <c r="G426" s="1"/>
  <c r="G430"/>
  <c r="R452"/>
  <c r="S423" s="1"/>
  <c r="G429" i="546"/>
  <c r="O423"/>
  <c r="K423"/>
  <c r="G427"/>
  <c r="G428"/>
  <c r="G426" a="1"/>
  <c r="G426" s="1"/>
  <c r="G430"/>
  <c r="R452"/>
  <c r="S423" s="1"/>
  <c r="G429" i="545"/>
  <c r="O423"/>
  <c r="K423"/>
  <c r="G427"/>
  <c r="G428"/>
  <c r="G426" a="1"/>
  <c r="G426" s="1"/>
  <c r="G430"/>
  <c r="R452"/>
  <c r="S423" s="1"/>
  <c r="G429" i="544"/>
  <c r="O423"/>
  <c r="S423"/>
  <c r="K423"/>
  <c r="G428"/>
  <c r="G426" a="1"/>
  <c r="G426" s="1"/>
  <c r="G430"/>
  <c r="G427"/>
  <c r="G429" i="543"/>
  <c r="O423"/>
  <c r="S423"/>
  <c r="K423"/>
  <c r="G428"/>
  <c r="G426" a="1"/>
  <c r="G426" s="1"/>
  <c r="G430"/>
  <c r="G427"/>
  <c r="G429" i="542"/>
  <c r="O423"/>
  <c r="K423"/>
  <c r="G427"/>
  <c r="G428"/>
  <c r="G426" a="1"/>
  <c r="G426" s="1"/>
  <c r="G430"/>
  <c r="R452"/>
  <c r="S423" s="1"/>
  <c r="G429" i="541"/>
  <c r="O423"/>
  <c r="K423"/>
  <c r="G427"/>
  <c r="G428"/>
  <c r="G426" a="1"/>
  <c r="G426" s="1"/>
  <c r="G430"/>
  <c r="R452"/>
  <c r="S423" s="1"/>
  <c r="G429" i="540"/>
  <c r="O423"/>
  <c r="S423"/>
  <c r="K423"/>
  <c r="G428"/>
  <c r="G426" a="1"/>
  <c r="G426" s="1"/>
  <c r="G430"/>
  <c r="G427"/>
  <c r="G429" i="538"/>
  <c r="O423"/>
  <c r="S423"/>
  <c r="K423"/>
  <c r="G428"/>
  <c r="G426" a="1"/>
  <c r="G426" s="1"/>
  <c r="G430"/>
  <c r="G427"/>
  <c r="G429" i="537"/>
  <c r="O423"/>
  <c r="S423"/>
  <c r="K423"/>
  <c r="G428"/>
  <c r="G426" a="1"/>
  <c r="G426" s="1"/>
  <c r="G430"/>
  <c r="G427"/>
  <c r="G429" i="536"/>
  <c r="O423"/>
  <c r="S423"/>
  <c r="K423"/>
  <c r="G428"/>
  <c r="G426" a="1"/>
  <c r="G426" s="1"/>
  <c r="G430"/>
  <c r="G427"/>
  <c r="G429" i="535"/>
  <c r="O423"/>
  <c r="S423"/>
  <c r="K423"/>
  <c r="G428"/>
  <c r="G426" a="1"/>
  <c r="G426" s="1"/>
  <c r="G430"/>
  <c r="G427"/>
  <c r="G429" i="534"/>
  <c r="O423"/>
  <c r="S423"/>
  <c r="K423"/>
  <c r="G428"/>
  <c r="G426" a="1"/>
  <c r="G426" s="1"/>
  <c r="G430"/>
  <c r="G427"/>
  <c r="G429" i="533"/>
  <c r="O423"/>
  <c r="K423"/>
  <c r="G427"/>
  <c r="G428"/>
  <c r="G426" a="1"/>
  <c r="G426" s="1"/>
  <c r="G430"/>
  <c r="R452"/>
  <c r="S423" s="1"/>
  <c r="G429" i="532"/>
  <c r="O423"/>
  <c r="S423"/>
  <c r="K423"/>
  <c r="G428"/>
  <c r="G426" a="1"/>
  <c r="G426" s="1"/>
  <c r="G430"/>
  <c r="G427"/>
  <c r="G429" i="531"/>
  <c r="O423"/>
  <c r="S423"/>
  <c r="K423"/>
  <c r="G428"/>
  <c r="G426" a="1"/>
  <c r="G426" s="1"/>
  <c r="G430"/>
  <c r="G427"/>
  <c r="G429" i="530"/>
  <c r="O423"/>
  <c r="S423"/>
  <c r="K423"/>
  <c r="G428"/>
  <c r="G426" a="1"/>
  <c r="G426" s="1"/>
  <c r="G430"/>
  <c r="G427"/>
  <c r="G429" i="529"/>
  <c r="O423"/>
  <c r="S423"/>
  <c r="K423"/>
  <c r="G428"/>
  <c r="G426" a="1"/>
  <c r="G426" s="1"/>
  <c r="G430"/>
  <c r="G427"/>
  <c r="G429" i="528"/>
  <c r="O423"/>
  <c r="K423"/>
  <c r="G427"/>
  <c r="G430"/>
  <c r="G426" a="1"/>
  <c r="G426" s="1"/>
  <c r="L199" i="512"/>
  <c r="M208" s="1" a="1"/>
  <c r="M208" s="1"/>
  <c r="S27"/>
  <c r="C424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S6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V199" l="1"/>
  <c r="M207" a="1"/>
  <c r="M207" s="1"/>
  <c r="S199" a="1"/>
  <c r="S199" s="1"/>
  <c r="M209" a="1"/>
  <c r="M209" s="1"/>
  <c r="M206" a="1"/>
  <c r="M206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G429" l="1"/>
  <c r="O423"/>
  <c r="K423"/>
  <c r="G427"/>
  <c r="G428"/>
  <c r="G426" a="1"/>
  <c r="G426" s="1"/>
  <c r="G430"/>
  <c r="R452"/>
  <c r="S423" s="1"/>
  <c r="C451" i="486" l="1"/>
  <c r="U451" s="1" a="1"/>
  <c r="U451" s="1"/>
  <c r="P450"/>
  <c r="O450"/>
  <c r="N450"/>
  <c r="M450"/>
  <c r="L450"/>
  <c r="K450"/>
  <c r="I450"/>
  <c r="H450"/>
  <c r="G450"/>
  <c r="F450"/>
  <c r="E450"/>
  <c r="D450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N406"/>
  <c r="L406"/>
  <c r="K406"/>
  <c r="R405"/>
  <c r="P405"/>
  <c r="N405"/>
  <c r="L405"/>
  <c r="K405"/>
  <c r="R404"/>
  <c r="P404"/>
  <c r="N404"/>
  <c r="L404"/>
  <c r="K404"/>
  <c r="R403"/>
  <c r="P403"/>
  <c r="N403"/>
  <c r="L403"/>
  <c r="K403"/>
  <c r="R402"/>
  <c r="P402"/>
  <c r="N402"/>
  <c r="L402"/>
  <c r="K402"/>
  <c r="R401"/>
  <c r="P401"/>
  <c r="N401"/>
  <c r="L401"/>
  <c r="K401"/>
  <c r="R400"/>
  <c r="P400"/>
  <c r="N400"/>
  <c r="L400"/>
  <c r="K400"/>
  <c r="R399"/>
  <c r="P399"/>
  <c r="N399"/>
  <c r="L399"/>
  <c r="K399"/>
  <c r="R398"/>
  <c r="P398"/>
  <c r="N398"/>
  <c r="L398"/>
  <c r="K398"/>
  <c r="R397"/>
  <c r="P397"/>
  <c r="N397"/>
  <c r="L397"/>
  <c r="K397"/>
  <c r="R396"/>
  <c r="P396"/>
  <c r="N396"/>
  <c r="L396"/>
  <c r="K396"/>
  <c r="R395"/>
  <c r="P395"/>
  <c r="N395"/>
  <c r="L395"/>
  <c r="K395"/>
  <c r="R394"/>
  <c r="P394"/>
  <c r="N394"/>
  <c r="L394"/>
  <c r="K394"/>
  <c r="R393"/>
  <c r="P393"/>
  <c r="N393"/>
  <c r="L393"/>
  <c r="K393"/>
  <c r="R392"/>
  <c r="P392"/>
  <c r="N392"/>
  <c r="L392"/>
  <c r="K392"/>
  <c r="R391"/>
  <c r="P391"/>
  <c r="N391"/>
  <c r="L391"/>
  <c r="K391"/>
  <c r="R390"/>
  <c r="P390"/>
  <c r="N390"/>
  <c r="L390"/>
  <c r="K390"/>
  <c r="R389"/>
  <c r="P389"/>
  <c r="N389"/>
  <c r="L389"/>
  <c r="K389"/>
  <c r="R388"/>
  <c r="P388"/>
  <c r="N388"/>
  <c r="L388"/>
  <c r="K388"/>
  <c r="R387"/>
  <c r="P387"/>
  <c r="N387"/>
  <c r="L387"/>
  <c r="K387"/>
  <c r="R386"/>
  <c r="P386"/>
  <c r="N386"/>
  <c r="L386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N382"/>
  <c r="L382"/>
  <c r="K382"/>
  <c r="R381"/>
  <c r="P381"/>
  <c r="N381"/>
  <c r="L381"/>
  <c r="K381"/>
  <c r="R380"/>
  <c r="P380"/>
  <c r="N380"/>
  <c r="L380"/>
  <c r="K380"/>
  <c r="R379"/>
  <c r="P379"/>
  <c r="N379"/>
  <c r="L379"/>
  <c r="K379"/>
  <c r="R378"/>
  <c r="P378"/>
  <c r="N378"/>
  <c r="L378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N338"/>
  <c r="L338"/>
  <c r="K338"/>
  <c r="R337"/>
  <c r="P337"/>
  <c r="N337"/>
  <c r="L337"/>
  <c r="K337"/>
  <c r="R336"/>
  <c r="P336"/>
  <c r="N336"/>
  <c r="L336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N312"/>
  <c r="L312"/>
  <c r="K312"/>
  <c r="R311"/>
  <c r="P311"/>
  <c r="N311"/>
  <c r="L31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K293"/>
  <c r="R292"/>
  <c r="P292"/>
  <c r="N292"/>
  <c r="L292"/>
  <c r="K292"/>
  <c r="R291"/>
  <c r="P291"/>
  <c r="N291"/>
  <c r="L291"/>
  <c r="K291"/>
  <c r="R290"/>
  <c r="P290"/>
  <c r="N290"/>
  <c r="L290"/>
  <c r="K290"/>
  <c r="R289"/>
  <c r="P289"/>
  <c r="N289"/>
  <c r="L289"/>
  <c r="K289"/>
  <c r="R288"/>
  <c r="P288"/>
  <c r="N288"/>
  <c r="L288"/>
  <c r="K288"/>
  <c r="R287"/>
  <c r="P287"/>
  <c r="N287"/>
  <c r="L287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K279"/>
  <c r="R278"/>
  <c r="P278"/>
  <c r="N278"/>
  <c r="L278"/>
  <c r="K278"/>
  <c r="R277"/>
  <c r="P277"/>
  <c r="N277"/>
  <c r="L277"/>
  <c r="K277"/>
  <c r="R276"/>
  <c r="P276"/>
  <c r="N276"/>
  <c r="L276"/>
  <c r="K276"/>
  <c r="R275"/>
  <c r="P275"/>
  <c r="N275"/>
  <c r="L275"/>
  <c r="K275"/>
  <c r="R274"/>
  <c r="P274"/>
  <c r="N274"/>
  <c r="L274"/>
  <c r="K274"/>
  <c r="R273"/>
  <c r="P273"/>
  <c r="N273"/>
  <c r="L273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K263"/>
  <c r="R262"/>
  <c r="P262"/>
  <c r="N262"/>
  <c r="L262"/>
  <c r="K262"/>
  <c r="R261"/>
  <c r="P261"/>
  <c r="N261"/>
  <c r="L261"/>
  <c r="K261"/>
  <c r="R260"/>
  <c r="P260"/>
  <c r="N260"/>
  <c r="L260"/>
  <c r="K260"/>
  <c r="R259"/>
  <c r="P259"/>
  <c r="N259"/>
  <c r="L259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N251"/>
  <c r="L251"/>
  <c r="K251"/>
  <c r="R250"/>
  <c r="P250"/>
  <c r="N250"/>
  <c r="L250"/>
  <c r="K250"/>
  <c r="R249"/>
  <c r="P249"/>
  <c r="N249"/>
  <c r="L249"/>
  <c r="K249"/>
  <c r="R248"/>
  <c r="P248"/>
  <c r="N248"/>
  <c r="L248"/>
  <c r="K248"/>
  <c r="R247"/>
  <c r="P247"/>
  <c r="N247"/>
  <c r="L247"/>
  <c r="K247"/>
  <c r="R246"/>
  <c r="P246"/>
  <c r="N246"/>
  <c r="L246"/>
  <c r="K246"/>
  <c r="R245"/>
  <c r="P245"/>
  <c r="N245"/>
  <c r="L245"/>
  <c r="K245"/>
  <c r="R244"/>
  <c r="P244"/>
  <c r="N244"/>
  <c r="L244"/>
  <c r="K244"/>
  <c r="R243"/>
  <c r="P243"/>
  <c r="N243"/>
  <c r="L243"/>
  <c r="K243"/>
  <c r="R242"/>
  <c r="P242"/>
  <c r="N242"/>
  <c r="L242"/>
  <c r="K242"/>
  <c r="R241"/>
  <c r="P241"/>
  <c r="N241"/>
  <c r="L241"/>
  <c r="K241"/>
  <c r="R240"/>
  <c r="P240"/>
  <c r="N240"/>
  <c r="L240"/>
  <c r="K240"/>
  <c r="R239"/>
  <c r="P239"/>
  <c r="N239"/>
  <c r="L239"/>
  <c r="K239"/>
  <c r="R238"/>
  <c r="P238"/>
  <c r="N238"/>
  <c r="L238"/>
  <c r="K238"/>
  <c r="R237"/>
  <c r="P237"/>
  <c r="N237"/>
  <c r="L237"/>
  <c r="K237"/>
  <c r="R236"/>
  <c r="P236"/>
  <c r="N236"/>
  <c r="L236"/>
  <c r="K236"/>
  <c r="R235"/>
  <c r="P235"/>
  <c r="N235"/>
  <c r="L235"/>
  <c r="K235"/>
  <c r="R234"/>
  <c r="P234"/>
  <c r="N234"/>
  <c r="L234"/>
  <c r="K234"/>
  <c r="R233"/>
  <c r="P233"/>
  <c r="N233"/>
  <c r="L233"/>
  <c r="K233"/>
  <c r="R232"/>
  <c r="P232"/>
  <c r="N232"/>
  <c r="L232"/>
  <c r="K232"/>
  <c r="R231"/>
  <c r="P231"/>
  <c r="N231"/>
  <c r="L231"/>
  <c r="K231"/>
  <c r="R230"/>
  <c r="P230"/>
  <c r="N230"/>
  <c r="L230"/>
  <c r="K230"/>
  <c r="R229"/>
  <c r="P229"/>
  <c r="N229"/>
  <c r="L229"/>
  <c r="K229"/>
  <c r="R228"/>
  <c r="P228"/>
  <c r="N228"/>
  <c r="L228"/>
  <c r="K228"/>
  <c r="R227"/>
  <c r="P227"/>
  <c r="N227"/>
  <c r="L227"/>
  <c r="K227"/>
  <c r="R226"/>
  <c r="P226"/>
  <c r="N226"/>
  <c r="L226"/>
  <c r="K226"/>
  <c r="R225"/>
  <c r="P225"/>
  <c r="N225"/>
  <c r="L225"/>
  <c r="K225"/>
  <c r="R224"/>
  <c r="P224"/>
  <c r="N224"/>
  <c r="L224"/>
  <c r="K224"/>
  <c r="R223"/>
  <c r="P223"/>
  <c r="N223"/>
  <c r="L223"/>
  <c r="K223"/>
  <c r="R222"/>
  <c r="P222"/>
  <c r="N222"/>
  <c r="L222"/>
  <c r="K222"/>
  <c r="R221"/>
  <c r="P221"/>
  <c r="N221"/>
  <c r="L221"/>
  <c r="K221"/>
  <c r="R220"/>
  <c r="P220"/>
  <c r="N220"/>
  <c r="L220"/>
  <c r="K220"/>
  <c r="R219"/>
  <c r="P219"/>
  <c r="N219"/>
  <c r="L219"/>
  <c r="K219"/>
  <c r="R218"/>
  <c r="P218"/>
  <c r="N218"/>
  <c r="L218"/>
  <c r="K218"/>
  <c r="R217"/>
  <c r="P217"/>
  <c r="N217"/>
  <c r="L217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N185"/>
  <c r="L185"/>
  <c r="K185"/>
  <c r="R184"/>
  <c r="P184"/>
  <c r="N184"/>
  <c r="L184"/>
  <c r="K184"/>
  <c r="R183"/>
  <c r="P183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D452" l="1"/>
  <c r="V217" a="1"/>
  <c r="V217" s="1"/>
  <c r="S219"/>
  <c r="V221" a="1"/>
  <c r="V221" s="1"/>
  <c r="S221"/>
  <c r="S225"/>
  <c r="V227" a="1"/>
  <c r="V227" s="1"/>
  <c r="S227"/>
  <c r="S229"/>
  <c r="V231" a="1"/>
  <c r="V231" s="1"/>
  <c r="S231"/>
  <c r="S233"/>
  <c r="V235" a="1"/>
  <c r="V235" s="1"/>
  <c r="V239" a="1"/>
  <c r="V239" s="1"/>
  <c r="V243" a="1"/>
  <c r="V243" s="1"/>
  <c r="V251" a="1"/>
  <c r="V251" s="1"/>
  <c r="V259" a="1"/>
  <c r="V259" s="1"/>
  <c r="S261"/>
  <c r="V267" a="1"/>
  <c r="V267" s="1"/>
  <c r="V273" a="1"/>
  <c r="V273" s="1"/>
  <c r="S273"/>
  <c r="S275"/>
  <c r="S277"/>
  <c r="V279" a="1"/>
  <c r="V279" s="1"/>
  <c r="V283" a="1"/>
  <c r="V283" s="1"/>
  <c r="V287" a="1"/>
  <c r="V287" s="1"/>
  <c r="S289"/>
  <c r="V291" a="1"/>
  <c r="V291" s="1"/>
  <c r="V293" a="1"/>
  <c r="V293" s="1"/>
  <c r="V299" a="1"/>
  <c r="V299" s="1"/>
  <c r="V303" a="1"/>
  <c r="V303" s="1"/>
  <c r="S251"/>
  <c r="V263" a="1"/>
  <c r="V263" s="1"/>
  <c r="S237"/>
  <c r="V307" a="1"/>
  <c r="V307" s="1"/>
  <c r="S235"/>
  <c r="S245"/>
  <c r="V311" a="1"/>
  <c r="V311" s="1"/>
  <c r="S243"/>
  <c r="S247"/>
  <c r="S249"/>
  <c r="S239"/>
  <c r="S241"/>
  <c r="AA413"/>
  <c r="S223"/>
  <c r="AA204"/>
  <c r="S312"/>
  <c r="V316" a="1"/>
  <c r="V316" s="1"/>
  <c r="V320" a="1"/>
  <c r="V320" s="1"/>
  <c r="V324" a="1"/>
  <c r="V324" s="1"/>
  <c r="V328" a="1"/>
  <c r="V328" s="1"/>
  <c r="V336" a="1"/>
  <c r="V336" s="1"/>
  <c r="S338"/>
  <c r="V342" a="1"/>
  <c r="V342" s="1"/>
  <c r="V346" a="1"/>
  <c r="V346" s="1"/>
  <c r="V350" a="1"/>
  <c r="V350" s="1"/>
  <c r="V356" a="1"/>
  <c r="V356" s="1"/>
  <c r="V378" a="1"/>
  <c r="V378" s="1"/>
  <c r="S380"/>
  <c r="V382" a="1"/>
  <c r="V382" s="1"/>
  <c r="S382"/>
  <c r="V386" a="1"/>
  <c r="V386" s="1"/>
  <c r="S386"/>
  <c r="S388"/>
  <c r="V390" a="1"/>
  <c r="V390" s="1"/>
  <c r="S390"/>
  <c r="S392"/>
  <c r="S394"/>
  <c r="V396" a="1"/>
  <c r="V396" s="1"/>
  <c r="S396"/>
  <c r="S398"/>
  <c r="S400"/>
  <c r="S402"/>
  <c r="V404" a="1"/>
  <c r="V404" s="1"/>
  <c r="S404"/>
  <c r="S406"/>
  <c r="S183"/>
  <c r="S185"/>
  <c r="S197"/>
  <c r="V100" a="1"/>
  <c r="V100" s="1"/>
  <c r="V58" a="1"/>
  <c r="V58" s="1"/>
  <c r="K434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6" a="1"/>
  <c r="V6" s="1"/>
  <c r="S6"/>
  <c r="W200"/>
  <c r="AA210"/>
  <c r="V215" a="1"/>
  <c r="V215" s="1"/>
  <c r="S215"/>
  <c r="C452"/>
  <c r="J452" s="1"/>
  <c r="Q452" s="1"/>
  <c r="S452" s="1" a="1"/>
  <c r="S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T452" l="1" a="1"/>
  <c r="T452" s="1"/>
  <c r="U452" a="1"/>
  <c r="U452" s="1"/>
  <c r="S408" a="1"/>
  <c r="S408" s="1"/>
  <c r="S199" a="1"/>
  <c r="S19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R452" l="1"/>
  <c r="S423" s="1"/>
  <c r="G429"/>
  <c r="O423"/>
  <c r="K423"/>
  <c r="G426" a="1"/>
  <c r="G426" s="1"/>
  <c r="G430"/>
  <c r="G427"/>
  <c r="K417" l="1"/>
  <c r="G420" l="1"/>
  <c r="M417" a="1"/>
  <c r="M417" s="1"/>
  <c r="M420"/>
  <c r="K208" l="1"/>
  <c r="M211" l="1"/>
  <c r="M208" a="1"/>
  <c r="M208" s="1"/>
  <c r="C428"/>
  <c r="G211"/>
  <c r="K429" l="1"/>
  <c r="G428"/>
  <c r="K430"/>
  <c r="K417" i="528" l="1"/>
  <c r="G420" s="1"/>
  <c r="M417" l="1" a="1"/>
  <c r="M417" s="1"/>
  <c r="M420"/>
  <c r="C428"/>
  <c r="G428" l="1"/>
  <c r="K429"/>
  <c r="K430"/>
  <c r="K417" i="556"/>
  <c r="M420" s="1"/>
  <c r="C428" l="1"/>
  <c r="G420"/>
  <c r="M417" a="1"/>
  <c r="M417" s="1"/>
  <c r="G428" l="1"/>
  <c r="K429"/>
  <c r="K430"/>
  <c r="C438" i="528" l="1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T451" s="1" a="1"/>
  <c r="T451" s="1"/>
  <c r="C452"/>
  <c r="T452" s="1" a="1"/>
  <c r="T452" s="1"/>
  <c r="C439"/>
  <c r="T439" s="1" a="1"/>
  <c r="T439" s="1"/>
  <c r="C441"/>
  <c r="J441" s="1"/>
  <c r="Q441" s="1"/>
  <c r="C449"/>
  <c r="T449" s="1" a="1"/>
  <c r="T449" s="1"/>
  <c r="C447"/>
  <c r="J447" s="1"/>
  <c r="Q447" s="1"/>
  <c r="C443"/>
  <c r="U443" s="1" a="1"/>
  <c r="U443" s="1"/>
  <c r="T447" l="1" a="1"/>
  <c r="T447" s="1"/>
  <c r="R447"/>
  <c r="S447" a="1"/>
  <c r="S447" s="1"/>
  <c r="R441"/>
  <c r="S441" a="1"/>
  <c r="S441" s="1"/>
  <c r="J449"/>
  <c r="Q449" s="1"/>
  <c r="J443"/>
  <c r="Q443" s="1"/>
  <c r="J439"/>
  <c r="Q439" s="1"/>
  <c r="J451"/>
  <c r="Q451" s="1"/>
  <c r="J437"/>
  <c r="Q437" s="1"/>
  <c r="J448"/>
  <c r="Q448" s="1"/>
  <c r="J444"/>
  <c r="Q444" s="1"/>
  <c r="J440"/>
  <c r="Q440" s="1"/>
  <c r="T441" a="1"/>
  <c r="T441" s="1"/>
  <c r="J452"/>
  <c r="Q452" s="1"/>
  <c r="S452" s="1" a="1"/>
  <c r="S452" s="1"/>
  <c r="J445"/>
  <c r="Q445" s="1"/>
  <c r="J450"/>
  <c r="Q450" s="1"/>
  <c r="J446"/>
  <c r="Q446" s="1"/>
  <c r="J442"/>
  <c r="Q442" s="1"/>
  <c r="J438"/>
  <c r="Q438" s="1"/>
  <c r="U452" a="1"/>
  <c r="U452" s="1"/>
  <c r="U451" a="1"/>
  <c r="U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4" a="1"/>
  <c r="S444" s="1"/>
  <c r="R444"/>
  <c r="S437" a="1"/>
  <c r="S437" s="1"/>
  <c r="R437"/>
  <c r="R439"/>
  <c r="S439" a="1"/>
  <c r="S439" s="1"/>
  <c r="R449"/>
  <c r="S449" a="1"/>
  <c r="S449" s="1"/>
  <c r="R442"/>
  <c r="S442" a="1"/>
  <c r="S442" s="1"/>
  <c r="R450"/>
  <c r="S450" a="1"/>
  <c r="S450" s="1"/>
  <c r="S440" a="1"/>
  <c r="S440" s="1"/>
  <c r="R440"/>
  <c r="S448" a="1"/>
  <c r="S448" s="1"/>
  <c r="R448"/>
  <c r="S451" a="1"/>
  <c r="S451" s="1"/>
  <c r="R451"/>
  <c r="S443" a="1"/>
  <c r="S443" s="1"/>
  <c r="R443"/>
  <c r="R452" s="1"/>
  <c r="S423" s="1"/>
  <c r="C452" i="556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 l="1"/>
  <c r="Q443" s="1"/>
  <c r="S443" s="1" a="1"/>
  <c r="S443" s="1"/>
  <c r="J447"/>
  <c r="Q447" s="1"/>
  <c r="J439"/>
  <c r="Q439" s="1"/>
  <c r="J445"/>
  <c r="Q445" s="1"/>
  <c r="J450"/>
  <c r="Q450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6"/>
  <c r="Q446" s="1"/>
  <c r="J438"/>
  <c r="Q438" s="1"/>
  <c r="T451" a="1"/>
  <c r="T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R443" l="1"/>
  <c r="R446"/>
  <c r="S446" a="1"/>
  <c r="S446" s="1"/>
  <c r="R444"/>
  <c r="S444" a="1"/>
  <c r="S444" s="1"/>
  <c r="S437" a="1"/>
  <c r="S437" s="1"/>
  <c r="R437"/>
  <c r="S441" a="1"/>
  <c r="S441" s="1"/>
  <c r="R441"/>
  <c r="R442"/>
  <c r="S442" a="1"/>
  <c r="S442" s="1"/>
  <c r="S445" a="1"/>
  <c r="S445" s="1"/>
  <c r="R445"/>
  <c r="S447" a="1"/>
  <c r="S447" s="1"/>
  <c r="R447"/>
  <c r="R438"/>
  <c r="S438" a="1"/>
  <c r="S438" s="1"/>
  <c r="R440"/>
  <c r="S440" a="1"/>
  <c r="S440" s="1"/>
  <c r="R448"/>
  <c r="S448" a="1"/>
  <c r="S448" s="1"/>
  <c r="S451" a="1"/>
  <c r="S451" s="1"/>
  <c r="R451"/>
  <c r="R452" s="1"/>
  <c r="S423" s="1"/>
  <c r="S449" a="1"/>
  <c r="S449" s="1"/>
  <c r="R449"/>
  <c r="R450"/>
  <c r="S450" a="1"/>
  <c r="S450" s="1"/>
  <c r="S439" a="1"/>
  <c r="S439" s="1"/>
  <c r="R439"/>
  <c r="C452" i="555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J439" s="1"/>
  <c r="Q439" s="1"/>
  <c r="C447"/>
  <c r="J447" s="1"/>
  <c r="Q447" s="1"/>
  <c r="C449"/>
  <c r="J449" s="1"/>
  <c r="Q449" s="1"/>
  <c r="C441"/>
  <c r="T441" s="1" a="1"/>
  <c r="T441" s="1"/>
  <c r="J441"/>
  <c r="Q441" s="1"/>
  <c r="C443"/>
  <c r="J443" s="1"/>
  <c r="Q443" s="1"/>
  <c r="R441" l="1"/>
  <c r="S441" a="1"/>
  <c r="S441" s="1"/>
  <c r="R449"/>
  <c r="S449" a="1"/>
  <c r="S449" s="1"/>
  <c r="R439"/>
  <c r="S439" a="1"/>
  <c r="S439" s="1"/>
  <c r="R445"/>
  <c r="S445" a="1"/>
  <c r="S445" s="1"/>
  <c r="R443"/>
  <c r="S443" a="1"/>
  <c r="S443" s="1"/>
  <c r="R447"/>
  <c r="S447" a="1"/>
  <c r="S447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50"/>
  <c r="Q450" s="1"/>
  <c r="J446"/>
  <c r="Q446" s="1"/>
  <c r="J442"/>
  <c r="Q442" s="1"/>
  <c r="J438"/>
  <c r="Q438" s="1"/>
  <c r="T449" a="1"/>
  <c r="T449" s="1"/>
  <c r="T447" a="1"/>
  <c r="T447" s="1"/>
  <c r="T439" a="1"/>
  <c r="T439" s="1"/>
  <c r="T451" a="1"/>
  <c r="T451" s="1"/>
  <c r="U451" a="1"/>
  <c r="U451" s="1"/>
  <c r="U445" a="1"/>
  <c r="U445" s="1"/>
  <c r="T445" a="1"/>
  <c r="T445" s="1"/>
  <c r="T443" a="1"/>
  <c r="T443" s="1"/>
  <c r="U443" a="1"/>
  <c r="U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S442" l="1" a="1"/>
  <c r="S442" s="1"/>
  <c r="R442"/>
  <c r="S450" a="1"/>
  <c r="S450" s="1"/>
  <c r="R450"/>
  <c r="R452"/>
  <c r="S423" s="1"/>
  <c r="S438" a="1"/>
  <c r="S438" s="1"/>
  <c r="R438"/>
  <c r="S446" a="1"/>
  <c r="S446" s="1"/>
  <c r="R446"/>
  <c r="K208"/>
  <c r="G211" s="1"/>
  <c r="M211" l="1"/>
  <c r="M208" a="1"/>
  <c r="M208" s="1"/>
  <c r="C437" i="554" l="1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T452" s="1" a="1"/>
  <c r="T452" s="1"/>
  <c r="C440"/>
  <c r="T440" s="1" a="1"/>
  <c r="T440" s="1"/>
  <c r="C442"/>
  <c r="J442" s="1"/>
  <c r="Q442" s="1"/>
  <c r="C446"/>
  <c r="T446" s="1" a="1"/>
  <c r="T446" s="1"/>
  <c r="C448"/>
  <c r="T448" s="1" a="1"/>
  <c r="T448" s="1"/>
  <c r="C443"/>
  <c r="U443" s="1" a="1"/>
  <c r="U443" s="1"/>
  <c r="J447" l="1"/>
  <c r="Q447" s="1"/>
  <c r="R447" s="1"/>
  <c r="U450" a="1"/>
  <c r="U450" s="1"/>
  <c r="T450" a="1"/>
  <c r="T450" s="1"/>
  <c r="T438" a="1"/>
  <c r="T438" s="1"/>
  <c r="S450" a="1"/>
  <c r="S450" s="1"/>
  <c r="R450"/>
  <c r="S447" a="1"/>
  <c r="S447" s="1"/>
  <c r="S442" a="1"/>
  <c r="S442" s="1"/>
  <c r="R442"/>
  <c r="S444" a="1"/>
  <c r="S444" s="1"/>
  <c r="R444"/>
  <c r="J448"/>
  <c r="Q448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42" a="1"/>
  <c r="T442" s="1"/>
  <c r="J452"/>
  <c r="Q452" s="1"/>
  <c r="S452" s="1" a="1"/>
  <c r="S452" s="1"/>
  <c r="J451"/>
  <c r="Q451" s="1"/>
  <c r="J441"/>
  <c r="Q441" s="1"/>
  <c r="J437"/>
  <c r="Q437" s="1"/>
  <c r="U452" a="1"/>
  <c r="U452" s="1"/>
  <c r="T451" a="1"/>
  <c r="T451" s="1"/>
  <c r="T445" a="1"/>
  <c r="T445" s="1"/>
  <c r="T443" a="1"/>
  <c r="T443" s="1"/>
  <c r="T437" a="1"/>
  <c r="T437" s="1"/>
  <c r="S437" l="1" a="1"/>
  <c r="S437" s="1"/>
  <c r="R437"/>
  <c r="S451" a="1"/>
  <c r="S451" s="1"/>
  <c r="R451"/>
  <c r="R445"/>
  <c r="S445" a="1"/>
  <c r="S445" s="1"/>
  <c r="S438" a="1"/>
  <c r="S438" s="1"/>
  <c r="R438"/>
  <c r="S446" a="1"/>
  <c r="S446" s="1"/>
  <c r="R446"/>
  <c r="S448" a="1"/>
  <c r="S448" s="1"/>
  <c r="R448"/>
  <c r="S441" a="1"/>
  <c r="S441" s="1"/>
  <c r="R441"/>
  <c r="R439"/>
  <c r="S439" a="1"/>
  <c r="S439" s="1"/>
  <c r="R449"/>
  <c r="S449" a="1"/>
  <c r="S449" s="1"/>
  <c r="S440" a="1"/>
  <c r="S440" s="1"/>
  <c r="R440"/>
  <c r="S443" a="1"/>
  <c r="S443" s="1"/>
  <c r="R443"/>
  <c r="R452" s="1"/>
  <c r="S423" s="1"/>
  <c r="G417" i="555" l="1"/>
  <c r="K417" s="1"/>
  <c r="G420" l="1"/>
  <c r="M417" a="1"/>
  <c r="M417" s="1"/>
  <c r="C428"/>
  <c r="M420"/>
  <c r="K430" l="1"/>
  <c r="G428"/>
  <c r="K429"/>
  <c r="K208" i="554"/>
  <c r="G211" s="1"/>
  <c r="M211" l="1"/>
  <c r="M208" a="1"/>
  <c r="M208" s="1"/>
  <c r="K417"/>
  <c r="G420" s="1"/>
  <c r="C428" l="1"/>
  <c r="K430" s="1"/>
  <c r="M417" a="1"/>
  <c r="M417" s="1"/>
  <c r="M420"/>
  <c r="K429"/>
  <c r="G428" l="1"/>
  <c r="C437" i="553" l="1"/>
  <c r="J437" s="1"/>
  <c r="Q437" s="1"/>
  <c r="C439"/>
  <c r="J439" s="1"/>
  <c r="Q439" s="1"/>
  <c r="C441"/>
  <c r="T441" s="1" a="1"/>
  <c r="T441" s="1"/>
  <c r="C445"/>
  <c r="J445" s="1"/>
  <c r="Q445" s="1"/>
  <c r="C447"/>
  <c r="T447" s="1" a="1"/>
  <c r="T447" s="1"/>
  <c r="C449"/>
  <c r="J449" s="1"/>
  <c r="Q449" s="1"/>
  <c r="C451"/>
  <c r="T451" s="1" a="1"/>
  <c r="T451" s="1"/>
  <c r="C438"/>
  <c r="J438" s="1"/>
  <c r="Q438" s="1"/>
  <c r="C444"/>
  <c r="U444" s="1" a="1"/>
  <c r="U444" s="1"/>
  <c r="C450"/>
  <c r="J450" s="1"/>
  <c r="Q450" s="1"/>
  <c r="C452"/>
  <c r="T452" s="1" a="1"/>
  <c r="T452" s="1"/>
  <c r="C442"/>
  <c r="T442" s="1" a="1"/>
  <c r="T442" s="1"/>
  <c r="C448"/>
  <c r="J448" s="1"/>
  <c r="Q448" s="1"/>
  <c r="C443"/>
  <c r="U443" s="1" a="1"/>
  <c r="U443" s="1"/>
  <c r="C440"/>
  <c r="T440" s="1" a="1"/>
  <c r="T440" s="1"/>
  <c r="C446"/>
  <c r="T446" s="1" a="1"/>
  <c r="T446" s="1"/>
  <c r="J446" l="1"/>
  <c r="Q446" s="1"/>
  <c r="J440"/>
  <c r="Q440" s="1"/>
  <c r="R440" s="1"/>
  <c r="T450" a="1"/>
  <c r="T450" s="1"/>
  <c r="T438" a="1"/>
  <c r="T438" s="1"/>
  <c r="T449" a="1"/>
  <c r="T449" s="1"/>
  <c r="U445" a="1"/>
  <c r="U445" s="1"/>
  <c r="U450" a="1"/>
  <c r="U450" s="1"/>
  <c r="U438" a="1"/>
  <c r="U438" s="1"/>
  <c r="T445" a="1"/>
  <c r="T445" s="1"/>
  <c r="T439" a="1"/>
  <c r="T439" s="1"/>
  <c r="R448"/>
  <c r="S448" a="1"/>
  <c r="S448" s="1"/>
  <c r="R446"/>
  <c r="S446" a="1"/>
  <c r="S446" s="1"/>
  <c r="S440" a="1"/>
  <c r="S440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S437" a="1"/>
  <c r="S437" s="1"/>
  <c r="R437"/>
  <c r="J442"/>
  <c r="Q442" s="1"/>
  <c r="J452"/>
  <c r="Q452" s="1"/>
  <c r="S452" s="1" a="1"/>
  <c r="S452" s="1"/>
  <c r="J444"/>
  <c r="Q444" s="1"/>
  <c r="J451"/>
  <c r="Q451" s="1"/>
  <c r="J447"/>
  <c r="Q447" s="1"/>
  <c r="T448" a="1"/>
  <c r="T448" s="1"/>
  <c r="U452" a="1"/>
  <c r="U452" s="1"/>
  <c r="T444" a="1"/>
  <c r="T444" s="1"/>
  <c r="U451" a="1"/>
  <c r="U451" s="1"/>
  <c r="T437" a="1"/>
  <c r="T437" s="1"/>
  <c r="U437" a="1"/>
  <c r="U437" s="1"/>
  <c r="J443"/>
  <c r="Q443" s="1"/>
  <c r="J441"/>
  <c r="Q441" s="1"/>
  <c r="T443" a="1"/>
  <c r="T443" s="1"/>
  <c r="S441" l="1" a="1"/>
  <c r="S441" s="1"/>
  <c r="R441"/>
  <c r="S447" a="1"/>
  <c r="S447" s="1"/>
  <c r="R447"/>
  <c r="R444"/>
  <c r="S444" a="1"/>
  <c r="S444" s="1"/>
  <c r="R442"/>
  <c r="S442" a="1"/>
  <c r="S442" s="1"/>
  <c r="S443" a="1"/>
  <c r="S443" s="1"/>
  <c r="R443"/>
  <c r="S451" a="1"/>
  <c r="S451" s="1"/>
  <c r="R451"/>
  <c r="R452" l="1"/>
  <c r="S423" s="1"/>
  <c r="K208"/>
  <c r="G211" s="1"/>
  <c r="M208" l="1" a="1"/>
  <c r="M208" s="1"/>
  <c r="M211"/>
  <c r="K417"/>
  <c r="G420" s="1"/>
  <c r="M417" l="1" a="1"/>
  <c r="M417" s="1"/>
  <c r="M420"/>
  <c r="C428"/>
  <c r="G428" l="1"/>
  <c r="K429"/>
  <c r="K430"/>
</calcChain>
</file>

<file path=xl/comments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633kg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368kg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520kg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360kg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320kg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321kg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232kg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171.6kg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人，培训新工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182kg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sz val="9"/>
            <color indexed="81"/>
            <rFont val="宋体"/>
            <family val="3"/>
            <charset val="134"/>
          </rPr>
          <t>喷码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<sst xmlns="http://schemas.openxmlformats.org/spreadsheetml/2006/main" count="44282" uniqueCount="326">
  <si>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</si>
  <si>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</si>
  <si>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</si>
  <si>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</si>
  <si>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</si>
  <si>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</si>
  <si>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</si>
  <si>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</si>
  <si>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</si>
  <si>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</si>
  <si>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</si>
  <si>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</si>
  <si>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</si>
  <si>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</si>
  <si>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</si>
  <si>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</si>
  <si>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</si>
  <si>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</si>
  <si>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</si>
  <si>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</si>
  <si>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</si>
  <si>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</si>
  <si>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</si>
  <si>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</si>
  <si>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</si>
  <si>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</si>
  <si>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</si>
  <si>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</si>
  <si>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</si>
  <si>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</si>
  <si>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</si>
  <si>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</si>
  <si>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</si>
  <si>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</si>
  <si>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</si>
  <si>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</si>
  <si>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</si>
  <si>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</si>
  <si>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</si>
  <si>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</si>
  <si>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</si>
  <si>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</si>
  <si>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</si>
  <si>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</si>
  <si>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</si>
  <si>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</si>
  <si>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</si>
  <si>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</si>
  <si>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</si>
  <si>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</si>
  <si>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</si>
  <si>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</si>
  <si>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</si>
  <si>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</si>
  <si>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</si>
  <si>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</si>
  <si>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</si>
  <si>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</si>
  <si>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</si>
  <si>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</si>
  <si>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</si>
  <si>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</si>
  <si>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</si>
  <si>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</si>
  <si>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</si>
  <si>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</si>
  <si>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</si>
  <si>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</si>
  <si>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</si>
  <si>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</si>
  <si>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</si>
  <si>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</si>
  <si>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</si>
  <si>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</si>
  <si>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</si>
  <si>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</si>
  <si>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</si>
  <si>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</si>
  <si>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</si>
  <si>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</si>
  <si>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</si>
  <si>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</si>
  <si>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</si>
  <si>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</si>
  <si>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</si>
  <si>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</si>
  <si>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</si>
  <si>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</si>
  <si>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</si>
  <si>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</si>
  <si>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5001/5003</t>
  </si>
  <si>
    <t>50g果蔬园吸之冻(香橙)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</si>
  <si>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</si>
  <si>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</si>
  <si>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</si>
  <si>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</si>
  <si>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</si>
  <si>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</si>
  <si>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</si>
  <si>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</si>
  <si>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</si>
  <si>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</si>
  <si>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</si>
  <si>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</si>
  <si>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</si>
  <si>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</si>
  <si>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</si>
  <si>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</si>
  <si>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</si>
  <si>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</si>
  <si>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</si>
  <si>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</si>
  <si>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</si>
  <si>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</si>
  <si>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</si>
  <si>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</si>
  <si>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</si>
  <si>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</si>
  <si>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</si>
  <si>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</si>
  <si>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</si>
  <si>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</si>
  <si>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</si>
  <si>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</si>
  <si>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</si>
  <si>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</si>
  <si>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</si>
  <si>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</si>
  <si>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</si>
  <si>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</si>
  <si>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</si>
  <si>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</si>
  <si>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</si>
  <si>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</si>
  <si>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</si>
  <si>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</si>
  <si>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</si>
  <si>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</si>
  <si>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</si>
  <si>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</si>
  <si>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</si>
  <si>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</si>
  <si>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</si>
  <si>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</si>
  <si>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</si>
  <si>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</si>
  <si>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</si>
  <si>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</si>
  <si>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</si>
  <si>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</si>
  <si>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</si>
  <si>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</si>
  <si>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</si>
  <si>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</si>
  <si>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</si>
  <si>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</si>
  <si>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</si>
  <si>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</si>
  <si>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</si>
  <si>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</si>
  <si>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</si>
  <si>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</si>
  <si>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</si>
  <si>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</si>
  <si>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</si>
  <si>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</si>
  <si>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</si>
  <si>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</si>
  <si>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</si>
  <si>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</si>
  <si>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</si>
  <si>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</si>
  <si>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</si>
  <si>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</si>
  <si>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</si>
  <si>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</si>
  <si>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</si>
  <si>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</si>
  <si>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</si>
  <si>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</si>
  <si>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</si>
  <si>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</si>
  <si>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</si>
  <si>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</si>
  <si>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</si>
  <si>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</si>
  <si>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</si>
  <si>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</si>
  <si>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</si>
  <si>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</si>
  <si>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</si>
  <si>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</si>
  <si>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</si>
  <si>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</si>
  <si>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</si>
  <si>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</si>
  <si>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</si>
  <si>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</si>
  <si>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</si>
  <si>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</si>
  <si>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</si>
  <si>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</si>
  <si>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</si>
  <si>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</si>
  <si>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</si>
  <si>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</si>
  <si>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</si>
  <si>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</si>
  <si>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</si>
  <si>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</si>
  <si>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</si>
  <si>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</si>
  <si>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</si>
  <si>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</si>
  <si>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</si>
  <si>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</si>
  <si>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</si>
  <si>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</si>
  <si>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</si>
  <si>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</si>
  <si>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</si>
  <si>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</si>
  <si>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</si>
  <si>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</si>
  <si>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</si>
  <si>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</si>
  <si>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</si>
  <si>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</si>
  <si>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</si>
  <si>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</si>
  <si>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</si>
  <si>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</si>
  <si>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</si>
  <si>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</si>
  <si>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</si>
  <si>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</si>
  <si>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</si>
  <si>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</si>
  <si>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</si>
  <si>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</si>
  <si>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</si>
  <si>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</si>
  <si>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</si>
  <si>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</si>
  <si>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</si>
  <si>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</si>
  <si>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</si>
  <si>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</si>
  <si>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</si>
  <si>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</si>
  <si>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</si>
  <si>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</si>
  <si>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</si>
  <si>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</si>
  <si>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</si>
  <si>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</si>
  <si>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</si>
  <si>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</si>
  <si>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</si>
  <si>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</si>
  <si>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</si>
  <si>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</si>
  <si>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</si>
  <si>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</si>
  <si>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</si>
  <si>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</si>
  <si>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</si>
  <si>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</si>
  <si>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</si>
  <si>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</si>
  <si>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</si>
  <si>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</si>
  <si>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</si>
  <si>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</si>
  <si>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</si>
  <si>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</si>
  <si>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</si>
  <si>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</si>
  <si>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</si>
  <si>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</si>
  <si>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</si>
  <si>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</si>
  <si>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</si>
  <si>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</si>
  <si>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</si>
  <si>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</si>
  <si>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</si>
  <si>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</si>
  <si>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</si>
  <si>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</si>
  <si>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</si>
  <si>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</si>
  <si>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</si>
  <si>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</si>
  <si>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</si>
  <si>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</si>
  <si>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</si>
  <si>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</si>
  <si>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</si>
  <si>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</si>
  <si>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</si>
  <si>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</si>
  <si>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</si>
  <si>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</si>
  <si>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</si>
  <si>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</si>
  <si>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</si>
  <si>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</si>
  <si>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</si>
  <si>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</si>
  <si>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</si>
  <si>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3001-3004</t>
    <phoneticPr fontId="27" type="noConversion"/>
  </si>
  <si>
    <t>1993/2024</t>
    <phoneticPr fontId="27" type="noConversion"/>
  </si>
  <si>
    <t>3002/3003</t>
    <phoneticPr fontId="27" type="noConversion"/>
  </si>
  <si>
    <t>3002/3004</t>
    <phoneticPr fontId="27" type="noConversion"/>
  </si>
  <si>
    <t>1991/2021</t>
    <phoneticPr fontId="27" type="noConversion"/>
  </si>
  <si>
    <t>1996/2052</t>
    <phoneticPr fontId="27" type="noConversion"/>
  </si>
  <si>
    <t xml:space="preserve">                        </t>
    <phoneticPr fontId="27" type="noConversion"/>
  </si>
  <si>
    <t>2035/2080</t>
    <phoneticPr fontId="27" type="noConversion"/>
  </si>
  <si>
    <t>3002/3004</t>
    <phoneticPr fontId="27" type="noConversion"/>
  </si>
  <si>
    <t>2081/2111</t>
    <phoneticPr fontId="27" type="noConversion"/>
  </si>
  <si>
    <t>3002/3004</t>
    <phoneticPr fontId="27" type="noConversion"/>
  </si>
  <si>
    <t>2084/2141</t>
    <phoneticPr fontId="27" type="noConversion"/>
  </si>
  <si>
    <t>2112/2154</t>
    <phoneticPr fontId="27" type="noConversion"/>
  </si>
  <si>
    <t>3002/3004</t>
    <phoneticPr fontId="27" type="noConversion"/>
  </si>
  <si>
    <t>3002/3004</t>
    <phoneticPr fontId="27" type="noConversion"/>
  </si>
</sst>
</file>

<file path=xl/styles.xml><?xml version="1.0" encoding="utf-8"?>
<styleSheet xmlns="http://schemas.openxmlformats.org/spreadsheetml/2006/main">
  <numFmts count="10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85" formatCode="0.0000_ "/>
  </numFmts>
  <fonts count="28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84" fontId="6" fillId="7" borderId="2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4"/>
  <dimension ref="A1:AC454"/>
  <sheetViews>
    <sheetView workbookViewId="0">
      <pane xSplit="5" ySplit="214" topLeftCell="Q384" activePane="bottomRight" state="frozen"/>
      <selection pane="topRight" activeCell="F1" sqref="F1"/>
      <selection pane="bottomLeft" activeCell="A215" sqref="A215"/>
      <selection pane="bottomRight" activeCell="U413" sqref="U413:V413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hidden="1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hidden="1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hidden="1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hidden="1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hidden="1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hidden="1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hidden="1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hidden="1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hidden="1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hidden="1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hidden="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hidden="1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hidden="1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hidden="1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hidden="1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hidden="1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hidden="1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hidden="1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hidden="1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hidden="1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hidden="1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hidden="1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hidden="1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hidden="1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s="2" customFormat="1" ht="21.95" customHeight="1">
      <c r="A215" s="178">
        <v>300320</v>
      </c>
      <c r="B215" s="171" t="s">
        <v>33</v>
      </c>
      <c r="C215" s="219" t="s">
        <v>34</v>
      </c>
      <c r="D215" s="219"/>
      <c r="E215" s="184" t="s">
        <v>35</v>
      </c>
      <c r="F215" s="183" t="s">
        <v>312</v>
      </c>
      <c r="G215" s="182">
        <v>4</v>
      </c>
      <c r="H215" s="182"/>
      <c r="I215" s="182">
        <f>4-J215/600</f>
        <v>3.25</v>
      </c>
      <c r="J215" s="182">
        <v>450</v>
      </c>
      <c r="K215" s="182">
        <f t="shared" ref="K215:K285" si="26">G215*M215</f>
        <v>2534.4</v>
      </c>
      <c r="L215" s="182">
        <f t="shared" ref="L215:L285" si="27">I215*M215</f>
        <v>2059.2000000000003</v>
      </c>
      <c r="M215" s="182">
        <v>633.6</v>
      </c>
      <c r="N215" s="182">
        <f t="shared" ref="N215:N222" si="28">+M215*1000/(28.3*10*40*60)*T215</f>
        <v>4.6643109540636036</v>
      </c>
      <c r="O215" s="182">
        <v>6.5</v>
      </c>
      <c r="P215" s="182">
        <f t="shared" ref="P215:P285" si="29">N215*I215+O215*U215</f>
        <v>28.159010600706711</v>
      </c>
      <c r="Q215" s="182">
        <v>5</v>
      </c>
      <c r="R215" s="19">
        <f t="shared" ref="R215:R285" si="30">Q215*U215</f>
        <v>10</v>
      </c>
      <c r="S215" s="182">
        <f t="shared" ref="S215:S285" si="31">R215-P215</f>
        <v>-18.159010600706711</v>
      </c>
      <c r="T215" s="20">
        <v>5</v>
      </c>
      <c r="U215" s="20">
        <v>2</v>
      </c>
      <c r="V215" s="179">
        <f t="array" ref="V215">IF(ISERROR(L215/K215),"",L215/K215)</f>
        <v>0.81250000000000011</v>
      </c>
      <c r="W215" s="20"/>
      <c r="X215" s="171"/>
      <c r="Y215" s="171"/>
      <c r="Z215" s="183"/>
      <c r="AA215" s="20">
        <v>2</v>
      </c>
      <c r="AB215" s="20"/>
      <c r="AC215" s="20"/>
    </row>
    <row r="216" spans="1:29" s="2" customFormat="1" ht="21.95" hidden="1" customHeight="1">
      <c r="A216" s="178">
        <v>300318</v>
      </c>
      <c r="B216" s="171" t="s">
        <v>33</v>
      </c>
      <c r="C216" s="219" t="s">
        <v>34</v>
      </c>
      <c r="D216" s="219"/>
      <c r="E216" s="184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hidden="1" customHeight="1">
      <c r="A217" s="178">
        <v>300319</v>
      </c>
      <c r="B217" s="171" t="s">
        <v>33</v>
      </c>
      <c r="C217" s="219" t="s">
        <v>34</v>
      </c>
      <c r="D217" s="219"/>
      <c r="E217" s="184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hidden="1" customHeight="1">
      <c r="A218" s="178">
        <v>300316</v>
      </c>
      <c r="B218" s="171" t="s">
        <v>33</v>
      </c>
      <c r="C218" s="219" t="s">
        <v>34</v>
      </c>
      <c r="D218" s="219"/>
      <c r="E218" s="184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hidden="1" customHeight="1">
      <c r="A219" s="178">
        <v>300317</v>
      </c>
      <c r="B219" s="171" t="s">
        <v>33</v>
      </c>
      <c r="C219" s="219" t="s">
        <v>34</v>
      </c>
      <c r="D219" s="219"/>
      <c r="E219" s="184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hidden="1" customHeight="1">
      <c r="A220" s="178">
        <v>300315</v>
      </c>
      <c r="B220" s="171" t="s">
        <v>33</v>
      </c>
      <c r="C220" s="219" t="s">
        <v>34</v>
      </c>
      <c r="D220" s="219"/>
      <c r="E220" s="184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hidden="1" customHeight="1">
      <c r="A221" s="178">
        <v>300314</v>
      </c>
      <c r="B221" s="171" t="s">
        <v>33</v>
      </c>
      <c r="C221" s="219" t="s">
        <v>34</v>
      </c>
      <c r="D221" s="219"/>
      <c r="E221" s="184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hidden="1" customHeight="1">
      <c r="A222" s="178">
        <v>300313</v>
      </c>
      <c r="B222" s="171" t="s">
        <v>33</v>
      </c>
      <c r="C222" s="219" t="s">
        <v>34</v>
      </c>
      <c r="D222" s="219"/>
      <c r="E222" s="184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s="2" customFormat="1" ht="21.95" hidden="1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8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s="2" customFormat="1" ht="21.95" hidden="1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8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hidden="1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178">
        <v>3000435</v>
      </c>
      <c r="B238" s="171" t="s">
        <v>43</v>
      </c>
      <c r="C238" s="219" t="s">
        <v>51</v>
      </c>
      <c r="D238" s="219"/>
      <c r="E238" s="184" t="s">
        <v>301</v>
      </c>
      <c r="F238" s="183"/>
      <c r="G238" s="110"/>
      <c r="H238" s="110"/>
      <c r="I238" s="110"/>
      <c r="J238" s="110"/>
      <c r="K238" s="182">
        <f t="shared" si="26"/>
        <v>0</v>
      </c>
      <c r="L238" s="182">
        <f t="shared" si="27"/>
        <v>0</v>
      </c>
      <c r="M238" s="182">
        <v>524.6</v>
      </c>
      <c r="N238" s="182">
        <f>+M238*1000/(25.4*20*15*60)*T238</f>
        <v>3.4422572178477688</v>
      </c>
      <c r="O238" s="182"/>
      <c r="P238" s="182">
        <f t="shared" si="29"/>
        <v>0</v>
      </c>
      <c r="Q238" s="182"/>
      <c r="R238" s="19">
        <f t="shared" si="30"/>
        <v>0</v>
      </c>
      <c r="S238" s="182">
        <f t="shared" si="31"/>
        <v>0</v>
      </c>
      <c r="T238" s="20">
        <v>3</v>
      </c>
      <c r="U238" s="20"/>
      <c r="V238" s="179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8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82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8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82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8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82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313</v>
      </c>
      <c r="C245" s="219" t="s">
        <v>56</v>
      </c>
      <c r="D245" s="219"/>
      <c r="E245" s="184" t="s">
        <v>37</v>
      </c>
      <c r="F245" s="183">
        <v>1994</v>
      </c>
      <c r="G245" s="182">
        <v>12</v>
      </c>
      <c r="H245" s="182"/>
      <c r="I245" s="182">
        <f>12-J245/500</f>
        <v>11.3</v>
      </c>
      <c r="J245" s="182">
        <v>350</v>
      </c>
      <c r="K245" s="182">
        <f t="shared" si="26"/>
        <v>6604.7999999999993</v>
      </c>
      <c r="L245" s="182">
        <f t="shared" si="27"/>
        <v>6219.52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33.438279569892472</v>
      </c>
      <c r="Q245" s="182">
        <v>15</v>
      </c>
      <c r="R245" s="19">
        <f t="shared" si="30"/>
        <v>30</v>
      </c>
      <c r="S245" s="182">
        <f t="shared" si="31"/>
        <v>-3.4382795698924724</v>
      </c>
      <c r="T245" s="20">
        <v>3</v>
      </c>
      <c r="U245" s="20">
        <v>2</v>
      </c>
      <c r="V245" s="179">
        <f t="array" ref="V245">IF(ISERROR(L245/K245),"",L245/K245)</f>
        <v>0.94166666666666687</v>
      </c>
      <c r="W245" s="20"/>
      <c r="X245" s="20"/>
      <c r="Y245" s="20"/>
      <c r="Z245" s="20"/>
      <c r="AA245" s="20">
        <v>4</v>
      </c>
      <c r="AB245" s="20"/>
      <c r="AC245" s="20"/>
    </row>
    <row r="246" spans="1:29" s="2" customFormat="1" ht="21.95" hidden="1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8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8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8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178">
        <v>300436</v>
      </c>
      <c r="B266" s="171" t="s">
        <v>67</v>
      </c>
      <c r="C266" s="219" t="s">
        <v>75</v>
      </c>
      <c r="D266" s="219" t="s">
        <v>76</v>
      </c>
      <c r="E266" s="184" t="s">
        <v>301</v>
      </c>
      <c r="F266" s="183"/>
      <c r="G266" s="110"/>
      <c r="H266" s="110"/>
      <c r="I266" s="110"/>
      <c r="J266" s="110"/>
      <c r="K266" s="182">
        <f t="shared" si="26"/>
        <v>0</v>
      </c>
      <c r="L266" s="182">
        <f t="shared" si="27"/>
        <v>0</v>
      </c>
      <c r="M266" s="182">
        <v>545.9</v>
      </c>
      <c r="N266" s="182">
        <f>+M266*1000/(41.5*10*16*60)*T266</f>
        <v>2.7404618473895583</v>
      </c>
      <c r="O266" s="182"/>
      <c r="P266" s="182">
        <f t="shared" si="29"/>
        <v>0</v>
      </c>
      <c r="Q266" s="182"/>
      <c r="R266" s="19">
        <f t="shared" si="30"/>
        <v>0</v>
      </c>
      <c r="S266" s="182">
        <f t="shared" si="31"/>
        <v>0</v>
      </c>
      <c r="T266" s="20">
        <v>2</v>
      </c>
      <c r="U266" s="20"/>
      <c r="V266" s="179" t="str">
        <f t="array" ref="V266">IF(ISERROR(L266/K266),"",L266/K266)</f>
        <v/>
      </c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178">
        <v>300050</v>
      </c>
      <c r="B267" s="171">
        <v>4503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>
        <v>4503</v>
      </c>
      <c r="C270" s="230" t="s">
        <v>293</v>
      </c>
      <c r="D270" s="231"/>
      <c r="E270" s="184" t="s">
        <v>80</v>
      </c>
      <c r="F270" s="183">
        <v>2038</v>
      </c>
      <c r="G270" s="182">
        <v>7</v>
      </c>
      <c r="H270" s="182"/>
      <c r="I270" s="182">
        <f>7-J270/350</f>
        <v>6.1428571428571432</v>
      </c>
      <c r="J270" s="182">
        <v>300</v>
      </c>
      <c r="K270" s="182">
        <f t="shared" si="26"/>
        <v>3008.6</v>
      </c>
      <c r="L270" s="182">
        <f t="shared" si="27"/>
        <v>2640.2000000000003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22.565811965811967</v>
      </c>
      <c r="Q270" s="182">
        <v>7.5</v>
      </c>
      <c r="R270" s="19">
        <f t="shared" si="30"/>
        <v>15</v>
      </c>
      <c r="S270" s="182">
        <f t="shared" si="31"/>
        <v>-7.5658119658119674</v>
      </c>
      <c r="T270" s="20">
        <v>3</v>
      </c>
      <c r="U270" s="20">
        <v>2</v>
      </c>
      <c r="V270" s="179">
        <f t="array" ref="V270">IF(ISERROR(L270/K270),"",L270/K270)</f>
        <v>0.87755102040816335</v>
      </c>
      <c r="W270" s="20"/>
      <c r="X270" s="20"/>
      <c r="Y270" s="20"/>
      <c r="Z270" s="20"/>
      <c r="AA270" s="20">
        <v>2</v>
      </c>
      <c r="AB270" s="20"/>
      <c r="AC270" s="20"/>
    </row>
    <row r="271" spans="1:29" s="2" customFormat="1" ht="21.95" hidden="1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178">
        <v>300437</v>
      </c>
      <c r="B292" s="171" t="s">
        <v>87</v>
      </c>
      <c r="C292" s="219" t="s">
        <v>92</v>
      </c>
      <c r="D292" s="219" t="s">
        <v>93</v>
      </c>
      <c r="E292" s="184" t="s">
        <v>302</v>
      </c>
      <c r="F292" s="183"/>
      <c r="G292" s="182"/>
      <c r="H292" s="182"/>
      <c r="I292" s="182"/>
      <c r="J292" s="182"/>
      <c r="K292" s="182">
        <f t="shared" si="33"/>
        <v>0</v>
      </c>
      <c r="L292" s="182">
        <f t="shared" si="34"/>
        <v>0</v>
      </c>
      <c r="M292" s="182">
        <v>438.8</v>
      </c>
      <c r="N292" s="182">
        <f>+M292*1000/(50*1*120*60)*T292</f>
        <v>4.8755555555555556</v>
      </c>
      <c r="O292" s="182"/>
      <c r="P292" s="182">
        <f t="shared" si="35"/>
        <v>0</v>
      </c>
      <c r="Q292" s="182"/>
      <c r="R292" s="19">
        <f t="shared" si="36"/>
        <v>0</v>
      </c>
      <c r="S292" s="182">
        <f t="shared" si="37"/>
        <v>0</v>
      </c>
      <c r="T292" s="20">
        <v>4</v>
      </c>
      <c r="U292" s="20"/>
      <c r="V292" s="179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83"/>
      <c r="G312" s="182"/>
      <c r="H312" s="182"/>
      <c r="I312" s="182"/>
      <c r="J312" s="182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83"/>
      <c r="G313" s="182"/>
      <c r="H313" s="182"/>
      <c r="I313" s="182"/>
      <c r="J313" s="182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83"/>
      <c r="G314" s="182"/>
      <c r="H314" s="182"/>
      <c r="I314" s="182"/>
      <c r="J314" s="182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78">
        <v>300431</v>
      </c>
      <c r="B317" s="171">
        <v>5001</v>
      </c>
      <c r="C317" s="230" t="s">
        <v>297</v>
      </c>
      <c r="D317" s="231"/>
      <c r="E317" s="184" t="s">
        <v>298</v>
      </c>
      <c r="F317" s="183">
        <v>1997</v>
      </c>
      <c r="G317" s="182">
        <v>9</v>
      </c>
      <c r="H317" s="182"/>
      <c r="I317" s="182">
        <f>5-J317/400</f>
        <v>4</v>
      </c>
      <c r="J317" s="182">
        <v>400</v>
      </c>
      <c r="K317" s="182">
        <f t="shared" si="33"/>
        <v>5659.2</v>
      </c>
      <c r="L317" s="182">
        <f t="shared" si="34"/>
        <v>2515.1999999999998</v>
      </c>
      <c r="M317" s="182">
        <v>628.79999999999995</v>
      </c>
      <c r="N317" s="182">
        <f>+M317*1000/(87*1*80*60)*T317</f>
        <v>6.0229885057471266</v>
      </c>
      <c r="O317" s="182"/>
      <c r="P317" s="182">
        <f t="shared" si="35"/>
        <v>24.091954022988507</v>
      </c>
      <c r="Q317" s="182">
        <v>7.5</v>
      </c>
      <c r="R317" s="19">
        <f t="shared" si="36"/>
        <v>30</v>
      </c>
      <c r="S317" s="182">
        <f t="shared" si="37"/>
        <v>5.9080459770114935</v>
      </c>
      <c r="T317" s="20">
        <v>4</v>
      </c>
      <c r="U317" s="20">
        <v>4</v>
      </c>
      <c r="V317" s="179">
        <f t="array" ref="V317">IF(ISERROR(L317/K317),"",L317/K317)</f>
        <v>0.44444444444444442</v>
      </c>
      <c r="W317" s="20"/>
      <c r="X317" s="20"/>
      <c r="Y317" s="20"/>
      <c r="Z317" s="20"/>
      <c r="AA317" s="20">
        <v>2</v>
      </c>
      <c r="AB317" s="20"/>
      <c r="AC317" s="20"/>
    </row>
    <row r="318" spans="1:29" s="2" customFormat="1" ht="21.95" hidden="1" customHeight="1">
      <c r="A318" s="178">
        <v>300432</v>
      </c>
      <c r="B318" s="171" t="s">
        <v>292</v>
      </c>
      <c r="C318" s="230" t="s">
        <v>297</v>
      </c>
      <c r="D318" s="231"/>
      <c r="E318" s="184" t="s">
        <v>299</v>
      </c>
      <c r="F318" s="183"/>
      <c r="G318" s="182"/>
      <c r="H318" s="182"/>
      <c r="I318" s="182"/>
      <c r="J318" s="182"/>
      <c r="K318" s="182">
        <f t="shared" si="33"/>
        <v>0</v>
      </c>
      <c r="L318" s="182">
        <f t="shared" si="34"/>
        <v>0</v>
      </c>
      <c r="M318" s="182">
        <v>628.79999999999995</v>
      </c>
      <c r="N318" s="182">
        <f>+M318*1000/(87*1*80*60)*T318</f>
        <v>6.0229885057471266</v>
      </c>
      <c r="O318" s="182"/>
      <c r="P318" s="182">
        <f t="shared" si="35"/>
        <v>0</v>
      </c>
      <c r="Q318" s="182"/>
      <c r="R318" s="19">
        <f t="shared" si="36"/>
        <v>0</v>
      </c>
      <c r="S318" s="182">
        <f t="shared" si="37"/>
        <v>0</v>
      </c>
      <c r="T318" s="20">
        <v>4</v>
      </c>
      <c r="U318" s="20"/>
      <c r="V318" s="179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178">
        <v>300433</v>
      </c>
      <c r="B319" s="171" t="s">
        <v>292</v>
      </c>
      <c r="C319" s="230" t="s">
        <v>297</v>
      </c>
      <c r="D319" s="231"/>
      <c r="E319" s="134" t="s">
        <v>300</v>
      </c>
      <c r="F319" s="183"/>
      <c r="G319" s="182"/>
      <c r="H319" s="182"/>
      <c r="I319" s="182"/>
      <c r="J319" s="182"/>
      <c r="K319" s="182">
        <f t="shared" si="33"/>
        <v>0</v>
      </c>
      <c r="L319" s="182">
        <f t="shared" si="34"/>
        <v>0</v>
      </c>
      <c r="M319" s="182">
        <v>628.79999999999995</v>
      </c>
      <c r="N319" s="182">
        <f>+M319*1000/(87*1*80*60)*T319</f>
        <v>6.0229885057471266</v>
      </c>
      <c r="O319" s="182"/>
      <c r="P319" s="182">
        <f t="shared" si="35"/>
        <v>0</v>
      </c>
      <c r="Q319" s="182"/>
      <c r="R319" s="19">
        <f t="shared" si="36"/>
        <v>0</v>
      </c>
      <c r="S319" s="182">
        <f t="shared" si="37"/>
        <v>0</v>
      </c>
      <c r="T319" s="20">
        <v>4</v>
      </c>
      <c r="U319" s="20"/>
      <c r="V319" s="179" t="str">
        <f t="array" ref="V319">IF(ISERROR(L319/K319),"",L319/K319)</f>
        <v/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1">
        <v>6502</v>
      </c>
      <c r="C322" s="219" t="s">
        <v>113</v>
      </c>
      <c r="D322" s="219" t="s">
        <v>114</v>
      </c>
      <c r="E322" s="184" t="s">
        <v>37</v>
      </c>
      <c r="F322" s="183">
        <v>1991</v>
      </c>
      <c r="G322" s="182">
        <v>5</v>
      </c>
      <c r="H322" s="182"/>
      <c r="I322" s="182">
        <f>5-J322/300</f>
        <v>4.9000000000000004</v>
      </c>
      <c r="J322" s="182">
        <v>30</v>
      </c>
      <c r="K322" s="182">
        <f t="shared" si="33"/>
        <v>2400.65</v>
      </c>
      <c r="L322" s="182">
        <f t="shared" si="34"/>
        <v>2352.6370000000002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12.915222880983752</v>
      </c>
      <c r="Q322" s="182">
        <v>7.5</v>
      </c>
      <c r="R322" s="19">
        <f t="shared" si="36"/>
        <v>15</v>
      </c>
      <c r="S322" s="182">
        <f t="shared" si="37"/>
        <v>2.0847771190162483</v>
      </c>
      <c r="T322" s="20">
        <v>2</v>
      </c>
      <c r="U322" s="20">
        <v>2</v>
      </c>
      <c r="V322" s="179">
        <f t="array" ref="V322">IF(ISERROR(L322/K322),"",L322/K322)</f>
        <v>0.98</v>
      </c>
      <c r="W322" s="20"/>
      <c r="X322" s="20"/>
      <c r="Y322" s="20"/>
      <c r="Z322" s="20"/>
      <c r="AA322" s="20">
        <v>2</v>
      </c>
      <c r="AB322" s="20"/>
      <c r="AC322" s="20"/>
    </row>
    <row r="323" spans="1:29" s="2" customFormat="1" ht="21.95" hidden="1" customHeight="1">
      <c r="A323" s="178"/>
      <c r="B323" s="171" t="s">
        <v>110</v>
      </c>
      <c r="C323" s="219" t="s">
        <v>113</v>
      </c>
      <c r="D323" s="219" t="s">
        <v>114</v>
      </c>
      <c r="E323" s="184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78">
        <v>300097</v>
      </c>
      <c r="B324" s="171">
        <v>6502</v>
      </c>
      <c r="C324" s="219" t="s">
        <v>113</v>
      </c>
      <c r="D324" s="219" t="s">
        <v>114</v>
      </c>
      <c r="E324" s="184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182"/>
      <c r="H330" s="182"/>
      <c r="I330" s="182"/>
      <c r="J330" s="182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182"/>
      <c r="H331" s="182"/>
      <c r="I331" s="182"/>
      <c r="J331" s="182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182"/>
      <c r="H332" s="182"/>
      <c r="I332" s="182"/>
      <c r="J332" s="182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182"/>
      <c r="H333" s="182"/>
      <c r="I333" s="182"/>
      <c r="J333" s="182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182"/>
      <c r="H334" s="182"/>
      <c r="I334" s="182"/>
      <c r="J334" s="182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>
        <v>6503</v>
      </c>
      <c r="C350" s="219" t="s">
        <v>131</v>
      </c>
      <c r="D350" s="219" t="s">
        <v>132</v>
      </c>
      <c r="E350" s="184" t="s">
        <v>127</v>
      </c>
      <c r="F350" s="183">
        <v>1996</v>
      </c>
      <c r="G350" s="182">
        <v>5</v>
      </c>
      <c r="H350" s="182"/>
      <c r="I350" s="182">
        <f>5-J350/400</f>
        <v>4.875</v>
      </c>
      <c r="J350" s="182">
        <v>50</v>
      </c>
      <c r="K350" s="182">
        <f t="shared" si="33"/>
        <v>2785</v>
      </c>
      <c r="L350" s="182">
        <f t="shared" si="34"/>
        <v>2715.375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29.813076416337282</v>
      </c>
      <c r="Q350" s="182">
        <v>7.5</v>
      </c>
      <c r="R350" s="19">
        <f t="shared" si="36"/>
        <v>37.5</v>
      </c>
      <c r="S350" s="182">
        <f t="shared" si="37"/>
        <v>7.6869235836627183</v>
      </c>
      <c r="T350" s="20">
        <v>5</v>
      </c>
      <c r="U350" s="20">
        <v>5</v>
      </c>
      <c r="V350" s="179">
        <f t="array" ref="V350">IF(ISERROR(L350/K350),"",L350/K350)</f>
        <v>0.97499999999999998</v>
      </c>
      <c r="W350" s="20"/>
      <c r="X350" s="20"/>
      <c r="Y350" s="20"/>
      <c r="Z350" s="20"/>
      <c r="AA350" s="20">
        <v>2</v>
      </c>
      <c r="AB350" s="20"/>
      <c r="AC350" s="20"/>
    </row>
    <row r="351" spans="1:29" s="2" customFormat="1" ht="21.95" hidden="1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82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82"/>
      <c r="K379" s="182">
        <f t="shared" si="41"/>
        <v>0</v>
      </c>
      <c r="L379" s="182">
        <f t="shared" si="42"/>
        <v>0</v>
      </c>
      <c r="M379" s="182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82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>
        <v>1992</v>
      </c>
      <c r="G384" s="182">
        <v>6</v>
      </c>
      <c r="H384" s="182"/>
      <c r="I384" s="182">
        <f>6-J384/500</f>
        <v>5.8</v>
      </c>
      <c r="J384" s="182">
        <v>100</v>
      </c>
      <c r="K384" s="182">
        <f t="shared" si="41"/>
        <v>3894.6000000000004</v>
      </c>
      <c r="L384" s="182">
        <f t="shared" si="42"/>
        <v>3764.78</v>
      </c>
      <c r="M384" s="182">
        <v>649.1</v>
      </c>
      <c r="N384" s="182">
        <f t="shared" si="47"/>
        <v>5.1496255394770252</v>
      </c>
      <c r="O384" s="182"/>
      <c r="P384" s="182">
        <f t="shared" si="43"/>
        <v>29.867828128966746</v>
      </c>
      <c r="Q384" s="182">
        <v>7.5</v>
      </c>
      <c r="R384" s="19">
        <f t="shared" si="44"/>
        <v>45</v>
      </c>
      <c r="S384" s="182">
        <f t="shared" si="45"/>
        <v>15.132171871033254</v>
      </c>
      <c r="T384" s="20">
        <v>5</v>
      </c>
      <c r="U384" s="20">
        <v>6</v>
      </c>
      <c r="V384" s="179">
        <f t="array" ref="V384">IF(ISERROR(L384/K384),"",L384/K384)</f>
        <v>0.96666666666666667</v>
      </c>
      <c r="W384" s="20"/>
      <c r="X384" s="20"/>
      <c r="Y384" s="20"/>
      <c r="Z384" s="20"/>
      <c r="AA384" s="20">
        <v>2</v>
      </c>
      <c r="AB384" s="20"/>
      <c r="AC384" s="20"/>
    </row>
    <row r="385" spans="1:29" s="2" customFormat="1" ht="21.95" hidden="1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48</v>
      </c>
      <c r="H408" s="182">
        <f t="array" ref="H408">SUM(IF(ISERROR(H215:H407),“”,H215:H407))</f>
        <v>0</v>
      </c>
      <c r="I408" s="182">
        <f t="array" ref="I408">SUM(IF(ISERROR(I215:I407),“”,I215:I407))</f>
        <v>40.267857142857139</v>
      </c>
      <c r="J408" s="182">
        <f t="array" ref="J408">SUM(IF(ISERROR(J215:J407),“”,J215:J407))</f>
        <v>1680</v>
      </c>
      <c r="K408" s="182">
        <f t="array" ref="K408">SUM(IF(ISERROR(K215:K407),“”,K215:K407))</f>
        <v>26887.25</v>
      </c>
      <c r="L408" s="117">
        <f>SUM(L215:L399)</f>
        <v>22266.912000000004</v>
      </c>
      <c r="M408" s="182"/>
      <c r="N408" s="182"/>
      <c r="O408" s="182">
        <f t="array" ref="O408">SUM(IF(ISERROR(O215:O407),“”,O215:O407))</f>
        <v>6.5</v>
      </c>
      <c r="P408" s="56">
        <f>SUM((P215:P399),(W413:X418))</f>
        <v>297.85118358568741</v>
      </c>
      <c r="Q408" s="182"/>
      <c r="R408" s="56">
        <f>SUM((R215:R399),(Y413:Z418))</f>
        <v>326.5</v>
      </c>
      <c r="S408" s="182">
        <f t="array" ref="S408">SUM(IF(ISERROR(S215:S407),“”,S215:S407))</f>
        <v>1.648816414312563</v>
      </c>
      <c r="T408" s="182"/>
      <c r="U408" s="182"/>
      <c r="V408" s="179">
        <f t="array" ref="V408">IF(ISERROR(L408/K408),"",L408/K408)</f>
        <v>0.82815877414015948</v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16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>
        <f t="array" ref="O409">IF(ISERROR(P408/R408),"",P408/R408)</f>
        <v>0.91225477361619423</v>
      </c>
      <c r="P409" s="245"/>
      <c r="Q409" s="245"/>
      <c r="R409" s="246"/>
      <c r="S409" s="44"/>
      <c r="T409" s="45"/>
      <c r="U409" s="45"/>
      <c r="V409" s="45"/>
      <c r="W409" s="247">
        <f>SUM(W408:AC408)</f>
        <v>16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>
        <v>122.5</v>
      </c>
      <c r="F411" s="250"/>
      <c r="G411" s="250">
        <v>122.5</v>
      </c>
      <c r="H411" s="250"/>
      <c r="I411" s="250">
        <f>G411-E411</f>
        <v>0</v>
      </c>
      <c r="J411" s="250"/>
      <c r="K411" s="252">
        <f t="array" ref="K411">IF(ISERROR(I411/E411),"",I411/E411)</f>
        <v>0</v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>
        <v>4329.5</v>
      </c>
      <c r="F412" s="250"/>
      <c r="G412" s="250">
        <v>4962.5</v>
      </c>
      <c r="H412" s="250"/>
      <c r="I412" s="250">
        <f>G412-E412</f>
        <v>633</v>
      </c>
      <c r="J412" s="250"/>
      <c r="K412" s="252">
        <f t="array" ref="K412">IF(ISERROR(I412/E412),"",I412/E412)</f>
        <v>0.14620625938330062</v>
      </c>
      <c r="L412" s="252"/>
      <c r="M412" s="237"/>
      <c r="N412" s="238"/>
      <c r="O412" s="291"/>
      <c r="P412" s="291"/>
      <c r="Q412" s="254" t="s">
        <v>185</v>
      </c>
      <c r="R412" s="254"/>
      <c r="S412" s="255">
        <v>29</v>
      </c>
      <c r="T412" s="255"/>
      <c r="U412" s="255">
        <v>26</v>
      </c>
      <c r="V412" s="255"/>
      <c r="W412" s="254">
        <f>S412*9</f>
        <v>261</v>
      </c>
      <c r="X412" s="254"/>
      <c r="Y412" s="254">
        <f>U412*9</f>
        <v>234</v>
      </c>
      <c r="Z412" s="254"/>
      <c r="AA412" s="254">
        <f t="shared" ref="AA412:AA419" si="49">Y412-W412</f>
        <v>-27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>
        <v>6</v>
      </c>
      <c r="T413" s="255"/>
      <c r="U413" s="255">
        <v>6</v>
      </c>
      <c r="V413" s="255"/>
      <c r="W413" s="254">
        <f t="shared" ref="W413:W419" si="50">S413*9</f>
        <v>54</v>
      </c>
      <c r="X413" s="254"/>
      <c r="Y413" s="254">
        <f t="shared" ref="Y413:Y419" si="51">U413*9</f>
        <v>54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92">
        <v>0.75</v>
      </c>
      <c r="T414" s="293"/>
      <c r="U414" s="255">
        <v>4</v>
      </c>
      <c r="V414" s="255"/>
      <c r="W414" s="254">
        <f t="shared" si="50"/>
        <v>6.75</v>
      </c>
      <c r="X414" s="254"/>
      <c r="Y414" s="254">
        <f t="shared" si="51"/>
        <v>36</v>
      </c>
      <c r="Z414" s="254"/>
      <c r="AA414" s="254">
        <f t="shared" si="49"/>
        <v>29.25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>
        <v>153674</v>
      </c>
      <c r="H415" s="296"/>
      <c r="I415" s="256">
        <v>153490</v>
      </c>
      <c r="J415" s="257"/>
      <c r="K415" s="260">
        <f>G415-I415</f>
        <v>184</v>
      </c>
      <c r="L415" s="260"/>
      <c r="M415" s="261">
        <f t="array" ref="M415">IF(ISERROR(K415/L408),"",K415/(L408/1000))</f>
        <v>8.2633820082461344</v>
      </c>
      <c r="N415" s="261"/>
      <c r="O415" s="291"/>
      <c r="P415" s="291"/>
      <c r="Q415" s="254" t="s">
        <v>197</v>
      </c>
      <c r="R415" s="254"/>
      <c r="S415" s="292">
        <v>0.75</v>
      </c>
      <c r="T415" s="293"/>
      <c r="U415" s="255">
        <v>2</v>
      </c>
      <c r="V415" s="255"/>
      <c r="W415" s="254">
        <f t="shared" si="50"/>
        <v>6.75</v>
      </c>
      <c r="X415" s="254"/>
      <c r="Y415" s="254">
        <f t="shared" si="51"/>
        <v>18</v>
      </c>
      <c r="Z415" s="254"/>
      <c r="AA415" s="254">
        <f t="shared" si="49"/>
        <v>11.25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>
        <f>45264.1*60+28888.1*120</f>
        <v>6182418</v>
      </c>
      <c r="H416" s="295"/>
      <c r="I416" s="256">
        <v>6180276</v>
      </c>
      <c r="J416" s="257"/>
      <c r="K416" s="260">
        <f>G416-I416</f>
        <v>2142</v>
      </c>
      <c r="L416" s="260"/>
      <c r="M416" s="261">
        <f t="array" ref="M416">IF(ISERROR(K416/L408),"",K416/(L408/1000))</f>
        <v>96.196544900343596</v>
      </c>
      <c r="N416" s="261"/>
      <c r="O416" s="291"/>
      <c r="P416" s="291"/>
      <c r="Q416" s="254" t="s">
        <v>200</v>
      </c>
      <c r="R416" s="254"/>
      <c r="S416" s="292">
        <v>1.5</v>
      </c>
      <c r="T416" s="293"/>
      <c r="U416" s="255">
        <v>1</v>
      </c>
      <c r="V416" s="255"/>
      <c r="W416" s="254">
        <f t="shared" si="50"/>
        <v>13.5</v>
      </c>
      <c r="X416" s="254"/>
      <c r="Y416" s="254">
        <f t="shared" si="51"/>
        <v>9</v>
      </c>
      <c r="Z416" s="254"/>
      <c r="AA416" s="254">
        <f t="shared" si="49"/>
        <v>-4.5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>
        <v>28444</v>
      </c>
      <c r="H417" s="296"/>
      <c r="I417" s="256">
        <v>27414</v>
      </c>
      <c r="J417" s="257"/>
      <c r="K417" s="260">
        <f>G417-I417</f>
        <v>1030</v>
      </c>
      <c r="L417" s="260"/>
      <c r="M417" s="264">
        <f t="array" ref="M417">IF(ISERROR(K417/L408),"",K417/(L408/1000))</f>
        <v>46.256975372247382</v>
      </c>
      <c r="N417" s="264"/>
      <c r="O417" s="291"/>
      <c r="P417" s="291"/>
      <c r="Q417" s="254" t="s">
        <v>203</v>
      </c>
      <c r="R417" s="254"/>
      <c r="S417" s="292">
        <v>1</v>
      </c>
      <c r="T417" s="293"/>
      <c r="U417" s="255">
        <v>1</v>
      </c>
      <c r="V417" s="255"/>
      <c r="W417" s="254">
        <f t="shared" si="50"/>
        <v>9</v>
      </c>
      <c r="X417" s="254"/>
      <c r="Y417" s="254">
        <f t="shared" si="51"/>
        <v>9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>
        <v>4.17</v>
      </c>
      <c r="L418" s="272"/>
      <c r="M418" s="265">
        <f t="array" ref="M418">IF(ISERROR((K418+K419)/L408),"",((K418+K419)*1000)/(L408/1000))</f>
        <v>187.27338573036079</v>
      </c>
      <c r="N418" s="266"/>
      <c r="O418" s="291"/>
      <c r="P418" s="291"/>
      <c r="Q418" s="254" t="s">
        <v>206</v>
      </c>
      <c r="R418" s="254"/>
      <c r="S418" s="292">
        <v>3</v>
      </c>
      <c r="T418" s="293"/>
      <c r="U418" s="255">
        <v>2</v>
      </c>
      <c r="V418" s="255"/>
      <c r="W418" s="254">
        <f t="shared" si="50"/>
        <v>27</v>
      </c>
      <c r="X418" s="254"/>
      <c r="Y418" s="254">
        <f t="shared" si="51"/>
        <v>18</v>
      </c>
      <c r="Z418" s="254"/>
      <c r="AA418" s="254">
        <f t="shared" si="49"/>
        <v>-9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42</v>
      </c>
      <c r="T419" s="255"/>
      <c r="U419" s="255">
        <f>SUM(U412:V418)</f>
        <v>42</v>
      </c>
      <c r="V419" s="255"/>
      <c r="W419" s="254">
        <f t="shared" si="50"/>
        <v>378</v>
      </c>
      <c r="X419" s="254"/>
      <c r="Y419" s="254">
        <f t="shared" si="51"/>
        <v>378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>
        <f>IF(ISERROR(K417/K418),"",K417/K418)</f>
        <v>247.00239808153478</v>
      </c>
      <c r="N420" s="274"/>
      <c r="O420" s="291"/>
      <c r="P420" s="291"/>
      <c r="Q420" s="251" t="s">
        <v>211</v>
      </c>
      <c r="R420" s="251"/>
      <c r="S420" s="297">
        <f t="array" ref="S420">IF(ISERROR(L408/Y419),"",L408/Y419)</f>
        <v>58.90717460317461</v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26887.25</v>
      </c>
      <c r="D423" s="304"/>
      <c r="E423" s="300" t="s">
        <v>218</v>
      </c>
      <c r="F423" s="300"/>
      <c r="G423" s="300">
        <f>L199+L408</f>
        <v>22266.912000000004</v>
      </c>
      <c r="H423" s="300"/>
      <c r="I423" s="307" t="s">
        <v>219</v>
      </c>
      <c r="J423" s="307"/>
      <c r="K423" s="306">
        <f>IF(ISERROR(G423/C423),"",G423/C423)</f>
        <v>0.82815877414015948</v>
      </c>
      <c r="L423" s="306"/>
      <c r="M423" s="300" t="s">
        <v>220</v>
      </c>
      <c r="N423" s="300"/>
      <c r="O423" s="301">
        <f>IF(ISERROR(G423/G424),"",G423/G424)</f>
        <v>68.198811638591124</v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297.85118358568741</v>
      </c>
      <c r="D424" s="304"/>
      <c r="E424" s="305" t="s">
        <v>18</v>
      </c>
      <c r="F424" s="305"/>
      <c r="G424" s="300">
        <f>R199+R408</f>
        <v>326.5</v>
      </c>
      <c r="H424" s="300"/>
      <c r="I424" s="284" t="s">
        <v>168</v>
      </c>
      <c r="J424" s="284"/>
      <c r="K424" s="306">
        <f>IF(ISERROR(C424/G424),"",C424/G424)</f>
        <v>0.91225477361619423</v>
      </c>
      <c r="L424" s="306"/>
      <c r="M424" s="250" t="s">
        <v>222</v>
      </c>
      <c r="N424" s="250"/>
      <c r="O424" s="300">
        <f>W200+W409</f>
        <v>16</v>
      </c>
      <c r="P424" s="250"/>
      <c r="Q424" s="250" t="s">
        <v>223</v>
      </c>
      <c r="R424" s="250"/>
      <c r="S424" s="306">
        <f t="array" ref="S424">IF(ISERROR(O424/G424),"",O424/G424)</f>
        <v>4.9004594180704443E-2</v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184</v>
      </c>
      <c r="D426" s="304"/>
      <c r="E426" s="300" t="s">
        <v>226</v>
      </c>
      <c r="F426" s="300"/>
      <c r="G426" s="264">
        <f t="array" ref="G426">IF(ISERROR(C426/G423),"",C426/(G423/1000))</f>
        <v>8.2633820082461344</v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2142</v>
      </c>
      <c r="D427" s="304"/>
      <c r="E427" s="300" t="s">
        <v>228</v>
      </c>
      <c r="F427" s="300"/>
      <c r="G427" s="264">
        <f>IF(ISERROR(C427/G423),"",C427/(G423/1000))</f>
        <v>96.196544900343596</v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1030</v>
      </c>
      <c r="D428" s="304"/>
      <c r="E428" s="300" t="s">
        <v>230</v>
      </c>
      <c r="F428" s="300"/>
      <c r="G428" s="264">
        <f>IF(ISERROR(C428/G423),"",C428/(G423/1000))</f>
        <v>46.256975372247382</v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4.17</v>
      </c>
      <c r="D429" s="304"/>
      <c r="E429" s="300" t="s">
        <v>232</v>
      </c>
      <c r="F429" s="300"/>
      <c r="G429" s="308">
        <f>IF(ISERROR(C429/G423),"",C429/(G423/1000))</f>
        <v>0.18727338573036076</v>
      </c>
      <c r="H429" s="308"/>
      <c r="I429" s="300" t="s">
        <v>233</v>
      </c>
      <c r="J429" s="300"/>
      <c r="K429" s="309">
        <f>IF(ISERROR(C428/C429),"",C428/C429)</f>
        <v>247.00239808153478</v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>
        <f>IF(ISERROR(C430/G423),"",C430/(G423/1000))</f>
        <v>0</v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122.5</v>
      </c>
      <c r="D432" s="313"/>
      <c r="E432" s="300" t="s">
        <v>239</v>
      </c>
      <c r="F432" s="318"/>
      <c r="G432" s="314">
        <f>+G411+G202</f>
        <v>122.5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>
        <f t="array" ref="O432">IF(ISERROR(K432/C432),"",K432/C432)</f>
        <v>0</v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4329.5</v>
      </c>
      <c r="D433" s="313"/>
      <c r="E433" s="300" t="s">
        <v>243</v>
      </c>
      <c r="F433" s="300"/>
      <c r="G433" s="314">
        <f>+G412+G203</f>
        <v>4962.5</v>
      </c>
      <c r="H433" s="315"/>
      <c r="I433" s="300" t="s">
        <v>244</v>
      </c>
      <c r="J433" s="300"/>
      <c r="K433" s="285">
        <f>G433-C433</f>
        <v>633</v>
      </c>
      <c r="L433" s="287"/>
      <c r="M433" s="316" t="s">
        <v>245</v>
      </c>
      <c r="N433" s="317"/>
      <c r="O433" s="310">
        <f t="array" ref="O433">IF(ISERROR(K433/C433),"",K433/C433)</f>
        <v>0.14620625938330062</v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5</v>
      </c>
      <c r="D437" s="67">
        <v>5</v>
      </c>
      <c r="E437" s="171"/>
      <c r="F437" s="171"/>
      <c r="G437" s="171"/>
      <c r="H437" s="172"/>
      <c r="I437" s="172"/>
      <c r="J437" s="83">
        <f t="shared" ref="J437:J452" si="5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5</v>
      </c>
      <c r="R437" s="176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6</v>
      </c>
      <c r="D438" s="67">
        <v>6</v>
      </c>
      <c r="E438" s="171"/>
      <c r="F438" s="171"/>
      <c r="G438" s="171"/>
      <c r="H438" s="172"/>
      <c r="I438" s="172"/>
      <c r="J438" s="83">
        <f t="shared" si="53"/>
        <v>6</v>
      </c>
      <c r="K438" s="67"/>
      <c r="L438" s="67"/>
      <c r="M438" s="67"/>
      <c r="N438" s="67"/>
      <c r="O438" s="67"/>
      <c r="P438" s="118"/>
      <c r="Q438" s="83">
        <f t="shared" si="54"/>
        <v>6</v>
      </c>
      <c r="R438" s="176">
        <f t="shared" ref="R438:R443" si="5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3</v>
      </c>
      <c r="D439" s="67">
        <v>3</v>
      </c>
      <c r="E439" s="171"/>
      <c r="F439" s="171"/>
      <c r="G439" s="171"/>
      <c r="H439" s="172"/>
      <c r="I439" s="172"/>
      <c r="J439" s="83">
        <f t="shared" si="53"/>
        <v>3</v>
      </c>
      <c r="K439" s="67"/>
      <c r="L439" s="67"/>
      <c r="M439" s="67"/>
      <c r="N439" s="67"/>
      <c r="O439" s="67"/>
      <c r="P439" s="118"/>
      <c r="Q439" s="83">
        <f t="shared" si="54"/>
        <v>3</v>
      </c>
      <c r="R439" s="176">
        <f t="shared" si="5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21</v>
      </c>
      <c r="D440" s="67">
        <v>21</v>
      </c>
      <c r="E440" s="171"/>
      <c r="F440" s="171"/>
      <c r="G440" s="171"/>
      <c r="H440" s="172"/>
      <c r="I440" s="172"/>
      <c r="J440" s="83">
        <f t="shared" si="53"/>
        <v>21</v>
      </c>
      <c r="K440" s="67"/>
      <c r="L440" s="67"/>
      <c r="M440" s="67"/>
      <c r="N440" s="67"/>
      <c r="O440" s="67"/>
      <c r="P440" s="118"/>
      <c r="Q440" s="83">
        <f t="shared" si="54"/>
        <v>21</v>
      </c>
      <c r="R440" s="176">
        <f t="shared" si="55"/>
        <v>231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1</v>
      </c>
      <c r="D441" s="67">
        <v>1</v>
      </c>
      <c r="E441" s="171"/>
      <c r="F441" s="171"/>
      <c r="G441" s="171"/>
      <c r="H441" s="172"/>
      <c r="I441" s="172"/>
      <c r="J441" s="83">
        <f t="shared" si="53"/>
        <v>1</v>
      </c>
      <c r="K441" s="67"/>
      <c r="L441" s="67"/>
      <c r="M441" s="67"/>
      <c r="N441" s="67"/>
      <c r="O441" s="67"/>
      <c r="P441" s="118"/>
      <c r="Q441" s="83">
        <f t="shared" si="54"/>
        <v>1</v>
      </c>
      <c r="R441" s="176">
        <f t="shared" si="5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2</v>
      </c>
      <c r="D442" s="67">
        <v>2</v>
      </c>
      <c r="E442" s="67"/>
      <c r="F442" s="67"/>
      <c r="G442" s="67"/>
      <c r="H442" s="67"/>
      <c r="I442" s="67"/>
      <c r="J442" s="83">
        <f t="shared" si="53"/>
        <v>2</v>
      </c>
      <c r="K442" s="67"/>
      <c r="L442" s="67"/>
      <c r="M442" s="67"/>
      <c r="N442" s="67"/>
      <c r="O442" s="67"/>
      <c r="P442" s="67"/>
      <c r="Q442" s="83">
        <f t="shared" si="54"/>
        <v>2</v>
      </c>
      <c r="R442" s="176">
        <f t="shared" si="5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38</v>
      </c>
      <c r="D443" s="68">
        <v>38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38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38</v>
      </c>
      <c r="R443" s="176">
        <f t="shared" si="55"/>
        <v>418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5</v>
      </c>
      <c r="D444" s="67">
        <v>5</v>
      </c>
      <c r="E444" s="67"/>
      <c r="F444" s="67"/>
      <c r="G444" s="67"/>
      <c r="H444" s="67"/>
      <c r="I444" s="67"/>
      <c r="J444" s="83">
        <f t="shared" si="53"/>
        <v>5</v>
      </c>
      <c r="K444" s="67"/>
      <c r="L444" s="67"/>
      <c r="M444" s="67"/>
      <c r="N444" s="67"/>
      <c r="O444" s="67"/>
      <c r="P444" s="67"/>
      <c r="Q444" s="83">
        <f t="shared" si="54"/>
        <v>5</v>
      </c>
      <c r="R444" s="176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5</v>
      </c>
      <c r="D445" s="67">
        <v>5</v>
      </c>
      <c r="E445" s="67"/>
      <c r="F445" s="67"/>
      <c r="G445" s="67"/>
      <c r="H445" s="67"/>
      <c r="I445" s="67"/>
      <c r="J445" s="83">
        <f t="shared" si="53"/>
        <v>5</v>
      </c>
      <c r="K445" s="67"/>
      <c r="L445" s="67"/>
      <c r="M445" s="67"/>
      <c r="N445" s="67"/>
      <c r="O445" s="67"/>
      <c r="P445" s="67"/>
      <c r="Q445" s="83">
        <f t="shared" si="54"/>
        <v>5</v>
      </c>
      <c r="R445" s="176">
        <f t="shared" ref="R445:R450" si="5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3</v>
      </c>
      <c r="D446" s="67">
        <v>3</v>
      </c>
      <c r="E446" s="67"/>
      <c r="F446" s="67"/>
      <c r="G446" s="67"/>
      <c r="H446" s="67"/>
      <c r="I446" s="67"/>
      <c r="J446" s="83">
        <f t="shared" si="53"/>
        <v>3</v>
      </c>
      <c r="K446" s="67"/>
      <c r="L446" s="67"/>
      <c r="M446" s="67"/>
      <c r="N446" s="67"/>
      <c r="P446" s="67"/>
      <c r="Q446" s="83">
        <f t="shared" si="54"/>
        <v>3</v>
      </c>
      <c r="R446" s="176">
        <f t="shared" si="5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26</v>
      </c>
      <c r="D447" s="67">
        <v>26</v>
      </c>
      <c r="E447" s="67"/>
      <c r="F447" s="67"/>
      <c r="G447" s="67"/>
      <c r="H447" s="67"/>
      <c r="I447" s="67"/>
      <c r="J447" s="83">
        <f t="shared" si="53"/>
        <v>26</v>
      </c>
      <c r="K447" s="67"/>
      <c r="L447" s="67"/>
      <c r="M447" s="67"/>
      <c r="N447" s="67"/>
      <c r="O447" s="67"/>
      <c r="P447" s="67"/>
      <c r="Q447" s="83">
        <f t="shared" si="54"/>
        <v>26</v>
      </c>
      <c r="R447" s="176">
        <f t="shared" si="5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1</v>
      </c>
      <c r="D448" s="67">
        <v>1</v>
      </c>
      <c r="E448" s="67"/>
      <c r="F448" s="67"/>
      <c r="G448" s="67"/>
      <c r="H448" s="67"/>
      <c r="I448" s="67"/>
      <c r="J448" s="83">
        <f t="shared" si="53"/>
        <v>1</v>
      </c>
      <c r="K448" s="67"/>
      <c r="L448" s="67"/>
      <c r="M448" s="110"/>
      <c r="N448" s="67"/>
      <c r="O448" s="67"/>
      <c r="P448" s="67"/>
      <c r="Q448" s="83">
        <f t="shared" si="54"/>
        <v>1</v>
      </c>
      <c r="R448" s="176">
        <f t="shared" si="5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2</v>
      </c>
      <c r="D449" s="67">
        <v>2</v>
      </c>
      <c r="E449" s="67"/>
      <c r="F449" s="67"/>
      <c r="G449" s="67"/>
      <c r="H449" s="67"/>
      <c r="I449" s="67"/>
      <c r="J449" s="83">
        <f t="shared" si="53"/>
        <v>2</v>
      </c>
      <c r="K449" s="67"/>
      <c r="L449" s="67"/>
      <c r="M449" s="67"/>
      <c r="N449" s="67"/>
      <c r="O449" s="67"/>
      <c r="P449" s="67"/>
      <c r="Q449" s="83">
        <f t="shared" si="54"/>
        <v>2</v>
      </c>
      <c r="R449" s="176">
        <f t="shared" si="5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42</v>
      </c>
      <c r="D450" s="69">
        <v>42</v>
      </c>
      <c r="E450" s="69">
        <f t="shared" ref="E450:I450" si="59">SUM(E444:E449)</f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42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42</v>
      </c>
      <c r="R450" s="176">
        <f t="shared" si="5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2</v>
      </c>
      <c r="D451" s="67">
        <v>2</v>
      </c>
      <c r="E451" s="171"/>
      <c r="F451" s="171"/>
      <c r="G451" s="171"/>
      <c r="H451" s="172"/>
      <c r="I451" s="83"/>
      <c r="J451" s="83">
        <f t="shared" si="53"/>
        <v>2</v>
      </c>
      <c r="K451" s="172"/>
      <c r="L451" s="172"/>
      <c r="M451" s="172"/>
      <c r="N451" s="172"/>
      <c r="O451" s="172"/>
      <c r="P451" s="187"/>
      <c r="Q451" s="83">
        <f t="shared" si="54"/>
        <v>2</v>
      </c>
      <c r="R451" s="176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82</v>
      </c>
      <c r="D452" s="69">
        <v>82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82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82</v>
      </c>
      <c r="R452" s="67">
        <f>R443+R450+R451</f>
        <v>923</v>
      </c>
      <c r="S452" s="123">
        <f t="array" ref="S452">IF(ISERROR(Q452/J452),"",Q452/J452)</f>
        <v>1</v>
      </c>
      <c r="T452" s="185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23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22"/>
  <dimension ref="A1:AC454"/>
  <sheetViews>
    <sheetView topLeftCell="A2"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311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2"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311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5"/>
  <dimension ref="A1:AC454"/>
  <sheetViews>
    <sheetView workbookViewId="0">
      <selection activeCell="J19" sqref="J1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51" t="s">
        <v>25</v>
      </c>
      <c r="S5" s="220"/>
      <c r="T5" s="222"/>
      <c r="U5" s="222"/>
      <c r="V5" s="224"/>
      <c r="W5" s="151" t="s">
        <v>26</v>
      </c>
      <c r="X5" s="18" t="s">
        <v>27</v>
      </c>
      <c r="Y5" s="18" t="s">
        <v>28</v>
      </c>
      <c r="Z5" s="151" t="s">
        <v>29</v>
      </c>
      <c r="AA5" s="18" t="s">
        <v>30</v>
      </c>
      <c r="AB5" s="18" t="s">
        <v>31</v>
      </c>
      <c r="AC5" s="151" t="s">
        <v>32</v>
      </c>
    </row>
    <row r="6" spans="1:29" ht="21.95" customHeight="1">
      <c r="A6" s="158">
        <v>300320</v>
      </c>
      <c r="B6" s="151" t="s">
        <v>33</v>
      </c>
      <c r="C6" s="232" t="s">
        <v>34</v>
      </c>
      <c r="D6" s="232"/>
      <c r="E6" s="164" t="s">
        <v>35</v>
      </c>
      <c r="F6" s="13"/>
      <c r="G6" s="110"/>
      <c r="H6" s="110"/>
      <c r="I6" s="110"/>
      <c r="J6" s="110"/>
      <c r="K6" s="162">
        <f t="shared" ref="K6:K76" si="0">G6*M6</f>
        <v>0</v>
      </c>
      <c r="L6" s="162">
        <f t="shared" ref="L6:L76" si="1">I6*M6</f>
        <v>0</v>
      </c>
      <c r="M6" s="162">
        <v>633.6</v>
      </c>
      <c r="N6" s="162">
        <f>+M6*1000/(28.3*10*40*60)*T6</f>
        <v>4.6643109540636036</v>
      </c>
      <c r="O6" s="162"/>
      <c r="P6" s="162">
        <f t="shared" ref="P6:P76" si="2">N6*I6+O6*U6</f>
        <v>0</v>
      </c>
      <c r="Q6" s="162"/>
      <c r="R6" s="19">
        <f t="shared" ref="R6:R76" si="3">Q6*U6</f>
        <v>0</v>
      </c>
      <c r="S6" s="162">
        <f t="shared" ref="S6:S76" si="4">R6-P6</f>
        <v>0</v>
      </c>
      <c r="T6" s="20">
        <v>5</v>
      </c>
      <c r="U6" s="20"/>
      <c r="V6" s="159" t="str">
        <f t="array" ref="V6">IF(ISERROR(L6/K6),"",L6/K6)</f>
        <v/>
      </c>
      <c r="W6" s="20"/>
      <c r="X6" s="151"/>
      <c r="Y6" s="151"/>
      <c r="Z6" s="163"/>
      <c r="AA6" s="20"/>
      <c r="AB6" s="20"/>
      <c r="AC6" s="20"/>
    </row>
    <row r="7" spans="1:29" ht="21.95" customHeight="1">
      <c r="A7" s="158">
        <v>300318</v>
      </c>
      <c r="B7" s="151" t="s">
        <v>33</v>
      </c>
      <c r="C7" s="232" t="s">
        <v>34</v>
      </c>
      <c r="D7" s="232"/>
      <c r="E7" s="164" t="s">
        <v>36</v>
      </c>
      <c r="F7" s="13"/>
      <c r="G7" s="110"/>
      <c r="H7" s="110"/>
      <c r="I7" s="110"/>
      <c r="J7" s="110"/>
      <c r="K7" s="162">
        <f t="shared" si="0"/>
        <v>0</v>
      </c>
      <c r="L7" s="162">
        <f t="shared" si="1"/>
        <v>0</v>
      </c>
      <c r="M7" s="162">
        <v>633.6</v>
      </c>
      <c r="N7" s="162">
        <f t="shared" ref="N7:N13" si="5">+M7*1000/(28.3*10*40*60)*T7</f>
        <v>4.6643109540636036</v>
      </c>
      <c r="O7" s="162"/>
      <c r="P7" s="162">
        <f t="shared" si="2"/>
        <v>0</v>
      </c>
      <c r="Q7" s="162"/>
      <c r="R7" s="19">
        <f t="shared" si="3"/>
        <v>0</v>
      </c>
      <c r="S7" s="162">
        <f t="shared" si="4"/>
        <v>0</v>
      </c>
      <c r="T7" s="20">
        <v>5</v>
      </c>
      <c r="U7" s="20"/>
      <c r="V7" s="159" t="str">
        <f t="array" ref="V7">IF(ISERROR(L7/K7),"",L7/K7)</f>
        <v/>
      </c>
      <c r="W7" s="20"/>
      <c r="X7" s="151"/>
      <c r="Y7" s="151"/>
      <c r="Z7" s="163"/>
      <c r="AA7" s="20"/>
      <c r="AB7" s="20"/>
      <c r="AC7" s="20"/>
    </row>
    <row r="8" spans="1:29" ht="21.95" customHeight="1">
      <c r="A8" s="158">
        <v>300319</v>
      </c>
      <c r="B8" s="151" t="s">
        <v>33</v>
      </c>
      <c r="C8" s="232" t="s">
        <v>34</v>
      </c>
      <c r="D8" s="232"/>
      <c r="E8" s="164" t="s">
        <v>37</v>
      </c>
      <c r="F8" s="13"/>
      <c r="G8" s="110"/>
      <c r="H8" s="110"/>
      <c r="I8" s="110"/>
      <c r="J8" s="110"/>
      <c r="K8" s="162">
        <f t="shared" si="0"/>
        <v>0</v>
      </c>
      <c r="L8" s="162">
        <f t="shared" si="1"/>
        <v>0</v>
      </c>
      <c r="M8" s="162">
        <v>633.6</v>
      </c>
      <c r="N8" s="162">
        <f t="shared" si="5"/>
        <v>4.6643109540636036</v>
      </c>
      <c r="O8" s="162"/>
      <c r="P8" s="162">
        <f t="shared" si="2"/>
        <v>0</v>
      </c>
      <c r="Q8" s="162"/>
      <c r="R8" s="19">
        <f t="shared" si="3"/>
        <v>0</v>
      </c>
      <c r="S8" s="162">
        <f t="shared" si="4"/>
        <v>0</v>
      </c>
      <c r="T8" s="20">
        <v>5</v>
      </c>
      <c r="U8" s="20"/>
      <c r="V8" s="159" t="str">
        <f t="array" ref="V8">IF(ISERROR(L8/K8),"",L8/K8)</f>
        <v/>
      </c>
      <c r="W8" s="20"/>
      <c r="X8" s="151"/>
      <c r="Y8" s="151"/>
      <c r="Z8" s="163"/>
      <c r="AA8" s="20"/>
      <c r="AB8" s="20"/>
      <c r="AC8" s="20"/>
    </row>
    <row r="9" spans="1:29" ht="21.95" customHeight="1">
      <c r="A9" s="158">
        <v>300316</v>
      </c>
      <c r="B9" s="151" t="s">
        <v>33</v>
      </c>
      <c r="C9" s="232" t="s">
        <v>34</v>
      </c>
      <c r="D9" s="232"/>
      <c r="E9" s="164" t="s">
        <v>38</v>
      </c>
      <c r="F9" s="13"/>
      <c r="G9" s="110"/>
      <c r="H9" s="110"/>
      <c r="I9" s="110"/>
      <c r="J9" s="110"/>
      <c r="K9" s="162">
        <f t="shared" si="0"/>
        <v>0</v>
      </c>
      <c r="L9" s="162">
        <f t="shared" si="1"/>
        <v>0</v>
      </c>
      <c r="M9" s="162">
        <v>616</v>
      </c>
      <c r="N9" s="162">
        <f t="shared" si="5"/>
        <v>4.534746760895171</v>
      </c>
      <c r="O9" s="162"/>
      <c r="P9" s="162">
        <f t="shared" si="2"/>
        <v>0</v>
      </c>
      <c r="Q9" s="162"/>
      <c r="R9" s="19">
        <f t="shared" si="3"/>
        <v>0</v>
      </c>
      <c r="S9" s="162">
        <f t="shared" si="4"/>
        <v>0</v>
      </c>
      <c r="T9" s="20">
        <v>5</v>
      </c>
      <c r="U9" s="20"/>
      <c r="V9" s="159"/>
      <c r="W9" s="20"/>
      <c r="X9" s="151"/>
      <c r="Y9" s="151"/>
      <c r="Z9" s="163"/>
      <c r="AA9" s="20"/>
      <c r="AB9" s="20"/>
      <c r="AC9" s="20"/>
    </row>
    <row r="10" spans="1:29" ht="21.95" customHeight="1">
      <c r="A10" s="158">
        <v>300317</v>
      </c>
      <c r="B10" s="151" t="s">
        <v>33</v>
      </c>
      <c r="C10" s="219" t="s">
        <v>34</v>
      </c>
      <c r="D10" s="219"/>
      <c r="E10" s="164" t="s">
        <v>39</v>
      </c>
      <c r="F10" s="13"/>
      <c r="G10" s="110"/>
      <c r="H10" s="110"/>
      <c r="I10" s="110"/>
      <c r="J10" s="110"/>
      <c r="K10" s="162">
        <f t="shared" si="0"/>
        <v>0</v>
      </c>
      <c r="L10" s="162">
        <f t="shared" si="1"/>
        <v>0</v>
      </c>
      <c r="M10" s="162">
        <v>616</v>
      </c>
      <c r="N10" s="162">
        <f t="shared" si="5"/>
        <v>4.534746760895171</v>
      </c>
      <c r="O10" s="162"/>
      <c r="P10" s="162">
        <f t="shared" si="2"/>
        <v>0</v>
      </c>
      <c r="Q10" s="162"/>
      <c r="R10" s="19">
        <f t="shared" si="3"/>
        <v>0</v>
      </c>
      <c r="S10" s="162">
        <f t="shared" si="4"/>
        <v>0</v>
      </c>
      <c r="T10" s="20">
        <v>5</v>
      </c>
      <c r="U10" s="20"/>
      <c r="V10" s="159"/>
      <c r="W10" s="20"/>
      <c r="X10" s="151"/>
      <c r="Y10" s="151"/>
      <c r="Z10" s="163"/>
      <c r="AA10" s="20"/>
      <c r="AB10" s="20"/>
      <c r="AC10" s="20"/>
    </row>
    <row r="11" spans="1:29" ht="21.95" customHeight="1">
      <c r="A11" s="158">
        <v>300315</v>
      </c>
      <c r="B11" s="151" t="s">
        <v>33</v>
      </c>
      <c r="C11" s="219" t="s">
        <v>34</v>
      </c>
      <c r="D11" s="219"/>
      <c r="E11" s="164" t="s">
        <v>40</v>
      </c>
      <c r="F11" s="13"/>
      <c r="G11" s="110"/>
      <c r="H11" s="110"/>
      <c r="I11" s="110"/>
      <c r="J11" s="110"/>
      <c r="K11" s="162">
        <f t="shared" si="0"/>
        <v>0</v>
      </c>
      <c r="L11" s="162">
        <f t="shared" si="1"/>
        <v>0</v>
      </c>
      <c r="M11" s="162">
        <v>616</v>
      </c>
      <c r="N11" s="162">
        <f t="shared" si="5"/>
        <v>4.534746760895171</v>
      </c>
      <c r="O11" s="162"/>
      <c r="P11" s="162">
        <f t="shared" si="2"/>
        <v>0</v>
      </c>
      <c r="Q11" s="162"/>
      <c r="R11" s="19">
        <f t="shared" si="3"/>
        <v>0</v>
      </c>
      <c r="S11" s="162">
        <f t="shared" si="4"/>
        <v>0</v>
      </c>
      <c r="T11" s="20">
        <v>5</v>
      </c>
      <c r="U11" s="20"/>
      <c r="V11" s="159" t="str">
        <f t="array" ref="V11">IF(ISERROR(L11/K11),"",L11/K11)</f>
        <v/>
      </c>
      <c r="W11" s="20"/>
      <c r="X11" s="151"/>
      <c r="Y11" s="151"/>
      <c r="Z11" s="163"/>
      <c r="AA11" s="20"/>
      <c r="AB11" s="20"/>
      <c r="AC11" s="20"/>
    </row>
    <row r="12" spans="1:29" ht="21.95" customHeight="1">
      <c r="A12" s="158">
        <v>300314</v>
      </c>
      <c r="B12" s="151" t="s">
        <v>33</v>
      </c>
      <c r="C12" s="219" t="s">
        <v>34</v>
      </c>
      <c r="D12" s="219"/>
      <c r="E12" s="164" t="s">
        <v>41</v>
      </c>
      <c r="F12" s="13"/>
      <c r="G12" s="110"/>
      <c r="H12" s="110"/>
      <c r="I12" s="110"/>
      <c r="J12" s="110"/>
      <c r="K12" s="162">
        <f t="shared" si="0"/>
        <v>0</v>
      </c>
      <c r="L12" s="162">
        <f t="shared" si="1"/>
        <v>0</v>
      </c>
      <c r="M12" s="162">
        <v>616</v>
      </c>
      <c r="N12" s="162">
        <f t="shared" si="5"/>
        <v>4.534746760895171</v>
      </c>
      <c r="O12" s="162"/>
      <c r="P12" s="162">
        <f t="shared" si="2"/>
        <v>0</v>
      </c>
      <c r="Q12" s="162"/>
      <c r="R12" s="19">
        <f t="shared" si="3"/>
        <v>0</v>
      </c>
      <c r="S12" s="162">
        <f t="shared" si="4"/>
        <v>0</v>
      </c>
      <c r="T12" s="20">
        <v>5</v>
      </c>
      <c r="U12" s="20"/>
      <c r="V12" s="159" t="str">
        <f t="array" ref="V12">IF(ISERROR(L12/K12),"",L12/K12)</f>
        <v/>
      </c>
      <c r="W12" s="20"/>
      <c r="X12" s="151"/>
      <c r="Y12" s="151"/>
      <c r="Z12" s="163"/>
      <c r="AA12" s="20"/>
      <c r="AB12" s="20"/>
      <c r="AC12" s="20"/>
    </row>
    <row r="13" spans="1:29" ht="21.95" customHeight="1">
      <c r="A13" s="158">
        <v>300313</v>
      </c>
      <c r="B13" s="151" t="s">
        <v>33</v>
      </c>
      <c r="C13" s="219" t="s">
        <v>34</v>
      </c>
      <c r="D13" s="219"/>
      <c r="E13" s="164" t="s">
        <v>42</v>
      </c>
      <c r="F13" s="13"/>
      <c r="G13" s="110"/>
      <c r="H13" s="110"/>
      <c r="I13" s="110"/>
      <c r="J13" s="110"/>
      <c r="K13" s="162">
        <f t="shared" si="0"/>
        <v>0</v>
      </c>
      <c r="L13" s="162">
        <f t="shared" si="1"/>
        <v>0</v>
      </c>
      <c r="M13" s="162">
        <v>616</v>
      </c>
      <c r="N13" s="162">
        <f t="shared" si="5"/>
        <v>4.534746760895171</v>
      </c>
      <c r="O13" s="162"/>
      <c r="P13" s="162">
        <f t="shared" si="2"/>
        <v>0</v>
      </c>
      <c r="Q13" s="162"/>
      <c r="R13" s="19">
        <f t="shared" si="3"/>
        <v>0</v>
      </c>
      <c r="S13" s="162">
        <f t="shared" si="4"/>
        <v>0</v>
      </c>
      <c r="T13" s="20">
        <v>5</v>
      </c>
      <c r="U13" s="20"/>
      <c r="V13" s="159" t="str">
        <f t="array" ref="V13">IF(ISERROR(L13/K13),"",L13/K13)</f>
        <v/>
      </c>
      <c r="W13" s="20"/>
      <c r="X13" s="151"/>
      <c r="Y13" s="151"/>
      <c r="Z13" s="163"/>
      <c r="AA13" s="20"/>
      <c r="AB13" s="20"/>
      <c r="AC13" s="20"/>
    </row>
    <row r="14" spans="1:29" ht="21.95" customHeight="1">
      <c r="A14" s="158"/>
      <c r="B14" s="151" t="s">
        <v>43</v>
      </c>
      <c r="C14" s="230" t="s">
        <v>305</v>
      </c>
      <c r="D14" s="231"/>
      <c r="E14" s="164" t="s">
        <v>306</v>
      </c>
      <c r="F14" s="13"/>
      <c r="G14" s="110"/>
      <c r="H14" s="110"/>
      <c r="I14" s="110"/>
      <c r="J14" s="110"/>
      <c r="K14" s="162">
        <f t="shared" si="0"/>
        <v>0</v>
      </c>
      <c r="L14" s="162">
        <f t="shared" si="1"/>
        <v>0</v>
      </c>
      <c r="M14" s="162">
        <v>213.4</v>
      </c>
      <c r="N14" s="162">
        <f>+M14*1000/(15.4*10*17*60)*T14</f>
        <v>4.0756302521008401</v>
      </c>
      <c r="O14" s="162"/>
      <c r="P14" s="162">
        <f t="shared" si="2"/>
        <v>0</v>
      </c>
      <c r="Q14" s="162"/>
      <c r="R14" s="19">
        <f t="shared" si="3"/>
        <v>0</v>
      </c>
      <c r="S14" s="162">
        <f t="shared" si="4"/>
        <v>0</v>
      </c>
      <c r="T14" s="20">
        <v>3</v>
      </c>
      <c r="U14" s="20"/>
      <c r="V14" s="159"/>
      <c r="W14" s="20"/>
      <c r="X14" s="151"/>
      <c r="Y14" s="151"/>
      <c r="Z14" s="163"/>
      <c r="AA14" s="20"/>
      <c r="AB14" s="20"/>
      <c r="AC14" s="20"/>
    </row>
    <row r="15" spans="1:29" ht="21.95" customHeight="1">
      <c r="A15" s="158"/>
      <c r="B15" s="151" t="s">
        <v>43</v>
      </c>
      <c r="C15" s="230" t="s">
        <v>305</v>
      </c>
      <c r="D15" s="231"/>
      <c r="E15" s="164" t="s">
        <v>307</v>
      </c>
      <c r="F15" s="13"/>
      <c r="G15" s="110"/>
      <c r="H15" s="110"/>
      <c r="I15" s="110"/>
      <c r="J15" s="110"/>
      <c r="K15" s="162">
        <f t="shared" si="0"/>
        <v>0</v>
      </c>
      <c r="L15" s="162">
        <f t="shared" si="1"/>
        <v>0</v>
      </c>
      <c r="M15" s="162">
        <v>213.4</v>
      </c>
      <c r="N15" s="162">
        <f>+M15*1000/(15.4*10*17*60)*T15</f>
        <v>4.0756302521008401</v>
      </c>
      <c r="O15" s="162"/>
      <c r="P15" s="162">
        <f t="shared" si="2"/>
        <v>0</v>
      </c>
      <c r="Q15" s="162"/>
      <c r="R15" s="19">
        <f t="shared" si="3"/>
        <v>0</v>
      </c>
      <c r="S15" s="162">
        <f t="shared" si="4"/>
        <v>0</v>
      </c>
      <c r="T15" s="20">
        <v>3</v>
      </c>
      <c r="U15" s="20"/>
      <c r="V15" s="159"/>
      <c r="W15" s="20"/>
      <c r="X15" s="151"/>
      <c r="Y15" s="151"/>
      <c r="Z15" s="163"/>
      <c r="AA15" s="20"/>
      <c r="AB15" s="20"/>
      <c r="AC15" s="20"/>
    </row>
    <row r="16" spans="1:29" ht="21" customHeight="1">
      <c r="A16" s="151">
        <v>300202</v>
      </c>
      <c r="B16" s="151" t="s">
        <v>43</v>
      </c>
      <c r="C16" s="230" t="s">
        <v>44</v>
      </c>
      <c r="D16" s="231"/>
      <c r="E16" s="151" t="s">
        <v>35</v>
      </c>
      <c r="F16" s="13"/>
      <c r="G16" s="110"/>
      <c r="H16" s="110"/>
      <c r="I16" s="110"/>
      <c r="J16" s="110"/>
      <c r="K16" s="162">
        <f t="shared" si="0"/>
        <v>0</v>
      </c>
      <c r="L16" s="162">
        <f t="shared" si="1"/>
        <v>0</v>
      </c>
      <c r="M16" s="162">
        <v>212.4</v>
      </c>
      <c r="N16" s="162">
        <f>+M16*1000/(15.4*10*17*60)*T16</f>
        <v>4.0565317035905268</v>
      </c>
      <c r="O16" s="162"/>
      <c r="P16" s="162">
        <f t="shared" si="2"/>
        <v>0</v>
      </c>
      <c r="Q16" s="162"/>
      <c r="R16" s="19">
        <f t="shared" si="3"/>
        <v>0</v>
      </c>
      <c r="S16" s="162">
        <f t="shared" si="4"/>
        <v>0</v>
      </c>
      <c r="T16" s="20">
        <v>3</v>
      </c>
      <c r="U16" s="20"/>
      <c r="V16" s="15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1">
        <v>300203</v>
      </c>
      <c r="B17" s="151" t="s">
        <v>43</v>
      </c>
      <c r="C17" s="230" t="s">
        <v>44</v>
      </c>
      <c r="D17" s="231"/>
      <c r="E17" s="151" t="s">
        <v>41</v>
      </c>
      <c r="F17" s="13"/>
      <c r="G17" s="110"/>
      <c r="H17" s="110"/>
      <c r="I17" s="110"/>
      <c r="J17" s="110"/>
      <c r="K17" s="162">
        <f t="shared" si="0"/>
        <v>0</v>
      </c>
      <c r="L17" s="162">
        <f t="shared" si="1"/>
        <v>0</v>
      </c>
      <c r="M17" s="162">
        <v>212.4</v>
      </c>
      <c r="N17" s="162">
        <f>+M17*1000/(15.4*10*17*60)*T17</f>
        <v>4.0565317035905268</v>
      </c>
      <c r="O17" s="162"/>
      <c r="P17" s="162">
        <f t="shared" si="2"/>
        <v>0</v>
      </c>
      <c r="Q17" s="162"/>
      <c r="R17" s="19">
        <f t="shared" si="3"/>
        <v>0</v>
      </c>
      <c r="S17" s="162">
        <f t="shared" si="4"/>
        <v>0</v>
      </c>
      <c r="T17" s="20">
        <v>3</v>
      </c>
      <c r="U17" s="20"/>
      <c r="V17" s="15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1">
        <v>300204</v>
      </c>
      <c r="B18" s="151" t="s">
        <v>43</v>
      </c>
      <c r="C18" s="230" t="s">
        <v>44</v>
      </c>
      <c r="D18" s="231"/>
      <c r="E18" s="151" t="s">
        <v>37</v>
      </c>
      <c r="F18" s="13"/>
      <c r="G18" s="110"/>
      <c r="H18" s="110"/>
      <c r="I18" s="110"/>
      <c r="J18" s="110"/>
      <c r="K18" s="162">
        <f t="shared" si="0"/>
        <v>0</v>
      </c>
      <c r="L18" s="162">
        <f t="shared" si="1"/>
        <v>0</v>
      </c>
      <c r="M18" s="162">
        <v>212.4</v>
      </c>
      <c r="N18" s="162">
        <f>+M18*1000/(15.4*10*17*60)*T18</f>
        <v>4.0565317035905268</v>
      </c>
      <c r="O18" s="162"/>
      <c r="P18" s="162">
        <f t="shared" si="2"/>
        <v>0</v>
      </c>
      <c r="Q18" s="162"/>
      <c r="R18" s="19">
        <f t="shared" si="3"/>
        <v>0</v>
      </c>
      <c r="S18" s="162">
        <f t="shared" si="4"/>
        <v>0</v>
      </c>
      <c r="T18" s="20">
        <v>3</v>
      </c>
      <c r="U18" s="20"/>
      <c r="V18" s="15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8">
        <v>300269</v>
      </c>
      <c r="B19" s="151" t="s">
        <v>43</v>
      </c>
      <c r="C19" s="219" t="s">
        <v>45</v>
      </c>
      <c r="D19" s="219"/>
      <c r="E19" s="164"/>
      <c r="F19" s="13"/>
      <c r="G19" s="110"/>
      <c r="H19" s="110"/>
      <c r="I19" s="110"/>
      <c r="J19" s="110"/>
      <c r="K19" s="162">
        <f t="shared" si="0"/>
        <v>0</v>
      </c>
      <c r="L19" s="162">
        <f t="shared" si="1"/>
        <v>0</v>
      </c>
      <c r="M19" s="162">
        <v>209.4</v>
      </c>
      <c r="N19" s="162">
        <f>+M19*1000/(19.4*10*16*60)*T19</f>
        <v>3.3730670103092786</v>
      </c>
      <c r="O19" s="162"/>
      <c r="P19" s="162">
        <f t="shared" si="2"/>
        <v>0</v>
      </c>
      <c r="Q19" s="162"/>
      <c r="R19" s="19">
        <f t="shared" si="3"/>
        <v>0</v>
      </c>
      <c r="S19" s="162">
        <f t="shared" si="4"/>
        <v>0</v>
      </c>
      <c r="T19" s="20">
        <v>3</v>
      </c>
      <c r="U19" s="20"/>
      <c r="V19" s="15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8"/>
      <c r="B20" s="151"/>
      <c r="C20" s="219" t="s">
        <v>46</v>
      </c>
      <c r="D20" s="219"/>
      <c r="E20" s="164" t="s">
        <v>47</v>
      </c>
      <c r="F20" s="13"/>
      <c r="G20" s="110"/>
      <c r="H20" s="110"/>
      <c r="I20" s="110"/>
      <c r="J20" s="110"/>
      <c r="K20" s="162">
        <f t="shared" si="0"/>
        <v>0</v>
      </c>
      <c r="L20" s="162">
        <f t="shared" si="1"/>
        <v>0</v>
      </c>
      <c r="M20" s="162">
        <v>209.9</v>
      </c>
      <c r="N20" s="162">
        <f>+M20*1000/(19*10*16*60)*T20</f>
        <v>3.4523026315789478</v>
      </c>
      <c r="O20" s="162"/>
      <c r="P20" s="162">
        <f t="shared" si="2"/>
        <v>0</v>
      </c>
      <c r="Q20" s="162"/>
      <c r="R20" s="19">
        <f t="shared" si="3"/>
        <v>0</v>
      </c>
      <c r="S20" s="162">
        <f t="shared" si="4"/>
        <v>0</v>
      </c>
      <c r="T20" s="20">
        <v>3</v>
      </c>
      <c r="U20" s="20"/>
      <c r="V20" s="15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8">
        <v>300350</v>
      </c>
      <c r="B21" s="151" t="s">
        <v>43</v>
      </c>
      <c r="C21" s="219" t="s">
        <v>48</v>
      </c>
      <c r="D21" s="219"/>
      <c r="E21" s="164" t="s">
        <v>49</v>
      </c>
      <c r="F21" s="13"/>
      <c r="G21" s="110"/>
      <c r="H21" s="110"/>
      <c r="I21" s="110"/>
      <c r="J21" s="110"/>
      <c r="K21" s="162">
        <f t="shared" si="0"/>
        <v>0</v>
      </c>
      <c r="L21" s="162">
        <f t="shared" si="1"/>
        <v>0</v>
      </c>
      <c r="M21" s="162">
        <v>209.9</v>
      </c>
      <c r="N21" s="162">
        <f>+M21*1000/(19*10*16*60)*T21</f>
        <v>2.3015350877192984</v>
      </c>
      <c r="O21" s="162"/>
      <c r="P21" s="162">
        <f t="shared" si="2"/>
        <v>0</v>
      </c>
      <c r="Q21" s="162"/>
      <c r="R21" s="19">
        <f t="shared" si="3"/>
        <v>0</v>
      </c>
      <c r="S21" s="162">
        <f t="shared" si="4"/>
        <v>0</v>
      </c>
      <c r="T21" s="20">
        <v>2</v>
      </c>
      <c r="U21" s="20"/>
      <c r="V21" s="15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8">
        <v>300113</v>
      </c>
      <c r="B22" s="151" t="s">
        <v>43</v>
      </c>
      <c r="C22" s="219" t="s">
        <v>50</v>
      </c>
      <c r="D22" s="219"/>
      <c r="E22" s="164" t="s">
        <v>40</v>
      </c>
      <c r="F22" s="13"/>
      <c r="G22" s="110"/>
      <c r="H22" s="110"/>
      <c r="I22" s="110"/>
      <c r="J22" s="110"/>
      <c r="K22" s="162">
        <f t="shared" si="0"/>
        <v>0</v>
      </c>
      <c r="L22" s="162">
        <f t="shared" si="1"/>
        <v>0</v>
      </c>
      <c r="M22" s="162">
        <v>210</v>
      </c>
      <c r="N22" s="162">
        <f>M22*1000/(19.2*10*17*60)*T22</f>
        <v>2.1446078431372548</v>
      </c>
      <c r="O22" s="162"/>
      <c r="P22" s="162">
        <f t="shared" si="2"/>
        <v>0</v>
      </c>
      <c r="Q22" s="162"/>
      <c r="R22" s="19">
        <f t="shared" si="3"/>
        <v>0</v>
      </c>
      <c r="S22" s="162">
        <f t="shared" si="4"/>
        <v>0</v>
      </c>
      <c r="T22" s="20">
        <v>2</v>
      </c>
      <c r="U22" s="20"/>
      <c r="V22" s="15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8">
        <v>300114</v>
      </c>
      <c r="B23" s="151" t="s">
        <v>43</v>
      </c>
      <c r="C23" s="219" t="s">
        <v>50</v>
      </c>
      <c r="D23" s="219"/>
      <c r="E23" s="164" t="s">
        <v>42</v>
      </c>
      <c r="F23" s="13"/>
      <c r="G23" s="110"/>
      <c r="H23" s="110"/>
      <c r="I23" s="110"/>
      <c r="J23" s="110"/>
      <c r="K23" s="162">
        <f t="shared" si="0"/>
        <v>0</v>
      </c>
      <c r="L23" s="162">
        <f t="shared" si="1"/>
        <v>0</v>
      </c>
      <c r="M23" s="162">
        <v>210</v>
      </c>
      <c r="N23" s="162">
        <f>M23*1000/(19.2*10*17*60)*T23</f>
        <v>2.1446078431372548</v>
      </c>
      <c r="O23" s="162"/>
      <c r="P23" s="162">
        <f t="shared" si="2"/>
        <v>0</v>
      </c>
      <c r="Q23" s="162"/>
      <c r="R23" s="19">
        <f t="shared" si="3"/>
        <v>0</v>
      </c>
      <c r="S23" s="162">
        <f t="shared" si="4"/>
        <v>0</v>
      </c>
      <c r="T23" s="20">
        <v>2</v>
      </c>
      <c r="U23" s="20"/>
      <c r="V23" s="15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8">
        <v>300115</v>
      </c>
      <c r="B24" s="151" t="s">
        <v>43</v>
      </c>
      <c r="C24" s="219" t="s">
        <v>50</v>
      </c>
      <c r="D24" s="219"/>
      <c r="E24" s="164" t="s">
        <v>41</v>
      </c>
      <c r="F24" s="13"/>
      <c r="G24" s="110"/>
      <c r="H24" s="110"/>
      <c r="I24" s="110"/>
      <c r="J24" s="110"/>
      <c r="K24" s="162">
        <f t="shared" si="0"/>
        <v>0</v>
      </c>
      <c r="L24" s="162">
        <f t="shared" si="1"/>
        <v>0</v>
      </c>
      <c r="M24" s="162">
        <v>210</v>
      </c>
      <c r="N24" s="162">
        <f>M24*1000/(19.2*10*17*60)*T24</f>
        <v>2.1446078431372548</v>
      </c>
      <c r="O24" s="162"/>
      <c r="P24" s="162">
        <f t="shared" si="2"/>
        <v>0</v>
      </c>
      <c r="Q24" s="162"/>
      <c r="R24" s="19">
        <f t="shared" si="3"/>
        <v>0</v>
      </c>
      <c r="S24" s="162">
        <f t="shared" si="4"/>
        <v>0</v>
      </c>
      <c r="T24" s="20">
        <v>2</v>
      </c>
      <c r="U24" s="20"/>
      <c r="V24" s="15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8">
        <v>300011</v>
      </c>
      <c r="B25" s="151" t="s">
        <v>43</v>
      </c>
      <c r="C25" s="219" t="s">
        <v>51</v>
      </c>
      <c r="D25" s="219"/>
      <c r="E25" s="164" t="s">
        <v>40</v>
      </c>
      <c r="F25" s="13"/>
      <c r="G25" s="110"/>
      <c r="H25" s="110"/>
      <c r="I25" s="110"/>
      <c r="J25" s="110"/>
      <c r="K25" s="162">
        <f t="shared" si="0"/>
        <v>0</v>
      </c>
      <c r="L25" s="162">
        <f t="shared" si="1"/>
        <v>0</v>
      </c>
      <c r="M25" s="162">
        <v>524.6</v>
      </c>
      <c r="N25" s="162">
        <f>+M25*1000/(25.4*20*15*60)*T25</f>
        <v>3.4422572178477688</v>
      </c>
      <c r="O25" s="162"/>
      <c r="P25" s="162">
        <f t="shared" si="2"/>
        <v>0</v>
      </c>
      <c r="Q25" s="162"/>
      <c r="R25" s="19">
        <f t="shared" si="3"/>
        <v>0</v>
      </c>
      <c r="S25" s="162">
        <f t="shared" si="4"/>
        <v>0</v>
      </c>
      <c r="T25" s="20">
        <v>3</v>
      </c>
      <c r="U25" s="20"/>
      <c r="V25" s="15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8">
        <v>300012</v>
      </c>
      <c r="B26" s="151" t="s">
        <v>43</v>
      </c>
      <c r="C26" s="219" t="s">
        <v>51</v>
      </c>
      <c r="D26" s="219"/>
      <c r="E26" s="164" t="s">
        <v>41</v>
      </c>
      <c r="F26" s="13"/>
      <c r="G26" s="110"/>
      <c r="H26" s="110"/>
      <c r="I26" s="110"/>
      <c r="J26" s="110"/>
      <c r="K26" s="162">
        <f t="shared" si="0"/>
        <v>0</v>
      </c>
      <c r="L26" s="162">
        <f t="shared" si="1"/>
        <v>0</v>
      </c>
      <c r="M26" s="162">
        <v>524.6</v>
      </c>
      <c r="N26" s="162">
        <f>+M26*1000/(25.4*20*15*60)*T26</f>
        <v>3.4422572178477688</v>
      </c>
      <c r="O26" s="162"/>
      <c r="P26" s="162">
        <f t="shared" si="2"/>
        <v>0</v>
      </c>
      <c r="Q26" s="162"/>
      <c r="R26" s="19">
        <f t="shared" si="3"/>
        <v>0</v>
      </c>
      <c r="S26" s="162">
        <f t="shared" si="4"/>
        <v>0</v>
      </c>
      <c r="T26" s="20">
        <v>3</v>
      </c>
      <c r="U26" s="20"/>
      <c r="V26" s="15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8">
        <v>300013</v>
      </c>
      <c r="B27" s="151" t="s">
        <v>43</v>
      </c>
      <c r="C27" s="219" t="s">
        <v>51</v>
      </c>
      <c r="D27" s="219"/>
      <c r="E27" s="164" t="s">
        <v>42</v>
      </c>
      <c r="F27" s="13"/>
      <c r="G27" s="110"/>
      <c r="H27" s="110"/>
      <c r="I27" s="110"/>
      <c r="J27" s="110"/>
      <c r="K27" s="162">
        <f t="shared" si="0"/>
        <v>0</v>
      </c>
      <c r="L27" s="162">
        <f t="shared" si="1"/>
        <v>0</v>
      </c>
      <c r="M27" s="162">
        <v>524.6</v>
      </c>
      <c r="N27" s="162">
        <f>+M27*1000/(25.4*20*15*60)*T27</f>
        <v>3.4422572178477688</v>
      </c>
      <c r="O27" s="162"/>
      <c r="P27" s="162">
        <f t="shared" si="2"/>
        <v>0</v>
      </c>
      <c r="Q27" s="162"/>
      <c r="R27" s="19">
        <f t="shared" si="3"/>
        <v>0</v>
      </c>
      <c r="S27" s="162">
        <f t="shared" si="4"/>
        <v>0</v>
      </c>
      <c r="T27" s="20">
        <v>3</v>
      </c>
      <c r="U27" s="20"/>
      <c r="V27" s="15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8">
        <v>300016</v>
      </c>
      <c r="B28" s="151" t="s">
        <v>43</v>
      </c>
      <c r="C28" s="219" t="s">
        <v>51</v>
      </c>
      <c r="D28" s="219"/>
      <c r="E28" s="164" t="s">
        <v>38</v>
      </c>
      <c r="F28" s="13"/>
      <c r="G28" s="110"/>
      <c r="H28" s="110"/>
      <c r="I28" s="110"/>
      <c r="J28" s="110"/>
      <c r="K28" s="162">
        <f t="shared" si="0"/>
        <v>0</v>
      </c>
      <c r="L28" s="162">
        <f t="shared" si="1"/>
        <v>0</v>
      </c>
      <c r="M28" s="162">
        <v>524.6</v>
      </c>
      <c r="N28" s="162">
        <f>+M28*1000/(25.4*20*15*60)*T28</f>
        <v>3.4422572178477688</v>
      </c>
      <c r="O28" s="162"/>
      <c r="P28" s="162">
        <f t="shared" si="2"/>
        <v>0</v>
      </c>
      <c r="Q28" s="162"/>
      <c r="R28" s="19">
        <f t="shared" si="3"/>
        <v>0</v>
      </c>
      <c r="S28" s="162">
        <f t="shared" si="4"/>
        <v>0</v>
      </c>
      <c r="T28" s="20">
        <v>3</v>
      </c>
      <c r="U28" s="20"/>
      <c r="V28" s="15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8">
        <v>300276</v>
      </c>
      <c r="B30" s="151" t="s">
        <v>43</v>
      </c>
      <c r="C30" s="219" t="s">
        <v>53</v>
      </c>
      <c r="D30" s="219"/>
      <c r="E30" s="164" t="s">
        <v>41</v>
      </c>
      <c r="F30" s="13"/>
      <c r="G30" s="110"/>
      <c r="H30" s="110"/>
      <c r="I30" s="110"/>
      <c r="J30" s="110"/>
      <c r="K30" s="162">
        <f t="shared" si="0"/>
        <v>0</v>
      </c>
      <c r="L30" s="162">
        <f t="shared" si="1"/>
        <v>0</v>
      </c>
      <c r="M30" s="15">
        <v>266</v>
      </c>
      <c r="N30" s="162">
        <f>+M30*1000/(29.8*10*13*60)*T30</f>
        <v>3.4331440371708828</v>
      </c>
      <c r="O30" s="162"/>
      <c r="P30" s="162">
        <f t="shared" si="2"/>
        <v>0</v>
      </c>
      <c r="Q30" s="162"/>
      <c r="R30" s="19">
        <f t="shared" si="3"/>
        <v>0</v>
      </c>
      <c r="S30" s="162">
        <f t="shared" si="4"/>
        <v>0</v>
      </c>
      <c r="T30" s="20">
        <v>3</v>
      </c>
      <c r="U30" s="20"/>
      <c r="V30" s="15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8">
        <v>300277</v>
      </c>
      <c r="B31" s="151" t="s">
        <v>43</v>
      </c>
      <c r="C31" s="219" t="s">
        <v>53</v>
      </c>
      <c r="D31" s="219"/>
      <c r="E31" s="164" t="s">
        <v>39</v>
      </c>
      <c r="F31" s="13"/>
      <c r="G31" s="110"/>
      <c r="H31" s="110"/>
      <c r="I31" s="110"/>
      <c r="J31" s="110"/>
      <c r="K31" s="162">
        <f t="shared" si="0"/>
        <v>0</v>
      </c>
      <c r="L31" s="162">
        <f t="shared" si="1"/>
        <v>0</v>
      </c>
      <c r="M31" s="15">
        <v>266</v>
      </c>
      <c r="N31" s="162">
        <f>+M31*1000/(29.8*10*13*60)*T31</f>
        <v>3.4331440371708828</v>
      </c>
      <c r="O31" s="162"/>
      <c r="P31" s="162">
        <f t="shared" si="2"/>
        <v>0</v>
      </c>
      <c r="Q31" s="162"/>
      <c r="R31" s="19">
        <f t="shared" si="3"/>
        <v>0</v>
      </c>
      <c r="S31" s="162">
        <f t="shared" si="4"/>
        <v>0</v>
      </c>
      <c r="T31" s="20">
        <v>3</v>
      </c>
      <c r="U31" s="20"/>
      <c r="V31" s="15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8">
        <v>300278</v>
      </c>
      <c r="B32" s="151" t="s">
        <v>43</v>
      </c>
      <c r="C32" s="219" t="s">
        <v>53</v>
      </c>
      <c r="D32" s="219"/>
      <c r="E32" s="164" t="s">
        <v>54</v>
      </c>
      <c r="F32" s="13"/>
      <c r="G32" s="110"/>
      <c r="H32" s="110"/>
      <c r="I32" s="110"/>
      <c r="J32" s="110"/>
      <c r="K32" s="162">
        <f t="shared" si="0"/>
        <v>0</v>
      </c>
      <c r="L32" s="162">
        <f t="shared" si="1"/>
        <v>0</v>
      </c>
      <c r="M32" s="15">
        <v>266</v>
      </c>
      <c r="N32" s="162">
        <f>+M32*1000/(29.8*10*13*60)*T32</f>
        <v>3.4331440371708828</v>
      </c>
      <c r="O32" s="162"/>
      <c r="P32" s="162">
        <f t="shared" si="2"/>
        <v>0</v>
      </c>
      <c r="Q32" s="162"/>
      <c r="R32" s="19">
        <f t="shared" si="3"/>
        <v>0</v>
      </c>
      <c r="S32" s="162">
        <f t="shared" si="4"/>
        <v>0</v>
      </c>
      <c r="T32" s="20">
        <v>3</v>
      </c>
      <c r="U32" s="20"/>
      <c r="V32" s="15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8">
        <v>300027</v>
      </c>
      <c r="B33" s="151" t="s">
        <v>55</v>
      </c>
      <c r="C33" s="219" t="s">
        <v>56</v>
      </c>
      <c r="D33" s="219"/>
      <c r="E33" s="164" t="s">
        <v>54</v>
      </c>
      <c r="F33" s="13"/>
      <c r="G33" s="110"/>
      <c r="H33" s="110"/>
      <c r="I33" s="110"/>
      <c r="J33" s="110"/>
      <c r="K33" s="162">
        <f t="shared" si="0"/>
        <v>0</v>
      </c>
      <c r="L33" s="162">
        <f t="shared" si="1"/>
        <v>0</v>
      </c>
      <c r="M33" s="162">
        <v>550.4</v>
      </c>
      <c r="N33" s="162">
        <f>+M33*1000/(31*20*15*60)*T33</f>
        <v>2.9591397849462364</v>
      </c>
      <c r="O33" s="162"/>
      <c r="P33" s="162">
        <f t="shared" si="2"/>
        <v>0</v>
      </c>
      <c r="Q33" s="162"/>
      <c r="R33" s="19">
        <f t="shared" si="3"/>
        <v>0</v>
      </c>
      <c r="S33" s="162">
        <f t="shared" si="4"/>
        <v>0</v>
      </c>
      <c r="T33" s="20">
        <v>3</v>
      </c>
      <c r="U33" s="20"/>
      <c r="V33" s="15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8">
        <v>300028</v>
      </c>
      <c r="B34" s="151" t="s">
        <v>55</v>
      </c>
      <c r="C34" s="219" t="s">
        <v>56</v>
      </c>
      <c r="D34" s="219"/>
      <c r="E34" s="164" t="s">
        <v>35</v>
      </c>
      <c r="F34" s="13"/>
      <c r="G34" s="110"/>
      <c r="H34" s="110"/>
      <c r="I34" s="110"/>
      <c r="J34" s="110"/>
      <c r="K34" s="162">
        <f t="shared" si="0"/>
        <v>0</v>
      </c>
      <c r="L34" s="162">
        <f t="shared" si="1"/>
        <v>0</v>
      </c>
      <c r="M34" s="162">
        <v>550.4</v>
      </c>
      <c r="N34" s="162">
        <f>+M34*1000/(31*20*15*60)*T34</f>
        <v>2.9591397849462364</v>
      </c>
      <c r="O34" s="162"/>
      <c r="P34" s="162">
        <f t="shared" si="2"/>
        <v>0</v>
      </c>
      <c r="Q34" s="162"/>
      <c r="R34" s="19">
        <f t="shared" si="3"/>
        <v>0</v>
      </c>
      <c r="S34" s="162">
        <f t="shared" si="4"/>
        <v>0</v>
      </c>
      <c r="T34" s="20">
        <v>3</v>
      </c>
      <c r="U34" s="20"/>
      <c r="V34" s="15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8">
        <v>300029</v>
      </c>
      <c r="B35" s="151" t="s">
        <v>55</v>
      </c>
      <c r="C35" s="219" t="s">
        <v>56</v>
      </c>
      <c r="D35" s="219"/>
      <c r="E35" s="164" t="s">
        <v>57</v>
      </c>
      <c r="F35" s="13"/>
      <c r="G35" s="110"/>
      <c r="H35" s="110"/>
      <c r="I35" s="110"/>
      <c r="J35" s="110"/>
      <c r="K35" s="162">
        <f t="shared" si="0"/>
        <v>0</v>
      </c>
      <c r="L35" s="162">
        <f t="shared" si="1"/>
        <v>0</v>
      </c>
      <c r="M35" s="162">
        <v>550.4</v>
      </c>
      <c r="N35" s="162">
        <f>+M35*1000/(31*20*15*60)*T35</f>
        <v>2.9591397849462364</v>
      </c>
      <c r="O35" s="162"/>
      <c r="P35" s="162">
        <f t="shared" si="2"/>
        <v>0</v>
      </c>
      <c r="Q35" s="162"/>
      <c r="R35" s="19">
        <f t="shared" si="3"/>
        <v>0</v>
      </c>
      <c r="S35" s="162">
        <f t="shared" si="4"/>
        <v>0</v>
      </c>
      <c r="T35" s="20">
        <v>3</v>
      </c>
      <c r="U35" s="20"/>
      <c r="V35" s="15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8">
        <v>300026</v>
      </c>
      <c r="B36" s="151" t="s">
        <v>55</v>
      </c>
      <c r="C36" s="219" t="s">
        <v>56</v>
      </c>
      <c r="D36" s="219"/>
      <c r="E36" s="164" t="s">
        <v>37</v>
      </c>
      <c r="F36" s="13"/>
      <c r="G36" s="110"/>
      <c r="H36" s="110"/>
      <c r="I36" s="110"/>
      <c r="J36" s="110"/>
      <c r="K36" s="162">
        <f t="shared" si="0"/>
        <v>0</v>
      </c>
      <c r="L36" s="162">
        <f t="shared" si="1"/>
        <v>0</v>
      </c>
      <c r="M36" s="162">
        <v>550.4</v>
      </c>
      <c r="N36" s="162">
        <f>+M36*1000/(31*20*15*60)*T36</f>
        <v>2.9591397849462364</v>
      </c>
      <c r="O36" s="162"/>
      <c r="P36" s="162">
        <f t="shared" si="2"/>
        <v>0</v>
      </c>
      <c r="Q36" s="162"/>
      <c r="R36" s="19">
        <f t="shared" si="3"/>
        <v>0</v>
      </c>
      <c r="S36" s="162">
        <f t="shared" si="4"/>
        <v>0</v>
      </c>
      <c r="T36" s="20">
        <v>3</v>
      </c>
      <c r="U36" s="20"/>
      <c r="V36" s="15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8">
        <v>300032</v>
      </c>
      <c r="B37" s="151">
        <v>3002</v>
      </c>
      <c r="C37" s="219" t="s">
        <v>58</v>
      </c>
      <c r="D37" s="219" t="s">
        <v>59</v>
      </c>
      <c r="E37" s="164" t="s">
        <v>35</v>
      </c>
      <c r="F37" s="13"/>
      <c r="G37" s="110"/>
      <c r="H37" s="110"/>
      <c r="I37" s="110"/>
      <c r="J37" s="110"/>
      <c r="K37" s="162">
        <f t="shared" si="0"/>
        <v>0</v>
      </c>
      <c r="L37" s="162">
        <f t="shared" si="1"/>
        <v>0</v>
      </c>
      <c r="M37" s="162">
        <v>285.7</v>
      </c>
      <c r="N37" s="162">
        <f>+M37*1000/(31*10*13*60)*T37</f>
        <v>7.0893300248138953</v>
      </c>
      <c r="O37" s="162"/>
      <c r="P37" s="162">
        <f t="shared" si="2"/>
        <v>0</v>
      </c>
      <c r="Q37" s="162"/>
      <c r="R37" s="19">
        <f t="shared" si="3"/>
        <v>0</v>
      </c>
      <c r="S37" s="162">
        <f t="shared" si="4"/>
        <v>0</v>
      </c>
      <c r="T37" s="20">
        <v>6</v>
      </c>
      <c r="U37" s="20"/>
      <c r="V37" s="15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8">
        <v>300413</v>
      </c>
      <c r="B38" s="151">
        <v>3002</v>
      </c>
      <c r="C38" s="230" t="s">
        <v>296</v>
      </c>
      <c r="D38" s="231"/>
      <c r="E38" s="164" t="s">
        <v>294</v>
      </c>
      <c r="F38" s="13"/>
      <c r="G38" s="110"/>
      <c r="H38" s="110"/>
      <c r="I38" s="110"/>
      <c r="J38" s="110"/>
      <c r="K38" s="162">
        <f t="shared" si="0"/>
        <v>0</v>
      </c>
      <c r="L38" s="162">
        <f t="shared" si="1"/>
        <v>0</v>
      </c>
      <c r="M38" s="162">
        <v>528.79999999999995</v>
      </c>
      <c r="N38" s="162">
        <f>+M38*1000/(31*10*13*60)*T38</f>
        <v>6.5607940446650126</v>
      </c>
      <c r="O38" s="162"/>
      <c r="P38" s="162">
        <f t="shared" si="2"/>
        <v>0</v>
      </c>
      <c r="Q38" s="162"/>
      <c r="R38" s="19">
        <f t="shared" si="3"/>
        <v>0</v>
      </c>
      <c r="S38" s="162">
        <f t="shared" si="4"/>
        <v>0</v>
      </c>
      <c r="T38" s="20">
        <v>3</v>
      </c>
      <c r="U38" s="20"/>
      <c r="V38" s="15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8">
        <v>300414</v>
      </c>
      <c r="B39" s="151">
        <v>3002</v>
      </c>
      <c r="C39" s="230" t="s">
        <v>296</v>
      </c>
      <c r="D39" s="231"/>
      <c r="E39" s="164" t="s">
        <v>303</v>
      </c>
      <c r="F39" s="13"/>
      <c r="G39" s="110"/>
      <c r="H39" s="110"/>
      <c r="I39" s="110"/>
      <c r="J39" s="110"/>
      <c r="K39" s="162">
        <f t="shared" si="0"/>
        <v>0</v>
      </c>
      <c r="L39" s="162">
        <f t="shared" si="1"/>
        <v>0</v>
      </c>
      <c r="M39" s="162">
        <v>528.79999999999995</v>
      </c>
      <c r="N39" s="162">
        <f>+M39*1000/(31*10*13*60)*T39</f>
        <v>6.5607940446650126</v>
      </c>
      <c r="O39" s="162"/>
      <c r="P39" s="162">
        <f t="shared" si="2"/>
        <v>0</v>
      </c>
      <c r="Q39" s="162"/>
      <c r="R39" s="19">
        <f t="shared" si="3"/>
        <v>0</v>
      </c>
      <c r="S39" s="162">
        <f t="shared" si="4"/>
        <v>0</v>
      </c>
      <c r="T39" s="20">
        <v>3</v>
      </c>
      <c r="U39" s="20"/>
      <c r="V39" s="15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8">
        <v>300415</v>
      </c>
      <c r="B40" s="151">
        <v>3002</v>
      </c>
      <c r="C40" s="230" t="s">
        <v>296</v>
      </c>
      <c r="D40" s="231"/>
      <c r="E40" s="164" t="s">
        <v>295</v>
      </c>
      <c r="F40" s="13"/>
      <c r="G40" s="110"/>
      <c r="H40" s="110"/>
      <c r="I40" s="110"/>
      <c r="J40" s="110"/>
      <c r="K40" s="162">
        <f t="shared" si="0"/>
        <v>0</v>
      </c>
      <c r="L40" s="162">
        <f t="shared" si="1"/>
        <v>0</v>
      </c>
      <c r="M40" s="162">
        <v>528.79999999999995</v>
      </c>
      <c r="N40" s="162">
        <f>+M40*1000/(31*10*13*60)*T40</f>
        <v>6.5607940446650126</v>
      </c>
      <c r="O40" s="162"/>
      <c r="P40" s="162">
        <f t="shared" si="2"/>
        <v>0</v>
      </c>
      <c r="Q40" s="162"/>
      <c r="R40" s="19">
        <f t="shared" si="3"/>
        <v>0</v>
      </c>
      <c r="S40" s="162">
        <f t="shared" si="4"/>
        <v>0</v>
      </c>
      <c r="T40" s="20">
        <v>3</v>
      </c>
      <c r="U40" s="20"/>
      <c r="V40" s="15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8">
        <v>300035</v>
      </c>
      <c r="B41" s="151" t="s">
        <v>60</v>
      </c>
      <c r="C41" s="219" t="s">
        <v>61</v>
      </c>
      <c r="D41" s="219" t="s">
        <v>62</v>
      </c>
      <c r="E41" s="164" t="s">
        <v>35</v>
      </c>
      <c r="F41" s="13"/>
      <c r="G41" s="110"/>
      <c r="H41" s="110"/>
      <c r="I41" s="110"/>
      <c r="J41" s="110"/>
      <c r="K41" s="162">
        <f t="shared" si="0"/>
        <v>0</v>
      </c>
      <c r="L41" s="162">
        <f t="shared" si="1"/>
        <v>0</v>
      </c>
      <c r="M41" s="162">
        <v>366.93</v>
      </c>
      <c r="N41" s="162">
        <f>+M41*1000/(35.8*10*13*60)*T41</f>
        <v>2.6280618822518265</v>
      </c>
      <c r="O41" s="162"/>
      <c r="P41" s="162">
        <f t="shared" si="2"/>
        <v>0</v>
      </c>
      <c r="Q41" s="162"/>
      <c r="R41" s="19">
        <f t="shared" si="3"/>
        <v>0</v>
      </c>
      <c r="S41" s="162">
        <f t="shared" si="4"/>
        <v>0</v>
      </c>
      <c r="T41" s="20">
        <v>2</v>
      </c>
      <c r="U41" s="20"/>
      <c r="V41" s="15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8">
        <v>300036</v>
      </c>
      <c r="B42" s="151" t="s">
        <v>60</v>
      </c>
      <c r="C42" s="219" t="s">
        <v>61</v>
      </c>
      <c r="D42" s="219" t="s">
        <v>62</v>
      </c>
      <c r="E42" s="164" t="s">
        <v>63</v>
      </c>
      <c r="F42" s="13"/>
      <c r="G42" s="110"/>
      <c r="H42" s="110"/>
      <c r="I42" s="110"/>
      <c r="J42" s="110"/>
      <c r="K42" s="162">
        <f t="shared" si="0"/>
        <v>0</v>
      </c>
      <c r="L42" s="162">
        <f t="shared" si="1"/>
        <v>0</v>
      </c>
      <c r="M42" s="162">
        <v>366.93</v>
      </c>
      <c r="N42" s="162">
        <f>+M42*1000/(35.8*10*13*60)*T42</f>
        <v>2.6280618822518265</v>
      </c>
      <c r="O42" s="162"/>
      <c r="P42" s="162">
        <f t="shared" si="2"/>
        <v>0</v>
      </c>
      <c r="Q42" s="162"/>
      <c r="R42" s="19">
        <f t="shared" si="3"/>
        <v>0</v>
      </c>
      <c r="S42" s="162">
        <f t="shared" si="4"/>
        <v>0</v>
      </c>
      <c r="T42" s="20">
        <v>2</v>
      </c>
      <c r="U42" s="20"/>
      <c r="V42" s="15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8">
        <v>300037</v>
      </c>
      <c r="B43" s="151" t="s">
        <v>60</v>
      </c>
      <c r="C43" s="219" t="s">
        <v>61</v>
      </c>
      <c r="D43" s="219" t="s">
        <v>62</v>
      </c>
      <c r="E43" s="164" t="s">
        <v>37</v>
      </c>
      <c r="F43" s="13"/>
      <c r="G43" s="110"/>
      <c r="H43" s="110"/>
      <c r="I43" s="110"/>
      <c r="J43" s="110"/>
      <c r="K43" s="162">
        <f t="shared" si="0"/>
        <v>0</v>
      </c>
      <c r="L43" s="162">
        <f t="shared" si="1"/>
        <v>0</v>
      </c>
      <c r="M43" s="162">
        <v>366.93</v>
      </c>
      <c r="N43" s="162">
        <f>+M43*1000/(35.8*10*13*60)*T43</f>
        <v>2.6280618822518265</v>
      </c>
      <c r="O43" s="162"/>
      <c r="P43" s="162">
        <f t="shared" si="2"/>
        <v>0</v>
      </c>
      <c r="Q43" s="162"/>
      <c r="R43" s="19">
        <f t="shared" si="3"/>
        <v>0</v>
      </c>
      <c r="S43" s="162">
        <f t="shared" si="4"/>
        <v>0</v>
      </c>
      <c r="T43" s="20">
        <v>2</v>
      </c>
      <c r="U43" s="20"/>
      <c r="V43" s="15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8">
        <v>300038</v>
      </c>
      <c r="B44" s="151" t="s">
        <v>60</v>
      </c>
      <c r="C44" s="219" t="s">
        <v>64</v>
      </c>
      <c r="D44" s="219" t="s">
        <v>65</v>
      </c>
      <c r="E44" s="164" t="s">
        <v>35</v>
      </c>
      <c r="F44" s="13"/>
      <c r="G44" s="110"/>
      <c r="H44" s="110"/>
      <c r="I44" s="110"/>
      <c r="J44" s="110"/>
      <c r="K44" s="162">
        <f t="shared" si="0"/>
        <v>0</v>
      </c>
      <c r="L44" s="162">
        <f t="shared" si="1"/>
        <v>0</v>
      </c>
      <c r="M44" s="162">
        <v>301.14</v>
      </c>
      <c r="N44" s="162">
        <f>+M44*1000/(35.8*10*13*60)*T44</f>
        <v>5.3921357971637294</v>
      </c>
      <c r="O44" s="162"/>
      <c r="P44" s="162">
        <f t="shared" si="2"/>
        <v>0</v>
      </c>
      <c r="Q44" s="162"/>
      <c r="R44" s="19">
        <f t="shared" si="3"/>
        <v>0</v>
      </c>
      <c r="S44" s="162">
        <f t="shared" si="4"/>
        <v>0</v>
      </c>
      <c r="T44" s="20">
        <v>5</v>
      </c>
      <c r="U44" s="20"/>
      <c r="V44" s="15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8">
        <v>300039</v>
      </c>
      <c r="B45" s="151" t="s">
        <v>60</v>
      </c>
      <c r="C45" s="219" t="s">
        <v>64</v>
      </c>
      <c r="D45" s="219" t="s">
        <v>65</v>
      </c>
      <c r="E45" s="164" t="s">
        <v>66</v>
      </c>
      <c r="F45" s="13"/>
      <c r="G45" s="110"/>
      <c r="H45" s="110"/>
      <c r="I45" s="110"/>
      <c r="J45" s="110"/>
      <c r="K45" s="162">
        <f t="shared" si="0"/>
        <v>0</v>
      </c>
      <c r="L45" s="162">
        <f t="shared" si="1"/>
        <v>0</v>
      </c>
      <c r="M45" s="162">
        <v>310.39999999999998</v>
      </c>
      <c r="N45" s="162">
        <f>+M45*1000/(35.8*10*13*60)*T45</f>
        <v>5.557942988110586</v>
      </c>
      <c r="O45" s="162"/>
      <c r="P45" s="162">
        <f t="shared" si="2"/>
        <v>0</v>
      </c>
      <c r="Q45" s="162"/>
      <c r="R45" s="19">
        <f t="shared" si="3"/>
        <v>0</v>
      </c>
      <c r="S45" s="162">
        <f t="shared" si="4"/>
        <v>0</v>
      </c>
      <c r="T45" s="20">
        <v>5</v>
      </c>
      <c r="U45" s="20"/>
      <c r="V45" s="15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8">
        <v>300416</v>
      </c>
      <c r="B46" s="151" t="s">
        <v>67</v>
      </c>
      <c r="C46" s="230" t="s">
        <v>68</v>
      </c>
      <c r="D46" s="231"/>
      <c r="E46" s="164" t="s">
        <v>69</v>
      </c>
      <c r="F46" s="163"/>
      <c r="G46" s="14"/>
      <c r="H46" s="14"/>
      <c r="I46" s="14"/>
      <c r="J46" s="14"/>
      <c r="K46" s="162">
        <f t="shared" si="0"/>
        <v>0</v>
      </c>
      <c r="L46" s="162">
        <f t="shared" si="1"/>
        <v>0</v>
      </c>
      <c r="M46" s="162">
        <v>385.6</v>
      </c>
      <c r="N46" s="162">
        <f>+M46*1000/(25.4*20*15*60)*T46</f>
        <v>2.5301837270341205</v>
      </c>
      <c r="O46" s="162"/>
      <c r="P46" s="162">
        <f t="shared" si="2"/>
        <v>0</v>
      </c>
      <c r="Q46" s="162"/>
      <c r="R46" s="19">
        <f t="shared" si="3"/>
        <v>0</v>
      </c>
      <c r="S46" s="162">
        <f t="shared" si="4"/>
        <v>0</v>
      </c>
      <c r="T46" s="20">
        <v>3</v>
      </c>
      <c r="U46" s="20"/>
      <c r="V46" s="15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8">
        <v>300417</v>
      </c>
      <c r="B47" s="151" t="s">
        <v>67</v>
      </c>
      <c r="C47" s="230" t="s">
        <v>68</v>
      </c>
      <c r="D47" s="231"/>
      <c r="E47" s="164" t="s">
        <v>70</v>
      </c>
      <c r="F47" s="163"/>
      <c r="G47" s="14"/>
      <c r="H47" s="14"/>
      <c r="I47" s="14"/>
      <c r="J47" s="14"/>
      <c r="K47" s="162">
        <f t="shared" si="0"/>
        <v>0</v>
      </c>
      <c r="L47" s="162">
        <f t="shared" si="1"/>
        <v>0</v>
      </c>
      <c r="M47" s="162">
        <v>385.6</v>
      </c>
      <c r="N47" s="162">
        <f>+M47*1000/(25.4*20*15*60)*T47</f>
        <v>2.5301837270341205</v>
      </c>
      <c r="O47" s="162"/>
      <c r="P47" s="162">
        <f t="shared" si="2"/>
        <v>0</v>
      </c>
      <c r="Q47" s="162"/>
      <c r="R47" s="19">
        <f t="shared" si="3"/>
        <v>0</v>
      </c>
      <c r="S47" s="162">
        <f t="shared" si="4"/>
        <v>0</v>
      </c>
      <c r="T47" s="20">
        <v>3</v>
      </c>
      <c r="U47" s="20"/>
      <c r="V47" s="15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8">
        <v>300418</v>
      </c>
      <c r="B48" s="151" t="s">
        <v>67</v>
      </c>
      <c r="C48" s="230" t="s">
        <v>68</v>
      </c>
      <c r="D48" s="231"/>
      <c r="E48" s="164" t="s">
        <v>71</v>
      </c>
      <c r="F48" s="163"/>
      <c r="G48" s="14"/>
      <c r="H48" s="14"/>
      <c r="I48" s="14"/>
      <c r="J48" s="14"/>
      <c r="K48" s="162">
        <f t="shared" si="0"/>
        <v>0</v>
      </c>
      <c r="L48" s="162">
        <f t="shared" si="1"/>
        <v>0</v>
      </c>
      <c r="M48" s="162">
        <v>385.6</v>
      </c>
      <c r="N48" s="162">
        <f>+M48*1000/(25.4*20*15*60)*T48</f>
        <v>2.5301837270341205</v>
      </c>
      <c r="O48" s="162"/>
      <c r="P48" s="162">
        <f t="shared" si="2"/>
        <v>0</v>
      </c>
      <c r="Q48" s="162"/>
      <c r="R48" s="19">
        <f t="shared" si="3"/>
        <v>0</v>
      </c>
      <c r="S48" s="162">
        <f t="shared" si="4"/>
        <v>0</v>
      </c>
      <c r="T48" s="20">
        <v>3</v>
      </c>
      <c r="U48" s="20"/>
      <c r="V48" s="15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8">
        <v>300419</v>
      </c>
      <c r="B49" s="151" t="s">
        <v>67</v>
      </c>
      <c r="C49" s="230" t="s">
        <v>68</v>
      </c>
      <c r="D49" s="231"/>
      <c r="E49" s="164" t="s">
        <v>72</v>
      </c>
      <c r="F49" s="163"/>
      <c r="G49" s="14"/>
      <c r="H49" s="14"/>
      <c r="I49" s="14"/>
      <c r="J49" s="14"/>
      <c r="K49" s="162">
        <f t="shared" si="0"/>
        <v>0</v>
      </c>
      <c r="L49" s="162">
        <f t="shared" si="1"/>
        <v>0</v>
      </c>
      <c r="M49" s="162">
        <v>385.6</v>
      </c>
      <c r="N49" s="162">
        <f>+M49*1000/(25.4*20*15*60)*T49</f>
        <v>2.5301837270341205</v>
      </c>
      <c r="O49" s="162"/>
      <c r="P49" s="162">
        <f t="shared" si="2"/>
        <v>0</v>
      </c>
      <c r="Q49" s="162"/>
      <c r="R49" s="19">
        <f t="shared" si="3"/>
        <v>0</v>
      </c>
      <c r="S49" s="162">
        <f t="shared" si="4"/>
        <v>0</v>
      </c>
      <c r="T49" s="20">
        <v>3</v>
      </c>
      <c r="U49" s="20"/>
      <c r="V49" s="15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8">
        <v>300260</v>
      </c>
      <c r="B50" s="151" t="s">
        <v>67</v>
      </c>
      <c r="C50" s="219" t="s">
        <v>73</v>
      </c>
      <c r="D50" s="219"/>
      <c r="E50" s="164" t="s">
        <v>74</v>
      </c>
      <c r="F50" s="13"/>
      <c r="G50" s="110"/>
      <c r="H50" s="110"/>
      <c r="I50" s="110"/>
      <c r="J50" s="110"/>
      <c r="K50" s="162">
        <f t="shared" si="0"/>
        <v>0</v>
      </c>
      <c r="L50" s="162">
        <f t="shared" si="1"/>
        <v>0</v>
      </c>
      <c r="M50" s="162">
        <v>434.33</v>
      </c>
      <c r="N50" s="162">
        <f>+M50*1000/(42.7*10*15*60)*T50</f>
        <v>2.2603695029924538</v>
      </c>
      <c r="O50" s="162"/>
      <c r="P50" s="162">
        <f t="shared" si="2"/>
        <v>0</v>
      </c>
      <c r="Q50" s="162"/>
      <c r="R50" s="19">
        <f t="shared" si="3"/>
        <v>0</v>
      </c>
      <c r="S50" s="162">
        <f t="shared" si="4"/>
        <v>0</v>
      </c>
      <c r="T50" s="20">
        <v>2</v>
      </c>
      <c r="U50" s="20"/>
      <c r="V50" s="15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8">
        <v>300261</v>
      </c>
      <c r="B51" s="151" t="s">
        <v>67</v>
      </c>
      <c r="C51" s="219" t="s">
        <v>73</v>
      </c>
      <c r="D51" s="219"/>
      <c r="E51" s="164" t="s">
        <v>41</v>
      </c>
      <c r="F51" s="13"/>
      <c r="G51" s="110"/>
      <c r="H51" s="110"/>
      <c r="I51" s="110"/>
      <c r="J51" s="110"/>
      <c r="K51" s="162">
        <f t="shared" si="0"/>
        <v>0</v>
      </c>
      <c r="L51" s="162">
        <f t="shared" si="1"/>
        <v>0</v>
      </c>
      <c r="M51" s="162">
        <v>434.33</v>
      </c>
      <c r="N51" s="162">
        <f>+M51*1000/(42.7*10*15*60)*T51</f>
        <v>2.2603695029924538</v>
      </c>
      <c r="O51" s="162"/>
      <c r="P51" s="162">
        <f t="shared" si="2"/>
        <v>0</v>
      </c>
      <c r="Q51" s="162"/>
      <c r="R51" s="19">
        <f t="shared" si="3"/>
        <v>0</v>
      </c>
      <c r="S51" s="162">
        <f t="shared" si="4"/>
        <v>0</v>
      </c>
      <c r="T51" s="20">
        <v>2</v>
      </c>
      <c r="U51" s="20"/>
      <c r="V51" s="15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8">
        <v>300262</v>
      </c>
      <c r="B52" s="151" t="s">
        <v>67</v>
      </c>
      <c r="C52" s="219" t="s">
        <v>73</v>
      </c>
      <c r="D52" s="219"/>
      <c r="E52" s="164" t="s">
        <v>39</v>
      </c>
      <c r="F52" s="13"/>
      <c r="G52" s="110"/>
      <c r="H52" s="110"/>
      <c r="I52" s="110"/>
      <c r="J52" s="110"/>
      <c r="K52" s="162">
        <f t="shared" si="0"/>
        <v>0</v>
      </c>
      <c r="L52" s="162">
        <f t="shared" si="1"/>
        <v>0</v>
      </c>
      <c r="M52" s="162">
        <v>434.33</v>
      </c>
      <c r="N52" s="162">
        <f>+M52*1000/(42.7*10*15*60)*T52</f>
        <v>2.2603695029924538</v>
      </c>
      <c r="O52" s="162"/>
      <c r="P52" s="162">
        <f t="shared" si="2"/>
        <v>0</v>
      </c>
      <c r="Q52" s="162"/>
      <c r="R52" s="19">
        <f t="shared" si="3"/>
        <v>0</v>
      </c>
      <c r="S52" s="162">
        <f t="shared" si="4"/>
        <v>0</v>
      </c>
      <c r="T52" s="20">
        <v>2</v>
      </c>
      <c r="U52" s="20"/>
      <c r="V52" s="15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8">
        <v>300263</v>
      </c>
      <c r="B53" s="151" t="s">
        <v>67</v>
      </c>
      <c r="C53" s="219" t="s">
        <v>73</v>
      </c>
      <c r="D53" s="219"/>
      <c r="E53" s="164" t="s">
        <v>54</v>
      </c>
      <c r="F53" s="13"/>
      <c r="G53" s="110"/>
      <c r="H53" s="110"/>
      <c r="I53" s="110"/>
      <c r="J53" s="110"/>
      <c r="K53" s="162">
        <f t="shared" si="0"/>
        <v>0</v>
      </c>
      <c r="L53" s="162">
        <f t="shared" si="1"/>
        <v>0</v>
      </c>
      <c r="M53" s="162">
        <v>434.33</v>
      </c>
      <c r="N53" s="162">
        <f>+M53*1000/(42.7*10*15*60)*T53</f>
        <v>2.2603695029924538</v>
      </c>
      <c r="O53" s="162"/>
      <c r="P53" s="162">
        <f t="shared" si="2"/>
        <v>0</v>
      </c>
      <c r="Q53" s="162"/>
      <c r="R53" s="19">
        <f t="shared" si="3"/>
        <v>0</v>
      </c>
      <c r="S53" s="162">
        <f t="shared" si="4"/>
        <v>0</v>
      </c>
      <c r="T53" s="20">
        <v>2</v>
      </c>
      <c r="U53" s="20"/>
      <c r="V53" s="15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8">
        <v>300051</v>
      </c>
      <c r="B54" s="151" t="s">
        <v>67</v>
      </c>
      <c r="C54" s="219" t="s">
        <v>75</v>
      </c>
      <c r="D54" s="219" t="s">
        <v>76</v>
      </c>
      <c r="E54" s="164" t="s">
        <v>40</v>
      </c>
      <c r="F54" s="13"/>
      <c r="G54" s="110"/>
      <c r="H54" s="110"/>
      <c r="I54" s="110"/>
      <c r="J54" s="110"/>
      <c r="K54" s="162">
        <f t="shared" si="0"/>
        <v>0</v>
      </c>
      <c r="L54" s="162">
        <f t="shared" si="1"/>
        <v>0</v>
      </c>
      <c r="M54" s="162">
        <v>545.9</v>
      </c>
      <c r="N54" s="162">
        <f>+M54*1000/(41.5*10*16*60)*T54</f>
        <v>2.7404618473895583</v>
      </c>
      <c r="O54" s="162"/>
      <c r="P54" s="162">
        <f t="shared" si="2"/>
        <v>0</v>
      </c>
      <c r="Q54" s="162"/>
      <c r="R54" s="19">
        <f t="shared" si="3"/>
        <v>0</v>
      </c>
      <c r="S54" s="162">
        <f t="shared" si="4"/>
        <v>0</v>
      </c>
      <c r="T54" s="22">
        <v>2</v>
      </c>
      <c r="U54" s="20"/>
      <c r="V54" s="15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8">
        <v>300052</v>
      </c>
      <c r="B55" s="151" t="s">
        <v>67</v>
      </c>
      <c r="C55" s="219" t="s">
        <v>75</v>
      </c>
      <c r="D55" s="219" t="s">
        <v>76</v>
      </c>
      <c r="E55" s="164" t="s">
        <v>39</v>
      </c>
      <c r="F55" s="13"/>
      <c r="G55" s="110"/>
      <c r="H55" s="110"/>
      <c r="I55" s="110"/>
      <c r="J55" s="110"/>
      <c r="K55" s="162">
        <f t="shared" si="0"/>
        <v>0</v>
      </c>
      <c r="L55" s="162">
        <f t="shared" si="1"/>
        <v>0</v>
      </c>
      <c r="M55" s="162">
        <v>545.9</v>
      </c>
      <c r="N55" s="162">
        <f>+M55*1000/(41.5*10*16*60)*T55</f>
        <v>2.7404618473895583</v>
      </c>
      <c r="O55" s="162"/>
      <c r="P55" s="162">
        <f t="shared" si="2"/>
        <v>0</v>
      </c>
      <c r="Q55" s="162"/>
      <c r="R55" s="19">
        <f t="shared" si="3"/>
        <v>0</v>
      </c>
      <c r="S55" s="162">
        <f t="shared" si="4"/>
        <v>0</v>
      </c>
      <c r="T55" s="20">
        <v>2</v>
      </c>
      <c r="U55" s="20"/>
      <c r="V55" s="15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8">
        <v>300054</v>
      </c>
      <c r="B56" s="151" t="s">
        <v>67</v>
      </c>
      <c r="C56" s="219" t="s">
        <v>75</v>
      </c>
      <c r="D56" s="219" t="s">
        <v>76</v>
      </c>
      <c r="E56" s="164" t="s">
        <v>38</v>
      </c>
      <c r="F56" s="13"/>
      <c r="G56" s="110"/>
      <c r="H56" s="110"/>
      <c r="I56" s="110"/>
      <c r="J56" s="110"/>
      <c r="K56" s="162">
        <f t="shared" si="0"/>
        <v>0</v>
      </c>
      <c r="L56" s="162">
        <f t="shared" si="1"/>
        <v>0</v>
      </c>
      <c r="M56" s="162">
        <v>545.9</v>
      </c>
      <c r="N56" s="162">
        <f>+M56*1000/(41.5*10*16*60)*T56</f>
        <v>2.7404618473895583</v>
      </c>
      <c r="O56" s="162"/>
      <c r="P56" s="162">
        <f t="shared" si="2"/>
        <v>0</v>
      </c>
      <c r="Q56" s="162"/>
      <c r="R56" s="19">
        <f t="shared" si="3"/>
        <v>0</v>
      </c>
      <c r="S56" s="162">
        <f t="shared" si="4"/>
        <v>0</v>
      </c>
      <c r="T56" s="20">
        <v>2</v>
      </c>
      <c r="U56" s="20"/>
      <c r="V56" s="15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8">
        <v>300050</v>
      </c>
      <c r="B58" s="151" t="s">
        <v>67</v>
      </c>
      <c r="C58" s="219" t="s">
        <v>77</v>
      </c>
      <c r="D58" s="219" t="s">
        <v>78</v>
      </c>
      <c r="E58" s="164" t="s">
        <v>79</v>
      </c>
      <c r="F58" s="13"/>
      <c r="G58" s="110"/>
      <c r="H58" s="110"/>
      <c r="I58" s="110"/>
      <c r="J58" s="110"/>
      <c r="K58" s="162">
        <f t="shared" si="0"/>
        <v>0</v>
      </c>
      <c r="L58" s="162">
        <f t="shared" si="1"/>
        <v>0</v>
      </c>
      <c r="M58" s="162">
        <v>427.5</v>
      </c>
      <c r="N58" s="162">
        <f>+M58*1000/(45*10*14*60)*T58</f>
        <v>5.6547619047619051</v>
      </c>
      <c r="O58" s="162"/>
      <c r="P58" s="162">
        <f t="shared" si="2"/>
        <v>0</v>
      </c>
      <c r="Q58" s="162"/>
      <c r="R58" s="19">
        <f t="shared" si="3"/>
        <v>0</v>
      </c>
      <c r="S58" s="162">
        <f t="shared" si="4"/>
        <v>0</v>
      </c>
      <c r="T58" s="20">
        <v>5</v>
      </c>
      <c r="U58" s="20"/>
      <c r="V58" s="15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8">
        <v>300045</v>
      </c>
      <c r="B59" s="151" t="s">
        <v>67</v>
      </c>
      <c r="C59" s="219" t="s">
        <v>77</v>
      </c>
      <c r="D59" s="219" t="s">
        <v>78</v>
      </c>
      <c r="E59" s="164" t="s">
        <v>35</v>
      </c>
      <c r="F59" s="13"/>
      <c r="G59" s="110"/>
      <c r="H59" s="110"/>
      <c r="I59" s="110"/>
      <c r="J59" s="110"/>
      <c r="K59" s="162">
        <f t="shared" si="0"/>
        <v>0</v>
      </c>
      <c r="L59" s="162">
        <f t="shared" si="1"/>
        <v>0</v>
      </c>
      <c r="M59" s="15">
        <v>406.6</v>
      </c>
      <c r="N59" s="162">
        <f>+M59*1000/(45*10*13*60)*T59</f>
        <v>5.7920227920227916</v>
      </c>
      <c r="O59" s="162"/>
      <c r="P59" s="162">
        <f t="shared" si="2"/>
        <v>0</v>
      </c>
      <c r="Q59" s="162"/>
      <c r="R59" s="19">
        <f t="shared" si="3"/>
        <v>0</v>
      </c>
      <c r="S59" s="162">
        <f t="shared" si="4"/>
        <v>0</v>
      </c>
      <c r="T59" s="20">
        <v>5</v>
      </c>
      <c r="U59" s="20"/>
      <c r="V59" s="15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8">
        <v>300422</v>
      </c>
      <c r="B60" s="151" t="s">
        <v>67</v>
      </c>
      <c r="C60" s="230" t="s">
        <v>293</v>
      </c>
      <c r="D60" s="231"/>
      <c r="E60" s="164" t="s">
        <v>54</v>
      </c>
      <c r="F60" s="13"/>
      <c r="G60" s="110"/>
      <c r="H60" s="110"/>
      <c r="I60" s="110"/>
      <c r="J60" s="110"/>
      <c r="K60" s="162">
        <f t="shared" si="0"/>
        <v>0</v>
      </c>
      <c r="L60" s="162">
        <f t="shared" si="1"/>
        <v>0</v>
      </c>
      <c r="M60" s="15">
        <v>429.8</v>
      </c>
      <c r="N60" s="162">
        <f>+M60*1000/(45*10*13*60)*T60</f>
        <v>3.6735042735042738</v>
      </c>
      <c r="O60" s="162"/>
      <c r="P60" s="162">
        <f t="shared" si="2"/>
        <v>0</v>
      </c>
      <c r="Q60" s="162"/>
      <c r="R60" s="19">
        <f t="shared" si="3"/>
        <v>0</v>
      </c>
      <c r="S60" s="162">
        <f t="shared" si="4"/>
        <v>0</v>
      </c>
      <c r="T60" s="20">
        <v>3</v>
      </c>
      <c r="U60" s="20"/>
      <c r="V60" s="15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8">
        <v>300421</v>
      </c>
      <c r="B61" s="151" t="s">
        <v>67</v>
      </c>
      <c r="C61" s="230" t="s">
        <v>293</v>
      </c>
      <c r="D61" s="231"/>
      <c r="E61" s="164" t="s">
        <v>80</v>
      </c>
      <c r="F61" s="13"/>
      <c r="G61" s="110"/>
      <c r="H61" s="110"/>
      <c r="I61" s="110"/>
      <c r="J61" s="110"/>
      <c r="K61" s="162">
        <f t="shared" si="0"/>
        <v>0</v>
      </c>
      <c r="L61" s="162">
        <f t="shared" si="1"/>
        <v>0</v>
      </c>
      <c r="M61" s="15">
        <v>429.8</v>
      </c>
      <c r="N61" s="162">
        <f>+M61*1000/(45*10*13*60)*T61</f>
        <v>3.6735042735042738</v>
      </c>
      <c r="O61" s="162"/>
      <c r="P61" s="162">
        <f t="shared" si="2"/>
        <v>0</v>
      </c>
      <c r="Q61" s="162"/>
      <c r="R61" s="19">
        <f t="shared" si="3"/>
        <v>0</v>
      </c>
      <c r="S61" s="162">
        <f t="shared" si="4"/>
        <v>0</v>
      </c>
      <c r="T61" s="20">
        <v>3</v>
      </c>
      <c r="U61" s="20"/>
      <c r="V61" s="15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8">
        <v>300149</v>
      </c>
      <c r="B62" s="151" t="s">
        <v>67</v>
      </c>
      <c r="C62" s="219" t="s">
        <v>81</v>
      </c>
      <c r="D62" s="219" t="s">
        <v>82</v>
      </c>
      <c r="E62" s="164" t="s">
        <v>80</v>
      </c>
      <c r="F62" s="13"/>
      <c r="G62" s="110"/>
      <c r="H62" s="110"/>
      <c r="I62" s="110"/>
      <c r="J62" s="110"/>
      <c r="K62" s="162">
        <f t="shared" si="0"/>
        <v>0</v>
      </c>
      <c r="L62" s="162">
        <f t="shared" si="1"/>
        <v>0</v>
      </c>
      <c r="M62" s="162">
        <v>589.1</v>
      </c>
      <c r="N62" s="162">
        <f>+M62*1000/(67.1*10*13*60)*T62</f>
        <v>3.3767052619511633</v>
      </c>
      <c r="O62" s="162"/>
      <c r="P62" s="162">
        <f t="shared" si="2"/>
        <v>0</v>
      </c>
      <c r="Q62" s="162"/>
      <c r="R62" s="19">
        <f t="shared" si="3"/>
        <v>0</v>
      </c>
      <c r="S62" s="162">
        <f t="shared" si="4"/>
        <v>0</v>
      </c>
      <c r="T62" s="20">
        <v>3</v>
      </c>
      <c r="U62" s="20"/>
      <c r="V62" s="15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8">
        <v>300150</v>
      </c>
      <c r="B63" s="151" t="s">
        <v>67</v>
      </c>
      <c r="C63" s="219" t="s">
        <v>81</v>
      </c>
      <c r="D63" s="219" t="s">
        <v>82</v>
      </c>
      <c r="E63" s="164" t="s">
        <v>54</v>
      </c>
      <c r="F63" s="13"/>
      <c r="G63" s="110"/>
      <c r="H63" s="110"/>
      <c r="I63" s="110"/>
      <c r="J63" s="110"/>
      <c r="K63" s="162">
        <f t="shared" si="0"/>
        <v>0</v>
      </c>
      <c r="L63" s="162">
        <f t="shared" si="1"/>
        <v>0</v>
      </c>
      <c r="M63" s="162">
        <v>589.1</v>
      </c>
      <c r="N63" s="162">
        <f>+M63*1000/(67.1*10*13*60)*T63</f>
        <v>3.3767052619511633</v>
      </c>
      <c r="O63" s="162"/>
      <c r="P63" s="162">
        <f t="shared" si="2"/>
        <v>0</v>
      </c>
      <c r="Q63" s="162"/>
      <c r="R63" s="19">
        <f t="shared" si="3"/>
        <v>0</v>
      </c>
      <c r="S63" s="162">
        <f t="shared" si="4"/>
        <v>0</v>
      </c>
      <c r="T63" s="20">
        <v>3</v>
      </c>
      <c r="U63" s="20"/>
      <c r="V63" s="15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8">
        <v>300330</v>
      </c>
      <c r="B64" s="151" t="s">
        <v>67</v>
      </c>
      <c r="C64" s="230" t="s">
        <v>83</v>
      </c>
      <c r="D64" s="231"/>
      <c r="E64" s="164" t="s">
        <v>84</v>
      </c>
      <c r="F64" s="13"/>
      <c r="G64" s="110"/>
      <c r="H64" s="110"/>
      <c r="I64" s="110"/>
      <c r="J64" s="110"/>
      <c r="K64" s="162">
        <f t="shared" si="0"/>
        <v>0</v>
      </c>
      <c r="L64" s="162">
        <f t="shared" si="1"/>
        <v>0</v>
      </c>
      <c r="M64" s="162">
        <v>416.3</v>
      </c>
      <c r="N64" s="162">
        <f t="shared" ref="N64:N70" si="6">+M64*1000/(45*10*18*60)*T64</f>
        <v>1.7131687242798355</v>
      </c>
      <c r="O64" s="162"/>
      <c r="P64" s="162">
        <f t="shared" si="2"/>
        <v>0</v>
      </c>
      <c r="Q64" s="162"/>
      <c r="R64" s="19">
        <f t="shared" si="3"/>
        <v>0</v>
      </c>
      <c r="S64" s="162">
        <f t="shared" si="4"/>
        <v>0</v>
      </c>
      <c r="T64" s="20">
        <v>2</v>
      </c>
      <c r="U64" s="20"/>
      <c r="V64" s="15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8">
        <v>300331</v>
      </c>
      <c r="B65" s="151" t="s">
        <v>67</v>
      </c>
      <c r="C65" s="230" t="s">
        <v>83</v>
      </c>
      <c r="D65" s="231"/>
      <c r="E65" s="164" t="s">
        <v>49</v>
      </c>
      <c r="F65" s="13"/>
      <c r="G65" s="110"/>
      <c r="H65" s="110"/>
      <c r="I65" s="110"/>
      <c r="J65" s="110"/>
      <c r="K65" s="162">
        <f t="shared" si="0"/>
        <v>0</v>
      </c>
      <c r="L65" s="162">
        <f t="shared" si="1"/>
        <v>0</v>
      </c>
      <c r="M65" s="162">
        <v>416.3</v>
      </c>
      <c r="N65" s="162">
        <f t="shared" si="6"/>
        <v>1.7131687242798355</v>
      </c>
      <c r="O65" s="162"/>
      <c r="P65" s="162">
        <f t="shared" si="2"/>
        <v>0</v>
      </c>
      <c r="Q65" s="162"/>
      <c r="R65" s="19">
        <f t="shared" si="3"/>
        <v>0</v>
      </c>
      <c r="S65" s="162">
        <f t="shared" si="4"/>
        <v>0</v>
      </c>
      <c r="T65" s="20">
        <v>2</v>
      </c>
      <c r="U65" s="20"/>
      <c r="V65" s="15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8">
        <v>300332</v>
      </c>
      <c r="B66" s="151" t="s">
        <v>67</v>
      </c>
      <c r="C66" s="230" t="s">
        <v>83</v>
      </c>
      <c r="D66" s="231"/>
      <c r="E66" s="164" t="s">
        <v>85</v>
      </c>
      <c r="F66" s="13"/>
      <c r="G66" s="110"/>
      <c r="H66" s="110"/>
      <c r="I66" s="110"/>
      <c r="J66" s="110"/>
      <c r="K66" s="162">
        <f t="shared" si="0"/>
        <v>0</v>
      </c>
      <c r="L66" s="162">
        <f t="shared" si="1"/>
        <v>0</v>
      </c>
      <c r="M66" s="162">
        <v>416.3</v>
      </c>
      <c r="N66" s="162">
        <f t="shared" si="6"/>
        <v>1.7131687242798355</v>
      </c>
      <c r="O66" s="162"/>
      <c r="P66" s="162">
        <f t="shared" si="2"/>
        <v>0</v>
      </c>
      <c r="Q66" s="162"/>
      <c r="R66" s="19">
        <f t="shared" si="3"/>
        <v>0</v>
      </c>
      <c r="S66" s="162">
        <f t="shared" si="4"/>
        <v>0</v>
      </c>
      <c r="T66" s="20">
        <v>2</v>
      </c>
      <c r="U66" s="20"/>
      <c r="V66" s="15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8">
        <v>300333</v>
      </c>
      <c r="B67" s="151" t="s">
        <v>67</v>
      </c>
      <c r="C67" s="230" t="s">
        <v>86</v>
      </c>
      <c r="D67" s="231"/>
      <c r="E67" s="164" t="s">
        <v>84</v>
      </c>
      <c r="F67" s="13"/>
      <c r="G67" s="110"/>
      <c r="H67" s="110"/>
      <c r="I67" s="110"/>
      <c r="J67" s="110"/>
      <c r="K67" s="162">
        <f t="shared" si="0"/>
        <v>0</v>
      </c>
      <c r="L67" s="162">
        <f t="shared" si="1"/>
        <v>0</v>
      </c>
      <c r="M67" s="162">
        <v>416.3</v>
      </c>
      <c r="N67" s="162">
        <f t="shared" si="6"/>
        <v>1.7131687242798355</v>
      </c>
      <c r="O67" s="162"/>
      <c r="P67" s="162">
        <f t="shared" si="2"/>
        <v>0</v>
      </c>
      <c r="Q67" s="162"/>
      <c r="R67" s="19">
        <f t="shared" si="3"/>
        <v>0</v>
      </c>
      <c r="S67" s="162">
        <f t="shared" si="4"/>
        <v>0</v>
      </c>
      <c r="T67" s="20">
        <v>2</v>
      </c>
      <c r="U67" s="20"/>
      <c r="V67" s="15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8">
        <v>300334</v>
      </c>
      <c r="B68" s="151" t="s">
        <v>67</v>
      </c>
      <c r="C68" s="230" t="s">
        <v>86</v>
      </c>
      <c r="D68" s="231"/>
      <c r="E68" s="164" t="s">
        <v>85</v>
      </c>
      <c r="F68" s="13"/>
      <c r="G68" s="110"/>
      <c r="H68" s="110"/>
      <c r="I68" s="110"/>
      <c r="J68" s="110"/>
      <c r="K68" s="162">
        <f t="shared" si="0"/>
        <v>0</v>
      </c>
      <c r="L68" s="162">
        <f t="shared" si="1"/>
        <v>0</v>
      </c>
      <c r="M68" s="162">
        <v>416.3</v>
      </c>
      <c r="N68" s="162">
        <f t="shared" si="6"/>
        <v>1.7131687242798355</v>
      </c>
      <c r="O68" s="162"/>
      <c r="P68" s="162">
        <f t="shared" si="2"/>
        <v>0</v>
      </c>
      <c r="Q68" s="162"/>
      <c r="R68" s="19">
        <f t="shared" si="3"/>
        <v>0</v>
      </c>
      <c r="S68" s="162">
        <f t="shared" si="4"/>
        <v>0</v>
      </c>
      <c r="T68" s="20">
        <v>2</v>
      </c>
      <c r="U68" s="20"/>
      <c r="V68" s="15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8">
        <v>300335</v>
      </c>
      <c r="B69" s="151" t="s">
        <v>67</v>
      </c>
      <c r="C69" s="230" t="s">
        <v>86</v>
      </c>
      <c r="D69" s="231"/>
      <c r="E69" s="164" t="s">
        <v>49</v>
      </c>
      <c r="F69" s="13"/>
      <c r="G69" s="110"/>
      <c r="H69" s="110"/>
      <c r="I69" s="110"/>
      <c r="J69" s="110"/>
      <c r="K69" s="162">
        <f t="shared" si="0"/>
        <v>0</v>
      </c>
      <c r="L69" s="162">
        <f t="shared" si="1"/>
        <v>0</v>
      </c>
      <c r="M69" s="162">
        <v>416.3</v>
      </c>
      <c r="N69" s="162">
        <f t="shared" si="6"/>
        <v>1.7131687242798355</v>
      </c>
      <c r="O69" s="162"/>
      <c r="P69" s="162">
        <f t="shared" si="2"/>
        <v>0</v>
      </c>
      <c r="Q69" s="162"/>
      <c r="R69" s="19">
        <f t="shared" si="3"/>
        <v>0</v>
      </c>
      <c r="S69" s="162">
        <f t="shared" si="4"/>
        <v>0</v>
      </c>
      <c r="T69" s="20">
        <v>2</v>
      </c>
      <c r="U69" s="20"/>
      <c r="V69" s="15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8">
        <v>300291</v>
      </c>
      <c r="B70" s="151" t="s">
        <v>87</v>
      </c>
      <c r="C70" s="219" t="s">
        <v>88</v>
      </c>
      <c r="D70" s="219" t="s">
        <v>89</v>
      </c>
      <c r="E70" s="164" t="s">
        <v>42</v>
      </c>
      <c r="F70" s="13"/>
      <c r="G70" s="110"/>
      <c r="H70" s="110"/>
      <c r="I70" s="110"/>
      <c r="J70" s="110"/>
      <c r="K70" s="162">
        <f t="shared" si="0"/>
        <v>0</v>
      </c>
      <c r="L70" s="162">
        <f t="shared" si="1"/>
        <v>0</v>
      </c>
      <c r="M70" s="162">
        <v>517.79999999999995</v>
      </c>
      <c r="N70" s="162">
        <f t="shared" si="6"/>
        <v>4.261728395061728</v>
      </c>
      <c r="O70" s="162"/>
      <c r="P70" s="162">
        <f t="shared" si="2"/>
        <v>0</v>
      </c>
      <c r="Q70" s="162"/>
      <c r="R70" s="19">
        <f t="shared" si="3"/>
        <v>0</v>
      </c>
      <c r="S70" s="162">
        <f t="shared" si="4"/>
        <v>0</v>
      </c>
      <c r="T70" s="20">
        <v>4</v>
      </c>
      <c r="U70" s="20"/>
      <c r="V70" s="15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8">
        <v>300292</v>
      </c>
      <c r="B71" s="151" t="s">
        <v>87</v>
      </c>
      <c r="C71" s="219" t="s">
        <v>88</v>
      </c>
      <c r="D71" s="219" t="s">
        <v>89</v>
      </c>
      <c r="E71" s="164" t="s">
        <v>41</v>
      </c>
      <c r="F71" s="13"/>
      <c r="G71" s="110"/>
      <c r="H71" s="110"/>
      <c r="I71" s="110"/>
      <c r="J71" s="110"/>
      <c r="K71" s="162">
        <f t="shared" si="0"/>
        <v>0</v>
      </c>
      <c r="L71" s="162">
        <f t="shared" si="1"/>
        <v>0</v>
      </c>
      <c r="M71" s="162">
        <v>517.79999999999995</v>
      </c>
      <c r="N71" s="162">
        <f>+M71*1000/(66.8*1*110*60)*T71</f>
        <v>4.6978769733260748</v>
      </c>
      <c r="O71" s="162"/>
      <c r="P71" s="162">
        <f t="shared" si="2"/>
        <v>0</v>
      </c>
      <c r="Q71" s="162"/>
      <c r="R71" s="19">
        <f t="shared" si="3"/>
        <v>0</v>
      </c>
      <c r="S71" s="162">
        <f t="shared" si="4"/>
        <v>0</v>
      </c>
      <c r="T71" s="20">
        <v>4</v>
      </c>
      <c r="U71" s="20"/>
      <c r="V71" s="15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8">
        <v>300293</v>
      </c>
      <c r="B72" s="151" t="s">
        <v>87</v>
      </c>
      <c r="C72" s="219" t="s">
        <v>88</v>
      </c>
      <c r="D72" s="219" t="s">
        <v>89</v>
      </c>
      <c r="E72" s="164" t="s">
        <v>57</v>
      </c>
      <c r="F72" s="13"/>
      <c r="G72" s="110"/>
      <c r="H72" s="110"/>
      <c r="I72" s="110"/>
      <c r="J72" s="110"/>
      <c r="K72" s="162">
        <f t="shared" si="0"/>
        <v>0</v>
      </c>
      <c r="L72" s="162">
        <f t="shared" si="1"/>
        <v>0</v>
      </c>
      <c r="M72" s="162">
        <v>517.9</v>
      </c>
      <c r="N72" s="162">
        <f>+M72*1000/(67.1*1*110*60)*T72</f>
        <v>4.6777762724111467</v>
      </c>
      <c r="O72" s="162"/>
      <c r="P72" s="162">
        <f t="shared" si="2"/>
        <v>0</v>
      </c>
      <c r="Q72" s="162"/>
      <c r="R72" s="19">
        <f t="shared" si="3"/>
        <v>0</v>
      </c>
      <c r="S72" s="162">
        <f t="shared" si="4"/>
        <v>0</v>
      </c>
      <c r="T72" s="20">
        <v>4</v>
      </c>
      <c r="U72" s="20"/>
      <c r="V72" s="15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8">
        <v>300290</v>
      </c>
      <c r="B73" s="151" t="s">
        <v>87</v>
      </c>
      <c r="C73" s="219" t="s">
        <v>88</v>
      </c>
      <c r="D73" s="219" t="s">
        <v>89</v>
      </c>
      <c r="E73" s="164" t="s">
        <v>35</v>
      </c>
      <c r="F73" s="13"/>
      <c r="G73" s="110"/>
      <c r="H73" s="110"/>
      <c r="I73" s="110"/>
      <c r="J73" s="110"/>
      <c r="K73" s="162">
        <f t="shared" si="0"/>
        <v>0</v>
      </c>
      <c r="L73" s="162">
        <f t="shared" si="1"/>
        <v>0</v>
      </c>
      <c r="M73" s="162">
        <v>520</v>
      </c>
      <c r="N73" s="162">
        <f>+M73*1000/(67.5*1*110*60)*T73</f>
        <v>4.6689113355780023</v>
      </c>
      <c r="O73" s="162"/>
      <c r="P73" s="162">
        <f t="shared" si="2"/>
        <v>0</v>
      </c>
      <c r="Q73" s="162"/>
      <c r="R73" s="19">
        <f t="shared" si="3"/>
        <v>0</v>
      </c>
      <c r="S73" s="162">
        <f t="shared" si="4"/>
        <v>0</v>
      </c>
      <c r="T73" s="20">
        <v>4</v>
      </c>
      <c r="U73" s="20"/>
      <c r="V73" s="15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8">
        <v>300058</v>
      </c>
      <c r="B75" s="151" t="s">
        <v>87</v>
      </c>
      <c r="C75" s="219" t="s">
        <v>308</v>
      </c>
      <c r="D75" s="219" t="s">
        <v>89</v>
      </c>
      <c r="E75" s="164" t="s">
        <v>42</v>
      </c>
      <c r="F75" s="13"/>
      <c r="G75" s="110"/>
      <c r="H75" s="110"/>
      <c r="I75" s="110"/>
      <c r="J75" s="110"/>
      <c r="K75" s="162">
        <f t="shared" si="0"/>
        <v>0</v>
      </c>
      <c r="L75" s="162">
        <f t="shared" si="1"/>
        <v>0</v>
      </c>
      <c r="M75" s="162">
        <v>419.2</v>
      </c>
      <c r="N75" s="162">
        <f>+M75*1000/(51.5*1*110*60)*T75</f>
        <v>4.9332156516622536</v>
      </c>
      <c r="O75" s="162"/>
      <c r="P75" s="162">
        <f t="shared" si="2"/>
        <v>0</v>
      </c>
      <c r="Q75" s="162"/>
      <c r="R75" s="19">
        <f t="shared" si="3"/>
        <v>0</v>
      </c>
      <c r="S75" s="162">
        <f t="shared" si="4"/>
        <v>0</v>
      </c>
      <c r="T75" s="20">
        <v>4</v>
      </c>
      <c r="U75" s="20"/>
      <c r="V75" s="15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8">
        <v>300061</v>
      </c>
      <c r="B76" s="151" t="s">
        <v>90</v>
      </c>
      <c r="C76" s="219" t="s">
        <v>309</v>
      </c>
      <c r="D76" s="219" t="s">
        <v>91</v>
      </c>
      <c r="E76" s="164" t="s">
        <v>41</v>
      </c>
      <c r="F76" s="13"/>
      <c r="G76" s="110"/>
      <c r="H76" s="110"/>
      <c r="I76" s="110"/>
      <c r="J76" s="110"/>
      <c r="K76" s="162">
        <f t="shared" si="0"/>
        <v>0</v>
      </c>
      <c r="L76" s="162">
        <f t="shared" si="1"/>
        <v>0</v>
      </c>
      <c r="M76" s="162">
        <v>418.4</v>
      </c>
      <c r="N76" s="162">
        <f>+M76*1000/(51*1*110*60)*T76</f>
        <v>4.9720736779560308</v>
      </c>
      <c r="O76" s="162"/>
      <c r="P76" s="162">
        <f t="shared" si="2"/>
        <v>0</v>
      </c>
      <c r="Q76" s="162"/>
      <c r="R76" s="19">
        <f t="shared" si="3"/>
        <v>0</v>
      </c>
      <c r="S76" s="162">
        <f t="shared" si="4"/>
        <v>0</v>
      </c>
      <c r="T76" s="20">
        <v>4</v>
      </c>
      <c r="U76" s="20"/>
      <c r="V76" s="15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8">
        <v>300064</v>
      </c>
      <c r="B77" s="151">
        <v>5002</v>
      </c>
      <c r="C77" s="219" t="s">
        <v>309</v>
      </c>
      <c r="D77" s="219" t="s">
        <v>91</v>
      </c>
      <c r="E77" s="164" t="s">
        <v>35</v>
      </c>
      <c r="F77" s="13"/>
      <c r="G77" s="110"/>
      <c r="H77" s="110"/>
      <c r="I77" s="110"/>
      <c r="J77" s="110"/>
      <c r="K77" s="162">
        <f t="shared" ref="K77:K153" si="7">G77*M77</f>
        <v>0</v>
      </c>
      <c r="L77" s="162">
        <f t="shared" ref="L77:L153" si="8">I77*M77</f>
        <v>0</v>
      </c>
      <c r="M77" s="162">
        <v>419.2</v>
      </c>
      <c r="N77" s="162">
        <f>+M77*1000/(51.9*1*110*60)*T77</f>
        <v>4.8951947217843168</v>
      </c>
      <c r="O77" s="162"/>
      <c r="P77" s="162">
        <f t="shared" ref="P77:P153" si="9">N77*I77+O77*U77</f>
        <v>0</v>
      </c>
      <c r="Q77" s="162"/>
      <c r="R77" s="19">
        <f t="shared" ref="R77:R153" si="10">Q77*U77</f>
        <v>0</v>
      </c>
      <c r="S77" s="162">
        <f t="shared" ref="S77:S153" si="11">R77-P77</f>
        <v>0</v>
      </c>
      <c r="T77" s="20">
        <v>4</v>
      </c>
      <c r="U77" s="20"/>
      <c r="V77" s="15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8">
        <v>300060</v>
      </c>
      <c r="B78" s="151" t="s">
        <v>87</v>
      </c>
      <c r="C78" s="219" t="s">
        <v>309</v>
      </c>
      <c r="D78" s="219" t="s">
        <v>91</v>
      </c>
      <c r="E78" s="164" t="s">
        <v>57</v>
      </c>
      <c r="F78" s="13"/>
      <c r="G78" s="110"/>
      <c r="H78" s="110"/>
      <c r="I78" s="110"/>
      <c r="J78" s="110"/>
      <c r="K78" s="162">
        <f t="shared" si="7"/>
        <v>0</v>
      </c>
      <c r="L78" s="162">
        <f t="shared" si="8"/>
        <v>0</v>
      </c>
      <c r="M78" s="162">
        <v>416.9</v>
      </c>
      <c r="N78" s="162">
        <f>+M78*1000/(51*1*110*60)*T78</f>
        <v>4.9542483660130721</v>
      </c>
      <c r="O78" s="162"/>
      <c r="P78" s="162">
        <f t="shared" si="9"/>
        <v>0</v>
      </c>
      <c r="Q78" s="162"/>
      <c r="R78" s="19">
        <f t="shared" si="10"/>
        <v>0</v>
      </c>
      <c r="S78" s="162">
        <f t="shared" si="11"/>
        <v>0</v>
      </c>
      <c r="T78" s="20">
        <v>4</v>
      </c>
      <c r="U78" s="20"/>
      <c r="V78" s="15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8">
        <v>300068</v>
      </c>
      <c r="B79" s="151" t="s">
        <v>87</v>
      </c>
      <c r="C79" s="219" t="s">
        <v>92</v>
      </c>
      <c r="D79" s="219" t="s">
        <v>93</v>
      </c>
      <c r="E79" s="164" t="s">
        <v>37</v>
      </c>
      <c r="F79" s="13"/>
      <c r="G79" s="110"/>
      <c r="H79" s="110"/>
      <c r="I79" s="110"/>
      <c r="J79" s="110"/>
      <c r="K79" s="162">
        <f t="shared" si="7"/>
        <v>0</v>
      </c>
      <c r="L79" s="162">
        <f t="shared" si="8"/>
        <v>0</v>
      </c>
      <c r="M79" s="162">
        <v>438.4</v>
      </c>
      <c r="N79" s="162">
        <f>+M79*1000/(50*1*120*60)*T79</f>
        <v>4.8711111111111114</v>
      </c>
      <c r="O79" s="162"/>
      <c r="P79" s="162">
        <f t="shared" si="9"/>
        <v>0</v>
      </c>
      <c r="Q79" s="162"/>
      <c r="R79" s="19">
        <f t="shared" si="10"/>
        <v>0</v>
      </c>
      <c r="S79" s="162">
        <f t="shared" si="11"/>
        <v>0</v>
      </c>
      <c r="T79" s="20">
        <v>4</v>
      </c>
      <c r="U79" s="20"/>
      <c r="V79" s="15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8">
        <v>300065</v>
      </c>
      <c r="B80" s="151" t="s">
        <v>87</v>
      </c>
      <c r="C80" s="219" t="s">
        <v>92</v>
      </c>
      <c r="D80" s="219" t="s">
        <v>93</v>
      </c>
      <c r="E80" s="164" t="s">
        <v>35</v>
      </c>
      <c r="F80" s="13"/>
      <c r="G80" s="110"/>
      <c r="H80" s="110"/>
      <c r="I80" s="110"/>
      <c r="J80" s="110"/>
      <c r="K80" s="162">
        <f t="shared" si="7"/>
        <v>0</v>
      </c>
      <c r="L80" s="162">
        <f t="shared" si="8"/>
        <v>0</v>
      </c>
      <c r="M80" s="162">
        <v>438.8</v>
      </c>
      <c r="N80" s="162">
        <f>+M80*1000/(50*1*120*60)*T80</f>
        <v>4.8755555555555556</v>
      </c>
      <c r="O80" s="162"/>
      <c r="P80" s="162">
        <f t="shared" si="9"/>
        <v>0</v>
      </c>
      <c r="Q80" s="162"/>
      <c r="R80" s="19">
        <f t="shared" si="10"/>
        <v>0</v>
      </c>
      <c r="S80" s="162">
        <f t="shared" si="11"/>
        <v>0</v>
      </c>
      <c r="T80" s="20">
        <v>4</v>
      </c>
      <c r="U80" s="158"/>
      <c r="V80" s="15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8">
        <v>300066</v>
      </c>
      <c r="B81" s="151" t="s">
        <v>87</v>
      </c>
      <c r="C81" s="219" t="s">
        <v>92</v>
      </c>
      <c r="D81" s="219" t="s">
        <v>93</v>
      </c>
      <c r="E81" s="164" t="s">
        <v>66</v>
      </c>
      <c r="F81" s="13"/>
      <c r="G81" s="110"/>
      <c r="H81" s="110"/>
      <c r="I81" s="110"/>
      <c r="J81" s="110"/>
      <c r="K81" s="162">
        <f t="shared" si="7"/>
        <v>0</v>
      </c>
      <c r="L81" s="162">
        <f t="shared" si="8"/>
        <v>0</v>
      </c>
      <c r="M81" s="162">
        <v>438.4</v>
      </c>
      <c r="N81" s="162">
        <f>+M81*1000/(50*1*120*60)*T81</f>
        <v>4.8711111111111114</v>
      </c>
      <c r="O81" s="162"/>
      <c r="P81" s="162">
        <f t="shared" si="9"/>
        <v>0</v>
      </c>
      <c r="Q81" s="162"/>
      <c r="R81" s="19">
        <f t="shared" si="10"/>
        <v>0</v>
      </c>
      <c r="S81" s="162">
        <f t="shared" si="11"/>
        <v>0</v>
      </c>
      <c r="T81" s="20">
        <v>4</v>
      </c>
      <c r="U81" s="158"/>
      <c r="V81" s="15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8">
        <v>300067</v>
      </c>
      <c r="B82" s="151" t="s">
        <v>87</v>
      </c>
      <c r="C82" s="219" t="s">
        <v>92</v>
      </c>
      <c r="D82" s="219" t="s">
        <v>93</v>
      </c>
      <c r="E82" s="164" t="s">
        <v>41</v>
      </c>
      <c r="F82" s="13"/>
      <c r="G82" s="110"/>
      <c r="H82" s="110"/>
      <c r="I82" s="110"/>
      <c r="J82" s="110"/>
      <c r="K82" s="162">
        <f t="shared" si="7"/>
        <v>0</v>
      </c>
      <c r="L82" s="162">
        <f t="shared" si="8"/>
        <v>0</v>
      </c>
      <c r="M82" s="162">
        <v>438.8</v>
      </c>
      <c r="N82" s="162">
        <f>+M82*1000/(50*1*120*60)*T82</f>
        <v>4.8755555555555556</v>
      </c>
      <c r="O82" s="162"/>
      <c r="P82" s="162">
        <f t="shared" si="9"/>
        <v>0</v>
      </c>
      <c r="Q82" s="162"/>
      <c r="R82" s="19">
        <f t="shared" si="10"/>
        <v>0</v>
      </c>
      <c r="S82" s="162">
        <f t="shared" si="11"/>
        <v>0</v>
      </c>
      <c r="T82" s="20">
        <v>4</v>
      </c>
      <c r="U82" s="20"/>
      <c r="V82" s="15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8">
        <v>300384</v>
      </c>
      <c r="B84" s="151" t="s">
        <v>87</v>
      </c>
      <c r="C84" s="219" t="s">
        <v>94</v>
      </c>
      <c r="D84" s="219" t="s">
        <v>95</v>
      </c>
      <c r="E84" s="164" t="s">
        <v>35</v>
      </c>
      <c r="F84" s="163"/>
      <c r="G84" s="110"/>
      <c r="H84" s="110"/>
      <c r="I84" s="110"/>
      <c r="J84" s="110"/>
      <c r="K84" s="162">
        <f t="shared" si="7"/>
        <v>0</v>
      </c>
      <c r="L84" s="162">
        <f t="shared" si="8"/>
        <v>0</v>
      </c>
      <c r="M84" s="162">
        <v>415.5</v>
      </c>
      <c r="N84" s="15">
        <f>+M84*1000/(51*1*110*60)*T84</f>
        <v>8.6408199643493759</v>
      </c>
      <c r="O84" s="162"/>
      <c r="P84" s="162">
        <f t="shared" si="9"/>
        <v>0</v>
      </c>
      <c r="Q84" s="162"/>
      <c r="R84" s="19">
        <f t="shared" si="10"/>
        <v>0</v>
      </c>
      <c r="S84" s="162">
        <f t="shared" si="11"/>
        <v>0</v>
      </c>
      <c r="T84" s="20">
        <v>7</v>
      </c>
      <c r="U84" s="20"/>
      <c r="V84" s="15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8">
        <v>300383</v>
      </c>
      <c r="B85" s="151" t="s">
        <v>87</v>
      </c>
      <c r="C85" s="219" t="s">
        <v>94</v>
      </c>
      <c r="D85" s="219" t="s">
        <v>96</v>
      </c>
      <c r="E85" s="164" t="s">
        <v>41</v>
      </c>
      <c r="F85" s="163"/>
      <c r="G85" s="110"/>
      <c r="H85" s="110"/>
      <c r="I85" s="110"/>
      <c r="J85" s="110"/>
      <c r="K85" s="162">
        <f t="shared" si="7"/>
        <v>0</v>
      </c>
      <c r="L85" s="162">
        <f t="shared" si="8"/>
        <v>0</v>
      </c>
      <c r="M85" s="162">
        <v>415.5</v>
      </c>
      <c r="N85" s="15">
        <f>+M85*1000/(51*1*110*60)*T85</f>
        <v>8.6408199643493759</v>
      </c>
      <c r="O85" s="162"/>
      <c r="P85" s="162">
        <f t="shared" si="9"/>
        <v>0</v>
      </c>
      <c r="Q85" s="162"/>
      <c r="R85" s="19">
        <f t="shared" si="10"/>
        <v>0</v>
      </c>
      <c r="S85" s="162">
        <f t="shared" si="11"/>
        <v>0</v>
      </c>
      <c r="T85" s="20">
        <v>7</v>
      </c>
      <c r="U85" s="20"/>
      <c r="V85" s="15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8">
        <v>300386</v>
      </c>
      <c r="B86" s="151" t="s">
        <v>87</v>
      </c>
      <c r="C86" s="219" t="s">
        <v>94</v>
      </c>
      <c r="D86" s="219" t="s">
        <v>97</v>
      </c>
      <c r="E86" s="164" t="s">
        <v>66</v>
      </c>
      <c r="F86" s="163"/>
      <c r="G86" s="110"/>
      <c r="H86" s="110"/>
      <c r="I86" s="110"/>
      <c r="J86" s="110"/>
      <c r="K86" s="162">
        <f t="shared" si="7"/>
        <v>0</v>
      </c>
      <c r="L86" s="162">
        <f t="shared" si="8"/>
        <v>0</v>
      </c>
      <c r="M86" s="162">
        <v>415.5</v>
      </c>
      <c r="N86" s="15">
        <f>+M86*1000/(51*1*110*60)*T86</f>
        <v>8.6408199643493759</v>
      </c>
      <c r="O86" s="162"/>
      <c r="P86" s="162">
        <f t="shared" si="9"/>
        <v>0</v>
      </c>
      <c r="Q86" s="162"/>
      <c r="R86" s="19">
        <f t="shared" si="10"/>
        <v>0</v>
      </c>
      <c r="S86" s="162">
        <f t="shared" si="11"/>
        <v>0</v>
      </c>
      <c r="T86" s="20">
        <v>7</v>
      </c>
      <c r="U86" s="20"/>
      <c r="V86" s="15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8">
        <v>300385</v>
      </c>
      <c r="B87" s="151" t="s">
        <v>87</v>
      </c>
      <c r="C87" s="219" t="s">
        <v>94</v>
      </c>
      <c r="D87" s="219" t="s">
        <v>98</v>
      </c>
      <c r="E87" s="164" t="s">
        <v>99</v>
      </c>
      <c r="F87" s="163"/>
      <c r="G87" s="110"/>
      <c r="H87" s="110"/>
      <c r="I87" s="110"/>
      <c r="J87" s="110"/>
      <c r="K87" s="162">
        <f t="shared" si="7"/>
        <v>0</v>
      </c>
      <c r="L87" s="162">
        <f t="shared" si="8"/>
        <v>0</v>
      </c>
      <c r="M87" s="162">
        <v>415.5</v>
      </c>
      <c r="N87" s="15">
        <f>+M87*1000/(51*1*110*60)*T87</f>
        <v>8.6408199643493759</v>
      </c>
      <c r="O87" s="162"/>
      <c r="P87" s="162">
        <f t="shared" si="9"/>
        <v>0</v>
      </c>
      <c r="Q87" s="162"/>
      <c r="R87" s="19">
        <f t="shared" si="10"/>
        <v>0</v>
      </c>
      <c r="S87" s="162">
        <f t="shared" si="11"/>
        <v>0</v>
      </c>
      <c r="T87" s="20">
        <v>7</v>
      </c>
      <c r="U87" s="20"/>
      <c r="V87" s="15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8">
        <v>300352</v>
      </c>
      <c r="B88" s="151" t="s">
        <v>87</v>
      </c>
      <c r="C88" s="219" t="s">
        <v>100</v>
      </c>
      <c r="D88" s="219" t="s">
        <v>95</v>
      </c>
      <c r="E88" s="164" t="s">
        <v>35</v>
      </c>
      <c r="F88" s="13"/>
      <c r="G88" s="110"/>
      <c r="H88" s="110"/>
      <c r="I88" s="110"/>
      <c r="J88" s="110"/>
      <c r="K88" s="162">
        <f t="shared" si="7"/>
        <v>0</v>
      </c>
      <c r="L88" s="162">
        <f t="shared" si="8"/>
        <v>0</v>
      </c>
      <c r="M88" s="162">
        <v>515.9</v>
      </c>
      <c r="N88" s="162">
        <f>+M88*1000/(80*1*110*60)*T88</f>
        <v>6.8395833333333336</v>
      </c>
      <c r="O88" s="162"/>
      <c r="P88" s="162">
        <f t="shared" si="9"/>
        <v>0</v>
      </c>
      <c r="Q88" s="162"/>
      <c r="R88" s="19">
        <f t="shared" si="10"/>
        <v>0</v>
      </c>
      <c r="S88" s="162">
        <f t="shared" si="11"/>
        <v>0</v>
      </c>
      <c r="T88" s="20">
        <v>7</v>
      </c>
      <c r="U88" s="20"/>
      <c r="V88" s="15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8">
        <v>300353</v>
      </c>
      <c r="B89" s="151" t="s">
        <v>87</v>
      </c>
      <c r="C89" s="219" t="s">
        <v>100</v>
      </c>
      <c r="D89" s="219" t="s">
        <v>95</v>
      </c>
      <c r="E89" s="164" t="s">
        <v>99</v>
      </c>
      <c r="F89" s="13"/>
      <c r="G89" s="110"/>
      <c r="H89" s="110"/>
      <c r="I89" s="110"/>
      <c r="J89" s="110"/>
      <c r="K89" s="162">
        <f t="shared" si="7"/>
        <v>0</v>
      </c>
      <c r="L89" s="162">
        <f t="shared" si="8"/>
        <v>0</v>
      </c>
      <c r="M89" s="162">
        <v>515.9</v>
      </c>
      <c r="N89" s="162">
        <f>+M89*1000/(80*1*110*60)*T89</f>
        <v>6.8395833333333336</v>
      </c>
      <c r="O89" s="162"/>
      <c r="P89" s="162">
        <f t="shared" si="9"/>
        <v>0</v>
      </c>
      <c r="Q89" s="162"/>
      <c r="R89" s="19">
        <f t="shared" si="10"/>
        <v>0</v>
      </c>
      <c r="S89" s="162">
        <f t="shared" si="11"/>
        <v>0</v>
      </c>
      <c r="T89" s="20">
        <v>7</v>
      </c>
      <c r="U89" s="20"/>
      <c r="V89" s="15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8">
        <v>300351</v>
      </c>
      <c r="B90" s="151" t="s">
        <v>87</v>
      </c>
      <c r="C90" s="219" t="s">
        <v>100</v>
      </c>
      <c r="D90" s="219" t="s">
        <v>95</v>
      </c>
      <c r="E90" s="164" t="s">
        <v>41</v>
      </c>
      <c r="F90" s="13"/>
      <c r="G90" s="110"/>
      <c r="H90" s="110"/>
      <c r="I90" s="110"/>
      <c r="J90" s="110"/>
      <c r="K90" s="162">
        <f t="shared" si="7"/>
        <v>0</v>
      </c>
      <c r="L90" s="162">
        <f t="shared" si="8"/>
        <v>0</v>
      </c>
      <c r="M90" s="162">
        <v>515.9</v>
      </c>
      <c r="N90" s="162">
        <f>+M90*1000/(80*1*110*60)*T90</f>
        <v>6.8395833333333336</v>
      </c>
      <c r="O90" s="162"/>
      <c r="P90" s="162">
        <f t="shared" si="9"/>
        <v>0</v>
      </c>
      <c r="Q90" s="162"/>
      <c r="R90" s="19">
        <f t="shared" si="10"/>
        <v>0</v>
      </c>
      <c r="S90" s="162">
        <f t="shared" si="11"/>
        <v>0</v>
      </c>
      <c r="T90" s="20">
        <v>7</v>
      </c>
      <c r="U90" s="20"/>
      <c r="V90" s="15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8">
        <v>300354</v>
      </c>
      <c r="B91" s="151" t="s">
        <v>87</v>
      </c>
      <c r="C91" s="219" t="s">
        <v>100</v>
      </c>
      <c r="D91" s="219" t="s">
        <v>95</v>
      </c>
      <c r="E91" s="164" t="s">
        <v>66</v>
      </c>
      <c r="F91" s="13"/>
      <c r="G91" s="110"/>
      <c r="H91" s="110"/>
      <c r="I91" s="110"/>
      <c r="J91" s="110"/>
      <c r="K91" s="162">
        <f t="shared" si="7"/>
        <v>0</v>
      </c>
      <c r="L91" s="162">
        <f t="shared" si="8"/>
        <v>0</v>
      </c>
      <c r="M91" s="162">
        <v>515.9</v>
      </c>
      <c r="N91" s="162">
        <f>+M91*1000/(80*1*110*60)*T91</f>
        <v>6.8395833333333336</v>
      </c>
      <c r="O91" s="162"/>
      <c r="P91" s="162">
        <f t="shared" si="9"/>
        <v>0</v>
      </c>
      <c r="Q91" s="162"/>
      <c r="R91" s="19">
        <f t="shared" si="10"/>
        <v>0</v>
      </c>
      <c r="S91" s="162">
        <f t="shared" si="11"/>
        <v>0</v>
      </c>
      <c r="T91" s="20">
        <v>7</v>
      </c>
      <c r="U91" s="20"/>
      <c r="V91" s="15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8">
        <v>300250</v>
      </c>
      <c r="B92" s="151" t="s">
        <v>87</v>
      </c>
      <c r="C92" s="219" t="s">
        <v>101</v>
      </c>
      <c r="D92" s="219" t="s">
        <v>95</v>
      </c>
      <c r="E92" s="164" t="s">
        <v>35</v>
      </c>
      <c r="F92" s="13"/>
      <c r="G92" s="110"/>
      <c r="H92" s="110"/>
      <c r="I92" s="110"/>
      <c r="J92" s="110"/>
      <c r="K92" s="162">
        <f t="shared" si="7"/>
        <v>0</v>
      </c>
      <c r="L92" s="162">
        <f t="shared" si="8"/>
        <v>0</v>
      </c>
      <c r="M92" s="162">
        <v>412.5</v>
      </c>
      <c r="N92" s="162">
        <f>+M92*1000/(84*1*110*60)*T92</f>
        <v>5.2083333333333339</v>
      </c>
      <c r="O92" s="162"/>
      <c r="P92" s="162">
        <f t="shared" si="9"/>
        <v>0</v>
      </c>
      <c r="Q92" s="162"/>
      <c r="R92" s="19">
        <f t="shared" si="10"/>
        <v>0</v>
      </c>
      <c r="S92" s="162">
        <f t="shared" si="11"/>
        <v>0</v>
      </c>
      <c r="T92" s="20">
        <v>7</v>
      </c>
      <c r="U92" s="20"/>
      <c r="V92" s="15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8">
        <v>300251</v>
      </c>
      <c r="B93" s="151" t="s">
        <v>87</v>
      </c>
      <c r="C93" s="219" t="s">
        <v>101</v>
      </c>
      <c r="D93" s="219" t="s">
        <v>95</v>
      </c>
      <c r="E93" s="164" t="s">
        <v>99</v>
      </c>
      <c r="F93" s="13"/>
      <c r="G93" s="110"/>
      <c r="H93" s="110"/>
      <c r="I93" s="110"/>
      <c r="J93" s="110"/>
      <c r="K93" s="162">
        <f t="shared" si="7"/>
        <v>0</v>
      </c>
      <c r="L93" s="162">
        <f t="shared" si="8"/>
        <v>0</v>
      </c>
      <c r="M93" s="162">
        <v>412.5</v>
      </c>
      <c r="N93" s="162">
        <f>+M93*1000/(84*1*110*60)*T93</f>
        <v>5.2083333333333339</v>
      </c>
      <c r="O93" s="162"/>
      <c r="P93" s="162">
        <f t="shared" si="9"/>
        <v>0</v>
      </c>
      <c r="Q93" s="162"/>
      <c r="R93" s="19">
        <f t="shared" si="10"/>
        <v>0</v>
      </c>
      <c r="S93" s="162">
        <f t="shared" si="11"/>
        <v>0</v>
      </c>
      <c r="T93" s="20">
        <v>7</v>
      </c>
      <c r="U93" s="20"/>
      <c r="V93" s="15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8">
        <v>300254</v>
      </c>
      <c r="B94" s="151" t="s">
        <v>87</v>
      </c>
      <c r="C94" s="219" t="s">
        <v>101</v>
      </c>
      <c r="D94" s="219" t="s">
        <v>95</v>
      </c>
      <c r="E94" s="164" t="s">
        <v>41</v>
      </c>
      <c r="F94" s="13"/>
      <c r="G94" s="110"/>
      <c r="H94" s="110"/>
      <c r="I94" s="110"/>
      <c r="J94" s="110"/>
      <c r="K94" s="162">
        <f t="shared" si="7"/>
        <v>0</v>
      </c>
      <c r="L94" s="162">
        <f t="shared" si="8"/>
        <v>0</v>
      </c>
      <c r="M94" s="162">
        <v>412.5</v>
      </c>
      <c r="N94" s="162">
        <f>+M94*1000/(84*1*110*60)*T94</f>
        <v>5.2083333333333339</v>
      </c>
      <c r="O94" s="162"/>
      <c r="P94" s="162">
        <f t="shared" si="9"/>
        <v>0</v>
      </c>
      <c r="Q94" s="162"/>
      <c r="R94" s="19">
        <f t="shared" si="10"/>
        <v>0</v>
      </c>
      <c r="S94" s="162">
        <f t="shared" si="11"/>
        <v>0</v>
      </c>
      <c r="T94" s="20">
        <v>7</v>
      </c>
      <c r="U94" s="20"/>
      <c r="V94" s="15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8">
        <v>300253</v>
      </c>
      <c r="B95" s="151" t="s">
        <v>87</v>
      </c>
      <c r="C95" s="219" t="s">
        <v>101</v>
      </c>
      <c r="D95" s="219" t="s">
        <v>95</v>
      </c>
      <c r="E95" s="164" t="s">
        <v>66</v>
      </c>
      <c r="F95" s="13"/>
      <c r="G95" s="110"/>
      <c r="H95" s="110"/>
      <c r="I95" s="110"/>
      <c r="J95" s="110"/>
      <c r="K95" s="162">
        <f t="shared" si="7"/>
        <v>0</v>
      </c>
      <c r="L95" s="162">
        <f t="shared" si="8"/>
        <v>0</v>
      </c>
      <c r="M95" s="162">
        <v>412.5</v>
      </c>
      <c r="N95" s="162">
        <f>+M95*1000/(84*1*110*60)*T95</f>
        <v>5.2083333333333339</v>
      </c>
      <c r="O95" s="162"/>
      <c r="P95" s="162">
        <f t="shared" si="9"/>
        <v>0</v>
      </c>
      <c r="Q95" s="162"/>
      <c r="R95" s="19">
        <f t="shared" si="10"/>
        <v>0</v>
      </c>
      <c r="S95" s="162">
        <f t="shared" si="11"/>
        <v>0</v>
      </c>
      <c r="T95" s="20">
        <v>7</v>
      </c>
      <c r="U95" s="20"/>
      <c r="V95" s="15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8">
        <v>300255</v>
      </c>
      <c r="B96" s="151" t="s">
        <v>87</v>
      </c>
      <c r="C96" s="219" t="s">
        <v>101</v>
      </c>
      <c r="D96" s="219" t="s">
        <v>95</v>
      </c>
      <c r="E96" s="164" t="s">
        <v>102</v>
      </c>
      <c r="F96" s="13"/>
      <c r="G96" s="110"/>
      <c r="H96" s="110"/>
      <c r="I96" s="110"/>
      <c r="J96" s="110"/>
      <c r="K96" s="162">
        <f t="shared" si="7"/>
        <v>0</v>
      </c>
      <c r="L96" s="162">
        <f t="shared" si="8"/>
        <v>0</v>
      </c>
      <c r="M96" s="162">
        <v>412.5</v>
      </c>
      <c r="N96" s="162">
        <f>+M96*1000/(84*1*110*60)*T96</f>
        <v>5.2083333333333339</v>
      </c>
      <c r="O96" s="162"/>
      <c r="P96" s="162">
        <f t="shared" si="9"/>
        <v>0</v>
      </c>
      <c r="Q96" s="162"/>
      <c r="R96" s="19">
        <f t="shared" si="10"/>
        <v>0</v>
      </c>
      <c r="S96" s="162">
        <f t="shared" si="11"/>
        <v>0</v>
      </c>
      <c r="T96" s="20">
        <v>7</v>
      </c>
      <c r="U96" s="20"/>
      <c r="V96" s="15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8">
        <v>300088</v>
      </c>
      <c r="B98" s="151" t="s">
        <v>87</v>
      </c>
      <c r="C98" s="219" t="s">
        <v>310</v>
      </c>
      <c r="D98" s="219" t="s">
        <v>91</v>
      </c>
      <c r="E98" s="164" t="s">
        <v>39</v>
      </c>
      <c r="F98" s="13"/>
      <c r="G98" s="110"/>
      <c r="H98" s="110"/>
      <c r="I98" s="110"/>
      <c r="J98" s="110"/>
      <c r="K98" s="162">
        <f t="shared" si="7"/>
        <v>0</v>
      </c>
      <c r="L98" s="162">
        <f t="shared" si="8"/>
        <v>0</v>
      </c>
      <c r="M98" s="162">
        <v>617.79999999999995</v>
      </c>
      <c r="N98" s="162">
        <f>+M98*1000/(123*1*80*60)*T98</f>
        <v>3.1392276422764223</v>
      </c>
      <c r="O98" s="162"/>
      <c r="P98" s="162">
        <f t="shared" si="9"/>
        <v>0</v>
      </c>
      <c r="Q98" s="162"/>
      <c r="R98" s="19">
        <f t="shared" si="10"/>
        <v>0</v>
      </c>
      <c r="S98" s="162">
        <f t="shared" si="11"/>
        <v>0</v>
      </c>
      <c r="T98" s="20">
        <v>3</v>
      </c>
      <c r="U98" s="20"/>
      <c r="V98" s="15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8">
        <v>300089</v>
      </c>
      <c r="B99" s="151" t="s">
        <v>87</v>
      </c>
      <c r="C99" s="219" t="s">
        <v>310</v>
      </c>
      <c r="D99" s="219" t="s">
        <v>91</v>
      </c>
      <c r="E99" s="164" t="s">
        <v>42</v>
      </c>
      <c r="F99" s="13"/>
      <c r="G99" s="110"/>
      <c r="H99" s="110"/>
      <c r="I99" s="110"/>
      <c r="J99" s="110"/>
      <c r="K99" s="162">
        <f t="shared" si="7"/>
        <v>0</v>
      </c>
      <c r="L99" s="162">
        <f t="shared" si="8"/>
        <v>0</v>
      </c>
      <c r="M99" s="162">
        <v>618.6</v>
      </c>
      <c r="N99" s="162">
        <f>+M99*1000/(124*1*80*60)*T99</f>
        <v>3.117943548387097</v>
      </c>
      <c r="O99" s="162"/>
      <c r="P99" s="162">
        <f t="shared" si="9"/>
        <v>0</v>
      </c>
      <c r="Q99" s="162"/>
      <c r="R99" s="19">
        <f t="shared" si="10"/>
        <v>0</v>
      </c>
      <c r="S99" s="162">
        <f t="shared" si="11"/>
        <v>0</v>
      </c>
      <c r="T99" s="20">
        <v>3</v>
      </c>
      <c r="U99" s="20"/>
      <c r="V99" s="15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8">
        <v>300128</v>
      </c>
      <c r="B100" s="151" t="s">
        <v>87</v>
      </c>
      <c r="C100" s="219" t="s">
        <v>104</v>
      </c>
      <c r="D100" s="219" t="s">
        <v>105</v>
      </c>
      <c r="E100" s="164" t="s">
        <v>35</v>
      </c>
      <c r="F100" s="13"/>
      <c r="G100" s="110"/>
      <c r="H100" s="110"/>
      <c r="I100" s="110"/>
      <c r="J100" s="110"/>
      <c r="K100" s="162">
        <f t="shared" si="7"/>
        <v>0</v>
      </c>
      <c r="L100" s="162">
        <f t="shared" si="8"/>
        <v>0</v>
      </c>
      <c r="M100" s="162">
        <v>621.29999999999995</v>
      </c>
      <c r="N100" s="162">
        <f t="shared" ref="N100:N105" si="12">+M100*1000/(130.5*1*80*60)*T100</f>
        <v>3.9674329501915708</v>
      </c>
      <c r="O100" s="162"/>
      <c r="P100" s="162">
        <f t="shared" si="9"/>
        <v>0</v>
      </c>
      <c r="Q100" s="162"/>
      <c r="R100" s="19">
        <f t="shared" si="10"/>
        <v>0</v>
      </c>
      <c r="S100" s="162">
        <f t="shared" si="11"/>
        <v>0</v>
      </c>
      <c r="T100" s="20">
        <v>4</v>
      </c>
      <c r="U100" s="20"/>
      <c r="V100" s="15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8">
        <v>300129</v>
      </c>
      <c r="B101" s="151" t="s">
        <v>87</v>
      </c>
      <c r="C101" s="219" t="s">
        <v>104</v>
      </c>
      <c r="D101" s="219" t="s">
        <v>105</v>
      </c>
      <c r="E101" s="164" t="s">
        <v>41</v>
      </c>
      <c r="F101" s="13"/>
      <c r="G101" s="110"/>
      <c r="H101" s="110"/>
      <c r="I101" s="110"/>
      <c r="J101" s="110"/>
      <c r="K101" s="162">
        <f t="shared" si="7"/>
        <v>0</v>
      </c>
      <c r="L101" s="162">
        <f t="shared" si="8"/>
        <v>0</v>
      </c>
      <c r="M101" s="162">
        <v>621.29999999999995</v>
      </c>
      <c r="N101" s="162">
        <f t="shared" si="12"/>
        <v>3.9674329501915708</v>
      </c>
      <c r="O101" s="162"/>
      <c r="P101" s="162">
        <f t="shared" si="9"/>
        <v>0</v>
      </c>
      <c r="Q101" s="162"/>
      <c r="R101" s="19">
        <f t="shared" si="10"/>
        <v>0</v>
      </c>
      <c r="S101" s="162">
        <f t="shared" si="11"/>
        <v>0</v>
      </c>
      <c r="T101" s="20">
        <v>4</v>
      </c>
      <c r="U101" s="20"/>
      <c r="V101" s="15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8">
        <v>300130</v>
      </c>
      <c r="B102" s="151" t="s">
        <v>87</v>
      </c>
      <c r="C102" s="219" t="s">
        <v>104</v>
      </c>
      <c r="D102" s="219" t="s">
        <v>105</v>
      </c>
      <c r="E102" s="164" t="s">
        <v>37</v>
      </c>
      <c r="F102" s="13"/>
      <c r="G102" s="110"/>
      <c r="H102" s="110"/>
      <c r="I102" s="110"/>
      <c r="J102" s="110"/>
      <c r="K102" s="162">
        <f t="shared" si="7"/>
        <v>0</v>
      </c>
      <c r="L102" s="162">
        <f t="shared" si="8"/>
        <v>0</v>
      </c>
      <c r="M102" s="162">
        <v>621.29999999999995</v>
      </c>
      <c r="N102" s="162">
        <f t="shared" si="12"/>
        <v>3.9674329501915708</v>
      </c>
      <c r="O102" s="162"/>
      <c r="P102" s="162">
        <f t="shared" si="9"/>
        <v>0</v>
      </c>
      <c r="Q102" s="162"/>
      <c r="R102" s="19">
        <f t="shared" si="10"/>
        <v>0</v>
      </c>
      <c r="S102" s="162">
        <f t="shared" si="11"/>
        <v>0</v>
      </c>
      <c r="T102" s="20">
        <v>4</v>
      </c>
      <c r="U102" s="20"/>
      <c r="V102" s="15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8">
        <v>300423</v>
      </c>
      <c r="B103" s="151" t="s">
        <v>292</v>
      </c>
      <c r="C103" s="230" t="s">
        <v>288</v>
      </c>
      <c r="D103" s="231"/>
      <c r="E103" s="164" t="s">
        <v>289</v>
      </c>
      <c r="F103" s="13"/>
      <c r="G103" s="110"/>
      <c r="H103" s="110"/>
      <c r="I103" s="110"/>
      <c r="J103" s="110"/>
      <c r="K103" s="162">
        <f t="shared" si="7"/>
        <v>0</v>
      </c>
      <c r="L103" s="162">
        <f t="shared" si="8"/>
        <v>0</v>
      </c>
      <c r="M103" s="162">
        <v>524.1</v>
      </c>
      <c r="N103" s="162">
        <f t="shared" si="12"/>
        <v>3.3467432950191571</v>
      </c>
      <c r="O103" s="162"/>
      <c r="P103" s="162">
        <f t="shared" si="9"/>
        <v>0</v>
      </c>
      <c r="Q103" s="162"/>
      <c r="R103" s="19">
        <f t="shared" si="10"/>
        <v>0</v>
      </c>
      <c r="S103" s="162">
        <f t="shared" si="11"/>
        <v>0</v>
      </c>
      <c r="T103" s="20">
        <v>4</v>
      </c>
      <c r="U103" s="20"/>
      <c r="V103" s="15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8">
        <v>300424</v>
      </c>
      <c r="B104" s="151" t="s">
        <v>292</v>
      </c>
      <c r="C104" s="230" t="s">
        <v>288</v>
      </c>
      <c r="D104" s="231"/>
      <c r="E104" s="164" t="s">
        <v>290</v>
      </c>
      <c r="F104" s="13"/>
      <c r="G104" s="110"/>
      <c r="H104" s="110"/>
      <c r="I104" s="110"/>
      <c r="J104" s="110"/>
      <c r="K104" s="162">
        <f t="shared" si="7"/>
        <v>0</v>
      </c>
      <c r="L104" s="162">
        <f t="shared" si="8"/>
        <v>0</v>
      </c>
      <c r="M104" s="162">
        <v>524.1</v>
      </c>
      <c r="N104" s="162">
        <f t="shared" si="12"/>
        <v>3.3467432950191571</v>
      </c>
      <c r="O104" s="162"/>
      <c r="P104" s="162">
        <f t="shared" si="9"/>
        <v>0</v>
      </c>
      <c r="Q104" s="162"/>
      <c r="R104" s="19">
        <f t="shared" si="10"/>
        <v>0</v>
      </c>
      <c r="S104" s="162">
        <f t="shared" si="11"/>
        <v>0</v>
      </c>
      <c r="T104" s="20">
        <v>4</v>
      </c>
      <c r="U104" s="20"/>
      <c r="V104" s="15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8">
        <v>300425</v>
      </c>
      <c r="B105" s="151" t="s">
        <v>292</v>
      </c>
      <c r="C105" s="230" t="s">
        <v>288</v>
      </c>
      <c r="D105" s="231"/>
      <c r="E105" s="164" t="s">
        <v>291</v>
      </c>
      <c r="F105" s="13"/>
      <c r="G105" s="110"/>
      <c r="H105" s="110"/>
      <c r="I105" s="110"/>
      <c r="J105" s="110"/>
      <c r="K105" s="162">
        <f t="shared" si="7"/>
        <v>0</v>
      </c>
      <c r="L105" s="162">
        <f t="shared" si="8"/>
        <v>0</v>
      </c>
      <c r="M105" s="162">
        <v>524.1</v>
      </c>
      <c r="N105" s="162">
        <f t="shared" si="12"/>
        <v>3.3467432950191571</v>
      </c>
      <c r="O105" s="162"/>
      <c r="P105" s="162">
        <f t="shared" si="9"/>
        <v>0</v>
      </c>
      <c r="Q105" s="162"/>
      <c r="R105" s="19">
        <f t="shared" si="10"/>
        <v>0</v>
      </c>
      <c r="S105" s="162">
        <f t="shared" si="11"/>
        <v>0</v>
      </c>
      <c r="T105" s="20">
        <v>4</v>
      </c>
      <c r="U105" s="20"/>
      <c r="V105" s="15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8">
        <v>300074</v>
      </c>
      <c r="B111" s="151" t="s">
        <v>110</v>
      </c>
      <c r="C111" s="219" t="s">
        <v>111</v>
      </c>
      <c r="D111" s="219" t="s">
        <v>112</v>
      </c>
      <c r="E111" s="164" t="s">
        <v>54</v>
      </c>
      <c r="F111" s="13"/>
      <c r="G111" s="110"/>
      <c r="H111" s="110"/>
      <c r="I111" s="110"/>
      <c r="J111" s="110"/>
      <c r="K111" s="162">
        <f t="shared" si="7"/>
        <v>0</v>
      </c>
      <c r="L111" s="162">
        <f t="shared" si="8"/>
        <v>0</v>
      </c>
      <c r="M111" s="162">
        <v>290.8</v>
      </c>
      <c r="N111" s="162">
        <f>+M111*1000/(88*4*13*60)*T111</f>
        <v>3.1774475524475525</v>
      </c>
      <c r="O111" s="162"/>
      <c r="P111" s="162">
        <f t="shared" si="9"/>
        <v>0</v>
      </c>
      <c r="Q111" s="162"/>
      <c r="R111" s="19">
        <f t="shared" si="10"/>
        <v>0</v>
      </c>
      <c r="S111" s="162">
        <f t="shared" si="11"/>
        <v>0</v>
      </c>
      <c r="T111" s="20">
        <v>3</v>
      </c>
      <c r="U111" s="20"/>
      <c r="V111" s="15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8">
        <v>300076</v>
      </c>
      <c r="B112" s="151" t="s">
        <v>110</v>
      </c>
      <c r="C112" s="219" t="s">
        <v>111</v>
      </c>
      <c r="D112" s="219" t="s">
        <v>112</v>
      </c>
      <c r="E112" s="164" t="s">
        <v>35</v>
      </c>
      <c r="F112" s="13"/>
      <c r="G112" s="110"/>
      <c r="H112" s="110"/>
      <c r="I112" s="110"/>
      <c r="J112" s="110"/>
      <c r="K112" s="162">
        <f t="shared" si="7"/>
        <v>0</v>
      </c>
      <c r="L112" s="162">
        <f t="shared" si="8"/>
        <v>0</v>
      </c>
      <c r="M112" s="162">
        <v>303.10000000000002</v>
      </c>
      <c r="N112" s="162">
        <f>+M112*1000/(88*4*12*60)*T112</f>
        <v>4.7837752525252526</v>
      </c>
      <c r="O112" s="162"/>
      <c r="P112" s="162">
        <f t="shared" si="9"/>
        <v>0</v>
      </c>
      <c r="Q112" s="162"/>
      <c r="R112" s="19">
        <f t="shared" si="10"/>
        <v>0</v>
      </c>
      <c r="S112" s="162">
        <f t="shared" si="11"/>
        <v>0</v>
      </c>
      <c r="T112" s="20">
        <v>4</v>
      </c>
      <c r="U112" s="20"/>
      <c r="V112" s="15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8">
        <v>300096</v>
      </c>
      <c r="B113" s="151" t="s">
        <v>110</v>
      </c>
      <c r="C113" s="219" t="s">
        <v>113</v>
      </c>
      <c r="D113" s="219" t="s">
        <v>114</v>
      </c>
      <c r="E113" s="164" t="s">
        <v>37</v>
      </c>
      <c r="F113" s="13"/>
      <c r="G113" s="110"/>
      <c r="H113" s="110"/>
      <c r="I113" s="110"/>
      <c r="J113" s="110"/>
      <c r="K113" s="162">
        <f t="shared" si="7"/>
        <v>0</v>
      </c>
      <c r="L113" s="162">
        <f t="shared" si="8"/>
        <v>0</v>
      </c>
      <c r="M113" s="162">
        <v>480.13</v>
      </c>
      <c r="N113" s="162">
        <f>+M113*1000/(126.5*4*12*60)*T113</f>
        <v>2.6357597716293371</v>
      </c>
      <c r="O113" s="162"/>
      <c r="P113" s="162">
        <f t="shared" si="9"/>
        <v>0</v>
      </c>
      <c r="Q113" s="162"/>
      <c r="R113" s="19">
        <f t="shared" si="10"/>
        <v>0</v>
      </c>
      <c r="S113" s="162">
        <f t="shared" si="11"/>
        <v>0</v>
      </c>
      <c r="T113" s="20">
        <v>2</v>
      </c>
      <c r="U113" s="20"/>
      <c r="V113" s="15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8"/>
      <c r="B114" s="151" t="s">
        <v>110</v>
      </c>
      <c r="C114" s="219" t="s">
        <v>113</v>
      </c>
      <c r="D114" s="219" t="s">
        <v>114</v>
      </c>
      <c r="E114" s="164" t="s">
        <v>35</v>
      </c>
      <c r="F114" s="13"/>
      <c r="G114" s="110"/>
      <c r="H114" s="110"/>
      <c r="I114" s="110"/>
      <c r="J114" s="110"/>
      <c r="K114" s="162">
        <f t="shared" si="7"/>
        <v>0</v>
      </c>
      <c r="L114" s="162">
        <f t="shared" si="8"/>
        <v>0</v>
      </c>
      <c r="M114" s="162">
        <v>480.13</v>
      </c>
      <c r="N114" s="162">
        <f>+M114*1000/(126.5*4*12*60)*T114</f>
        <v>2.6357597716293371</v>
      </c>
      <c r="O114" s="162"/>
      <c r="P114" s="162">
        <f t="shared" si="9"/>
        <v>0</v>
      </c>
      <c r="Q114" s="162"/>
      <c r="R114" s="19">
        <f t="shared" si="10"/>
        <v>0</v>
      </c>
      <c r="S114" s="162">
        <f t="shared" si="11"/>
        <v>0</v>
      </c>
      <c r="T114" s="20">
        <v>2</v>
      </c>
      <c r="U114" s="20"/>
      <c r="V114" s="15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8">
        <v>300097</v>
      </c>
      <c r="B115" s="151" t="s">
        <v>110</v>
      </c>
      <c r="C115" s="219" t="s">
        <v>113</v>
      </c>
      <c r="D115" s="219" t="s">
        <v>114</v>
      </c>
      <c r="E115" s="164" t="s">
        <v>63</v>
      </c>
      <c r="F115" s="13"/>
      <c r="G115" s="110"/>
      <c r="H115" s="110"/>
      <c r="I115" s="110"/>
      <c r="J115" s="110"/>
      <c r="K115" s="162">
        <f t="shared" si="7"/>
        <v>0</v>
      </c>
      <c r="L115" s="162">
        <f t="shared" si="8"/>
        <v>0</v>
      </c>
      <c r="M115" s="162">
        <v>480.13</v>
      </c>
      <c r="N115" s="162">
        <f>+M115*1000/(126.5*4*12*60)*T115</f>
        <v>2.6357597716293371</v>
      </c>
      <c r="O115" s="162"/>
      <c r="P115" s="162">
        <f t="shared" si="9"/>
        <v>0</v>
      </c>
      <c r="Q115" s="162"/>
      <c r="R115" s="19">
        <f t="shared" si="10"/>
        <v>0</v>
      </c>
      <c r="S115" s="162">
        <f t="shared" si="11"/>
        <v>0</v>
      </c>
      <c r="T115" s="20">
        <v>2</v>
      </c>
      <c r="U115" s="20"/>
      <c r="V115" s="15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1">
        <v>300294</v>
      </c>
      <c r="B116" s="151" t="s">
        <v>110</v>
      </c>
      <c r="C116" s="219" t="s">
        <v>115</v>
      </c>
      <c r="D116" s="219"/>
      <c r="E116" s="164" t="s">
        <v>41</v>
      </c>
      <c r="F116" s="27"/>
      <c r="G116" s="110"/>
      <c r="H116" s="110"/>
      <c r="I116" s="110"/>
      <c r="J116" s="110"/>
      <c r="K116" s="162">
        <f t="shared" si="7"/>
        <v>0</v>
      </c>
      <c r="L116" s="162">
        <f t="shared" si="8"/>
        <v>0</v>
      </c>
      <c r="M116" s="162">
        <v>373.14</v>
      </c>
      <c r="N116" s="162">
        <f t="shared" ref="N116:N125" si="13">+M116*1000/(90*4*14*60)*T116</f>
        <v>3.7017857142857142</v>
      </c>
      <c r="O116" s="162"/>
      <c r="P116" s="162">
        <f t="shared" si="9"/>
        <v>0</v>
      </c>
      <c r="Q116" s="162"/>
      <c r="R116" s="19">
        <f t="shared" si="10"/>
        <v>0</v>
      </c>
      <c r="S116" s="162">
        <f t="shared" si="11"/>
        <v>0</v>
      </c>
      <c r="T116" s="20">
        <v>3</v>
      </c>
      <c r="U116" s="20"/>
      <c r="V116" s="15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1">
        <v>300295</v>
      </c>
      <c r="B117" s="151" t="s">
        <v>116</v>
      </c>
      <c r="C117" s="219" t="s">
        <v>117</v>
      </c>
      <c r="D117" s="219"/>
      <c r="E117" s="164" t="s">
        <v>118</v>
      </c>
      <c r="F117" s="27"/>
      <c r="G117" s="110"/>
      <c r="H117" s="110"/>
      <c r="I117" s="110"/>
      <c r="J117" s="110"/>
      <c r="K117" s="162">
        <f t="shared" si="7"/>
        <v>0</v>
      </c>
      <c r="L117" s="162">
        <f t="shared" si="8"/>
        <v>0</v>
      </c>
      <c r="M117" s="162">
        <v>373.14</v>
      </c>
      <c r="N117" s="162">
        <f t="shared" si="13"/>
        <v>3.7017857142857142</v>
      </c>
      <c r="O117" s="162"/>
      <c r="P117" s="162">
        <f t="shared" si="9"/>
        <v>0</v>
      </c>
      <c r="Q117" s="162"/>
      <c r="R117" s="19">
        <f t="shared" si="10"/>
        <v>0</v>
      </c>
      <c r="S117" s="162">
        <f t="shared" si="11"/>
        <v>0</v>
      </c>
      <c r="T117" s="20">
        <v>3</v>
      </c>
      <c r="U117" s="20"/>
      <c r="V117" s="15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1">
        <v>300258</v>
      </c>
      <c r="B118" s="151" t="s">
        <v>110</v>
      </c>
      <c r="C118" s="219" t="s">
        <v>115</v>
      </c>
      <c r="D118" s="219"/>
      <c r="E118" s="164" t="s">
        <v>42</v>
      </c>
      <c r="F118" s="27"/>
      <c r="G118" s="110"/>
      <c r="H118" s="110"/>
      <c r="I118" s="110"/>
      <c r="J118" s="110"/>
      <c r="K118" s="162">
        <f t="shared" si="7"/>
        <v>0</v>
      </c>
      <c r="L118" s="162">
        <f t="shared" si="8"/>
        <v>0</v>
      </c>
      <c r="M118" s="162">
        <v>373.14</v>
      </c>
      <c r="N118" s="162">
        <f t="shared" si="13"/>
        <v>3.7017857142857142</v>
      </c>
      <c r="O118" s="162"/>
      <c r="P118" s="162">
        <f t="shared" si="9"/>
        <v>0</v>
      </c>
      <c r="Q118" s="162"/>
      <c r="R118" s="19">
        <f t="shared" si="10"/>
        <v>0</v>
      </c>
      <c r="S118" s="162">
        <f t="shared" si="11"/>
        <v>0</v>
      </c>
      <c r="T118" s="20">
        <v>3</v>
      </c>
      <c r="U118" s="20"/>
      <c r="V118" s="15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1">
        <v>300256</v>
      </c>
      <c r="B119" s="151" t="s">
        <v>110</v>
      </c>
      <c r="C119" s="219" t="s">
        <v>115</v>
      </c>
      <c r="D119" s="219"/>
      <c r="E119" s="164" t="s">
        <v>74</v>
      </c>
      <c r="F119" s="27"/>
      <c r="G119" s="110"/>
      <c r="H119" s="110"/>
      <c r="I119" s="110"/>
      <c r="J119" s="110"/>
      <c r="K119" s="162">
        <f t="shared" si="7"/>
        <v>0</v>
      </c>
      <c r="L119" s="162">
        <f t="shared" si="8"/>
        <v>0</v>
      </c>
      <c r="M119" s="162">
        <v>373.14</v>
      </c>
      <c r="N119" s="162">
        <f t="shared" si="13"/>
        <v>3.7017857142857142</v>
      </c>
      <c r="O119" s="162"/>
      <c r="P119" s="162">
        <f t="shared" si="9"/>
        <v>0</v>
      </c>
      <c r="Q119" s="162"/>
      <c r="R119" s="19">
        <f t="shared" si="10"/>
        <v>0</v>
      </c>
      <c r="S119" s="162">
        <f t="shared" si="11"/>
        <v>0</v>
      </c>
      <c r="T119" s="20">
        <v>3</v>
      </c>
      <c r="U119" s="20"/>
      <c r="V119" s="15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1">
        <v>300259</v>
      </c>
      <c r="B120" s="151" t="s">
        <v>110</v>
      </c>
      <c r="C120" s="219" t="s">
        <v>115</v>
      </c>
      <c r="D120" s="219"/>
      <c r="E120" s="164" t="s">
        <v>40</v>
      </c>
      <c r="F120" s="27"/>
      <c r="G120" s="110"/>
      <c r="H120" s="110"/>
      <c r="I120" s="110"/>
      <c r="J120" s="110"/>
      <c r="K120" s="162">
        <f t="shared" si="7"/>
        <v>0</v>
      </c>
      <c r="L120" s="162">
        <f t="shared" si="8"/>
        <v>0</v>
      </c>
      <c r="M120" s="162">
        <v>373.14</v>
      </c>
      <c r="N120" s="162">
        <f t="shared" si="13"/>
        <v>3.7017857142857142</v>
      </c>
      <c r="O120" s="162"/>
      <c r="P120" s="162">
        <f t="shared" si="9"/>
        <v>0</v>
      </c>
      <c r="Q120" s="162"/>
      <c r="R120" s="19">
        <f t="shared" si="10"/>
        <v>0</v>
      </c>
      <c r="S120" s="162">
        <f t="shared" si="11"/>
        <v>0</v>
      </c>
      <c r="T120" s="20">
        <v>3</v>
      </c>
      <c r="U120" s="20"/>
      <c r="V120" s="15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1">
        <v>300345</v>
      </c>
      <c r="B121" s="151" t="s">
        <v>110</v>
      </c>
      <c r="C121" s="219" t="s">
        <v>119</v>
      </c>
      <c r="D121" s="219"/>
      <c r="E121" s="164" t="s">
        <v>74</v>
      </c>
      <c r="F121" s="27"/>
      <c r="G121" s="41"/>
      <c r="H121" s="41"/>
      <c r="I121" s="41"/>
      <c r="J121" s="41"/>
      <c r="K121" s="162">
        <f t="shared" si="7"/>
        <v>0</v>
      </c>
      <c r="L121" s="162">
        <f t="shared" si="8"/>
        <v>0</v>
      </c>
      <c r="M121" s="162">
        <v>373.14</v>
      </c>
      <c r="N121" s="162">
        <f t="shared" si="13"/>
        <v>3.7017857142857142</v>
      </c>
      <c r="O121" s="41"/>
      <c r="P121" s="162">
        <f t="shared" si="9"/>
        <v>0</v>
      </c>
      <c r="Q121" s="41"/>
      <c r="R121" s="19">
        <f t="shared" si="10"/>
        <v>0</v>
      </c>
      <c r="S121" s="162">
        <f t="shared" si="11"/>
        <v>0</v>
      </c>
      <c r="T121" s="20">
        <v>3</v>
      </c>
      <c r="U121" s="41"/>
      <c r="V121" s="15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1">
        <v>300346</v>
      </c>
      <c r="B122" s="151" t="s">
        <v>110</v>
      </c>
      <c r="C122" s="219" t="s">
        <v>119</v>
      </c>
      <c r="D122" s="219"/>
      <c r="E122" s="164" t="s">
        <v>42</v>
      </c>
      <c r="F122" s="27"/>
      <c r="G122" s="41"/>
      <c r="H122" s="41"/>
      <c r="I122" s="41"/>
      <c r="J122" s="41"/>
      <c r="K122" s="162">
        <f t="shared" si="7"/>
        <v>0</v>
      </c>
      <c r="L122" s="162">
        <f t="shared" si="8"/>
        <v>0</v>
      </c>
      <c r="M122" s="162">
        <v>373.14</v>
      </c>
      <c r="N122" s="162">
        <f t="shared" si="13"/>
        <v>3.7017857142857142</v>
      </c>
      <c r="O122" s="41"/>
      <c r="P122" s="162">
        <f t="shared" si="9"/>
        <v>0</v>
      </c>
      <c r="Q122" s="41"/>
      <c r="R122" s="19">
        <f t="shared" si="10"/>
        <v>0</v>
      </c>
      <c r="S122" s="162">
        <f t="shared" si="11"/>
        <v>0</v>
      </c>
      <c r="T122" s="20">
        <v>3</v>
      </c>
      <c r="U122" s="41"/>
      <c r="V122" s="15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1">
        <v>300347</v>
      </c>
      <c r="B123" s="151" t="s">
        <v>110</v>
      </c>
      <c r="C123" s="219" t="s">
        <v>119</v>
      </c>
      <c r="D123" s="219"/>
      <c r="E123" s="164" t="s">
        <v>41</v>
      </c>
      <c r="F123" s="27"/>
      <c r="G123" s="41"/>
      <c r="H123" s="41"/>
      <c r="I123" s="41"/>
      <c r="J123" s="41"/>
      <c r="K123" s="162">
        <f t="shared" si="7"/>
        <v>0</v>
      </c>
      <c r="L123" s="162">
        <f t="shared" si="8"/>
        <v>0</v>
      </c>
      <c r="M123" s="162">
        <v>373.14</v>
      </c>
      <c r="N123" s="162">
        <f t="shared" si="13"/>
        <v>3.7017857142857142</v>
      </c>
      <c r="O123" s="41"/>
      <c r="P123" s="162">
        <f t="shared" si="9"/>
        <v>0</v>
      </c>
      <c r="Q123" s="41"/>
      <c r="R123" s="19">
        <f t="shared" si="10"/>
        <v>0</v>
      </c>
      <c r="S123" s="162">
        <f t="shared" si="11"/>
        <v>0</v>
      </c>
      <c r="T123" s="20">
        <v>3</v>
      </c>
      <c r="U123" s="41"/>
      <c r="V123" s="15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1">
        <v>300348</v>
      </c>
      <c r="B124" s="151" t="s">
        <v>110</v>
      </c>
      <c r="C124" s="219" t="s">
        <v>119</v>
      </c>
      <c r="D124" s="219"/>
      <c r="E124" s="164" t="s">
        <v>118</v>
      </c>
      <c r="F124" s="27"/>
      <c r="G124" s="41"/>
      <c r="H124" s="41"/>
      <c r="I124" s="41"/>
      <c r="J124" s="41"/>
      <c r="K124" s="162">
        <f t="shared" si="7"/>
        <v>0</v>
      </c>
      <c r="L124" s="162">
        <f t="shared" si="8"/>
        <v>0</v>
      </c>
      <c r="M124" s="162">
        <v>373.14</v>
      </c>
      <c r="N124" s="162">
        <f t="shared" si="13"/>
        <v>3.7017857142857142</v>
      </c>
      <c r="O124" s="41"/>
      <c r="P124" s="162">
        <f t="shared" si="9"/>
        <v>0</v>
      </c>
      <c r="Q124" s="41"/>
      <c r="R124" s="19">
        <f t="shared" si="10"/>
        <v>0</v>
      </c>
      <c r="S124" s="162">
        <f t="shared" si="11"/>
        <v>0</v>
      </c>
      <c r="T124" s="20">
        <v>3</v>
      </c>
      <c r="U124" s="41"/>
      <c r="V124" s="15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1">
        <v>300349</v>
      </c>
      <c r="B125" s="151" t="s">
        <v>110</v>
      </c>
      <c r="C125" s="219" t="s">
        <v>119</v>
      </c>
      <c r="D125" s="219"/>
      <c r="E125" s="164" t="s">
        <v>40</v>
      </c>
      <c r="F125" s="27"/>
      <c r="G125" s="41"/>
      <c r="H125" s="41"/>
      <c r="I125" s="41"/>
      <c r="J125" s="41"/>
      <c r="K125" s="162">
        <f t="shared" si="7"/>
        <v>0</v>
      </c>
      <c r="L125" s="162">
        <f t="shared" si="8"/>
        <v>0</v>
      </c>
      <c r="M125" s="162">
        <v>373.14</v>
      </c>
      <c r="N125" s="162">
        <f t="shared" si="13"/>
        <v>3.7017857142857142</v>
      </c>
      <c r="O125" s="41"/>
      <c r="P125" s="162">
        <f t="shared" si="9"/>
        <v>0</v>
      </c>
      <c r="Q125" s="41"/>
      <c r="R125" s="19">
        <f t="shared" si="10"/>
        <v>0</v>
      </c>
      <c r="S125" s="162">
        <f t="shared" si="11"/>
        <v>0</v>
      </c>
      <c r="T125" s="20">
        <v>3</v>
      </c>
      <c r="U125" s="41"/>
      <c r="V125" s="15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1">
        <v>300298</v>
      </c>
      <c r="B126" s="151" t="s">
        <v>110</v>
      </c>
      <c r="C126" s="219" t="s">
        <v>120</v>
      </c>
      <c r="D126" s="219"/>
      <c r="E126" s="164" t="s">
        <v>54</v>
      </c>
      <c r="F126" s="27"/>
      <c r="G126" s="110"/>
      <c r="H126" s="110"/>
      <c r="I126" s="110"/>
      <c r="J126" s="110"/>
      <c r="K126" s="162">
        <f t="shared" si="7"/>
        <v>0</v>
      </c>
      <c r="L126" s="162">
        <f t="shared" si="8"/>
        <v>0</v>
      </c>
      <c r="M126" s="162">
        <v>380.63</v>
      </c>
      <c r="N126" s="162">
        <f t="shared" ref="N126:N131" si="14">+M126*1000/(94.7*4*15*60)*T126</f>
        <v>4.4659157573624313</v>
      </c>
      <c r="O126" s="162"/>
      <c r="P126" s="162">
        <f t="shared" si="9"/>
        <v>0</v>
      </c>
      <c r="Q126" s="162"/>
      <c r="R126" s="19">
        <f t="shared" si="10"/>
        <v>0</v>
      </c>
      <c r="S126" s="162">
        <f t="shared" si="11"/>
        <v>0</v>
      </c>
      <c r="T126" s="20">
        <v>4</v>
      </c>
      <c r="U126" s="20"/>
      <c r="V126" s="15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1">
        <v>300299</v>
      </c>
      <c r="B127" s="151" t="s">
        <v>110</v>
      </c>
      <c r="C127" s="219" t="s">
        <v>120</v>
      </c>
      <c r="D127" s="219"/>
      <c r="E127" s="164" t="s">
        <v>39</v>
      </c>
      <c r="F127" s="27"/>
      <c r="G127" s="110"/>
      <c r="H127" s="110"/>
      <c r="I127" s="110"/>
      <c r="J127" s="110"/>
      <c r="K127" s="162">
        <f t="shared" si="7"/>
        <v>0</v>
      </c>
      <c r="L127" s="162">
        <f t="shared" si="8"/>
        <v>0</v>
      </c>
      <c r="M127" s="162">
        <v>380.63</v>
      </c>
      <c r="N127" s="162">
        <f t="shared" si="14"/>
        <v>4.4659157573624313</v>
      </c>
      <c r="O127" s="162"/>
      <c r="P127" s="162">
        <f t="shared" si="9"/>
        <v>0</v>
      </c>
      <c r="Q127" s="162"/>
      <c r="R127" s="19">
        <f t="shared" si="10"/>
        <v>0</v>
      </c>
      <c r="S127" s="162">
        <f t="shared" si="11"/>
        <v>0</v>
      </c>
      <c r="T127" s="20">
        <v>4</v>
      </c>
      <c r="U127" s="20"/>
      <c r="V127" s="15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1">
        <v>300296</v>
      </c>
      <c r="B128" s="151" t="s">
        <v>110</v>
      </c>
      <c r="C128" s="219" t="s">
        <v>120</v>
      </c>
      <c r="D128" s="219"/>
      <c r="E128" s="164" t="s">
        <v>41</v>
      </c>
      <c r="F128" s="27"/>
      <c r="G128" s="110"/>
      <c r="H128" s="110"/>
      <c r="I128" s="110"/>
      <c r="J128" s="110"/>
      <c r="K128" s="162">
        <f t="shared" si="7"/>
        <v>0</v>
      </c>
      <c r="L128" s="162">
        <f t="shared" si="8"/>
        <v>0</v>
      </c>
      <c r="M128" s="162">
        <v>380.63</v>
      </c>
      <c r="N128" s="162">
        <f t="shared" si="14"/>
        <v>4.4659157573624313</v>
      </c>
      <c r="O128" s="162"/>
      <c r="P128" s="162">
        <f t="shared" si="9"/>
        <v>0</v>
      </c>
      <c r="Q128" s="162"/>
      <c r="R128" s="19">
        <f t="shared" si="10"/>
        <v>0</v>
      </c>
      <c r="S128" s="162">
        <f t="shared" si="11"/>
        <v>0</v>
      </c>
      <c r="T128" s="20">
        <v>4</v>
      </c>
      <c r="U128" s="20"/>
      <c r="V128" s="15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1">
        <v>300297</v>
      </c>
      <c r="B129" s="151" t="s">
        <v>110</v>
      </c>
      <c r="C129" s="219" t="s">
        <v>120</v>
      </c>
      <c r="D129" s="219"/>
      <c r="E129" s="164" t="s">
        <v>37</v>
      </c>
      <c r="F129" s="27"/>
      <c r="G129" s="110"/>
      <c r="H129" s="110"/>
      <c r="I129" s="110"/>
      <c r="J129" s="110"/>
      <c r="K129" s="162">
        <f t="shared" si="7"/>
        <v>0</v>
      </c>
      <c r="L129" s="162">
        <f t="shared" si="8"/>
        <v>0</v>
      </c>
      <c r="M129" s="162">
        <v>380.63</v>
      </c>
      <c r="N129" s="162">
        <f t="shared" si="14"/>
        <v>4.4659157573624313</v>
      </c>
      <c r="O129" s="162"/>
      <c r="P129" s="162">
        <f t="shared" si="9"/>
        <v>0</v>
      </c>
      <c r="Q129" s="162"/>
      <c r="R129" s="19">
        <f t="shared" si="10"/>
        <v>0</v>
      </c>
      <c r="S129" s="162">
        <f t="shared" si="11"/>
        <v>0</v>
      </c>
      <c r="T129" s="20">
        <v>4</v>
      </c>
      <c r="U129" s="20"/>
      <c r="V129" s="15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1">
        <v>300340</v>
      </c>
      <c r="B130" s="151" t="s">
        <v>110</v>
      </c>
      <c r="C130" s="230" t="s">
        <v>121</v>
      </c>
      <c r="D130" s="231"/>
      <c r="E130" s="164" t="s">
        <v>41</v>
      </c>
      <c r="F130" s="27"/>
      <c r="G130" s="110"/>
      <c r="H130" s="110"/>
      <c r="I130" s="110"/>
      <c r="J130" s="110"/>
      <c r="K130" s="162">
        <f t="shared" si="7"/>
        <v>0</v>
      </c>
      <c r="L130" s="162">
        <f t="shared" si="8"/>
        <v>0</v>
      </c>
      <c r="M130" s="162">
        <v>325.60000000000002</v>
      </c>
      <c r="N130" s="162">
        <f t="shared" si="14"/>
        <v>3.8202510852986036</v>
      </c>
      <c r="O130" s="162"/>
      <c r="P130" s="162">
        <f t="shared" si="9"/>
        <v>0</v>
      </c>
      <c r="Q130" s="162"/>
      <c r="R130" s="19">
        <f t="shared" si="10"/>
        <v>0</v>
      </c>
      <c r="S130" s="162">
        <f t="shared" si="11"/>
        <v>0</v>
      </c>
      <c r="T130" s="20">
        <v>4</v>
      </c>
      <c r="U130" s="20"/>
      <c r="V130" s="15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1">
        <v>300339</v>
      </c>
      <c r="B131" s="151" t="s">
        <v>110</v>
      </c>
      <c r="C131" s="230" t="s">
        <v>121</v>
      </c>
      <c r="D131" s="231"/>
      <c r="E131" s="164" t="s">
        <v>39</v>
      </c>
      <c r="F131" s="27"/>
      <c r="G131" s="110"/>
      <c r="H131" s="110"/>
      <c r="I131" s="110"/>
      <c r="J131" s="110"/>
      <c r="K131" s="162">
        <f t="shared" si="7"/>
        <v>0</v>
      </c>
      <c r="L131" s="162">
        <f t="shared" si="8"/>
        <v>0</v>
      </c>
      <c r="M131" s="162">
        <v>325.60000000000002</v>
      </c>
      <c r="N131" s="162">
        <f t="shared" si="14"/>
        <v>3.8202510852986036</v>
      </c>
      <c r="O131" s="162"/>
      <c r="P131" s="162">
        <f t="shared" si="9"/>
        <v>0</v>
      </c>
      <c r="Q131" s="162"/>
      <c r="R131" s="19">
        <f t="shared" si="10"/>
        <v>0</v>
      </c>
      <c r="S131" s="162">
        <f t="shared" si="11"/>
        <v>0</v>
      </c>
      <c r="T131" s="20">
        <v>4</v>
      </c>
      <c r="U131" s="20"/>
      <c r="V131" s="15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1">
        <v>300303</v>
      </c>
      <c r="B132" s="151" t="s">
        <v>110</v>
      </c>
      <c r="C132" s="219" t="s">
        <v>122</v>
      </c>
      <c r="D132" s="219" t="s">
        <v>123</v>
      </c>
      <c r="E132" s="164" t="s">
        <v>57</v>
      </c>
      <c r="F132" s="27"/>
      <c r="G132" s="110"/>
      <c r="H132" s="110"/>
      <c r="I132" s="110"/>
      <c r="J132" s="110"/>
      <c r="K132" s="162">
        <f t="shared" si="7"/>
        <v>0</v>
      </c>
      <c r="L132" s="162">
        <f t="shared" si="8"/>
        <v>0</v>
      </c>
      <c r="M132" s="162">
        <v>396.92</v>
      </c>
      <c r="N132" s="162">
        <f>+M132*1000/(113.8*4*15*60)*T132</f>
        <v>4.8442686975200155</v>
      </c>
      <c r="O132" s="162"/>
      <c r="P132" s="162">
        <f t="shared" si="9"/>
        <v>0</v>
      </c>
      <c r="Q132" s="162"/>
      <c r="R132" s="19">
        <f t="shared" si="10"/>
        <v>0</v>
      </c>
      <c r="S132" s="162">
        <f t="shared" si="11"/>
        <v>0</v>
      </c>
      <c r="T132" s="20">
        <v>5</v>
      </c>
      <c r="U132" s="20"/>
      <c r="V132" s="15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1">
        <v>300302</v>
      </c>
      <c r="B133" s="151" t="s">
        <v>110</v>
      </c>
      <c r="C133" s="219" t="s">
        <v>122</v>
      </c>
      <c r="D133" s="219" t="s">
        <v>123</v>
      </c>
      <c r="E133" s="164" t="s">
        <v>109</v>
      </c>
      <c r="F133" s="27"/>
      <c r="G133" s="110"/>
      <c r="H133" s="110"/>
      <c r="I133" s="110"/>
      <c r="J133" s="110"/>
      <c r="K133" s="162">
        <f t="shared" si="7"/>
        <v>0</v>
      </c>
      <c r="L133" s="162">
        <f t="shared" si="8"/>
        <v>0</v>
      </c>
      <c r="M133" s="162">
        <v>396.06</v>
      </c>
      <c r="N133" s="162">
        <f>+M133*1000/(113.8*4*15*60)*T133</f>
        <v>4.8337727006444053</v>
      </c>
      <c r="O133" s="162"/>
      <c r="P133" s="162">
        <f t="shared" si="9"/>
        <v>0</v>
      </c>
      <c r="Q133" s="162"/>
      <c r="R133" s="19">
        <f t="shared" si="10"/>
        <v>0</v>
      </c>
      <c r="S133" s="162">
        <f t="shared" si="11"/>
        <v>0</v>
      </c>
      <c r="T133" s="20">
        <v>5</v>
      </c>
      <c r="U133" s="20"/>
      <c r="V133" s="15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1">
        <v>300301</v>
      </c>
      <c r="B134" s="151" t="s">
        <v>110</v>
      </c>
      <c r="C134" s="219" t="s">
        <v>122</v>
      </c>
      <c r="D134" s="219" t="s">
        <v>123</v>
      </c>
      <c r="E134" s="164" t="s">
        <v>124</v>
      </c>
      <c r="F134" s="27"/>
      <c r="G134" s="110"/>
      <c r="H134" s="110"/>
      <c r="I134" s="110"/>
      <c r="J134" s="110"/>
      <c r="K134" s="162">
        <f t="shared" si="7"/>
        <v>0</v>
      </c>
      <c r="L134" s="162">
        <f t="shared" si="8"/>
        <v>0</v>
      </c>
      <c r="M134" s="162">
        <v>401.25</v>
      </c>
      <c r="N134" s="162">
        <f>+M134*1000/(113.8*4*15*60)*T134</f>
        <v>4.8971148213239601</v>
      </c>
      <c r="O134" s="162"/>
      <c r="P134" s="162">
        <f t="shared" si="9"/>
        <v>0</v>
      </c>
      <c r="Q134" s="162"/>
      <c r="R134" s="19">
        <f t="shared" si="10"/>
        <v>0</v>
      </c>
      <c r="S134" s="162">
        <f t="shared" si="11"/>
        <v>0</v>
      </c>
      <c r="T134" s="20">
        <v>5</v>
      </c>
      <c r="U134" s="20"/>
      <c r="V134" s="15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8">
        <v>300304</v>
      </c>
      <c r="B135" s="151" t="s">
        <v>110</v>
      </c>
      <c r="C135" s="219" t="s">
        <v>122</v>
      </c>
      <c r="D135" s="219"/>
      <c r="E135" s="164" t="s">
        <v>125</v>
      </c>
      <c r="F135" s="27"/>
      <c r="G135" s="110"/>
      <c r="H135" s="110"/>
      <c r="I135" s="110"/>
      <c r="J135" s="110"/>
      <c r="K135" s="162">
        <f t="shared" si="7"/>
        <v>0</v>
      </c>
      <c r="L135" s="162">
        <f t="shared" si="8"/>
        <v>0</v>
      </c>
      <c r="M135" s="162">
        <v>401.25</v>
      </c>
      <c r="N135" s="162">
        <f>+M135*1000/(113.8*4*15*60)*T135</f>
        <v>4.8971148213239601</v>
      </c>
      <c r="O135" s="162"/>
      <c r="P135" s="162">
        <f t="shared" si="9"/>
        <v>0</v>
      </c>
      <c r="Q135" s="162"/>
      <c r="R135" s="19">
        <f t="shared" si="10"/>
        <v>0</v>
      </c>
      <c r="S135" s="162">
        <f t="shared" si="11"/>
        <v>0</v>
      </c>
      <c r="T135" s="20">
        <v>5</v>
      </c>
      <c r="U135" s="20"/>
      <c r="V135" s="15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8">
        <v>300300</v>
      </c>
      <c r="B136" s="151" t="s">
        <v>110</v>
      </c>
      <c r="C136" s="219" t="s">
        <v>122</v>
      </c>
      <c r="D136" s="219" t="s">
        <v>123</v>
      </c>
      <c r="E136" s="164" t="s">
        <v>54</v>
      </c>
      <c r="F136" s="27"/>
      <c r="G136" s="110"/>
      <c r="H136" s="110"/>
      <c r="I136" s="110"/>
      <c r="J136" s="110"/>
      <c r="K136" s="162">
        <f t="shared" si="7"/>
        <v>0</v>
      </c>
      <c r="L136" s="162">
        <f t="shared" si="8"/>
        <v>0</v>
      </c>
      <c r="M136" s="162">
        <v>399.07</v>
      </c>
      <c r="N136" s="162">
        <f>+M136*1000/(113.8*4*15*60)*T136</f>
        <v>4.8705086897090411</v>
      </c>
      <c r="O136" s="162"/>
      <c r="P136" s="162">
        <f t="shared" si="9"/>
        <v>0</v>
      </c>
      <c r="Q136" s="162"/>
      <c r="R136" s="19">
        <f t="shared" si="10"/>
        <v>0</v>
      </c>
      <c r="S136" s="162">
        <f t="shared" si="11"/>
        <v>0</v>
      </c>
      <c r="T136" s="20">
        <v>5</v>
      </c>
      <c r="U136" s="20"/>
      <c r="V136" s="15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8">
        <v>300085</v>
      </c>
      <c r="B137" s="151">
        <v>6503</v>
      </c>
      <c r="C137" s="219" t="s">
        <v>126</v>
      </c>
      <c r="D137" s="219" t="s">
        <v>123</v>
      </c>
      <c r="E137" s="164" t="s">
        <v>127</v>
      </c>
      <c r="F137" s="27"/>
      <c r="G137" s="110"/>
      <c r="H137" s="110"/>
      <c r="I137" s="110"/>
      <c r="J137" s="110"/>
      <c r="K137" s="162">
        <f t="shared" si="7"/>
        <v>0</v>
      </c>
      <c r="L137" s="162">
        <f t="shared" si="8"/>
        <v>0</v>
      </c>
      <c r="M137" s="162">
        <v>394.3</v>
      </c>
      <c r="N137" s="162">
        <f>+M137*1000/(104.2*4*15*60)*T137</f>
        <v>6.3067818298144598</v>
      </c>
      <c r="O137" s="162"/>
      <c r="P137" s="162">
        <f t="shared" si="9"/>
        <v>0</v>
      </c>
      <c r="Q137" s="162"/>
      <c r="R137" s="19">
        <f t="shared" si="10"/>
        <v>0</v>
      </c>
      <c r="S137" s="162">
        <f t="shared" si="11"/>
        <v>0</v>
      </c>
      <c r="T137" s="20">
        <v>6</v>
      </c>
      <c r="U137" s="20"/>
      <c r="V137" s="15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8">
        <v>300087</v>
      </c>
      <c r="B138" s="151" t="s">
        <v>110</v>
      </c>
      <c r="C138" s="219" t="s">
        <v>126</v>
      </c>
      <c r="D138" s="219" t="s">
        <v>123</v>
      </c>
      <c r="E138" s="164" t="s">
        <v>80</v>
      </c>
      <c r="F138" s="27"/>
      <c r="G138" s="110"/>
      <c r="H138" s="110"/>
      <c r="I138" s="110"/>
      <c r="J138" s="110"/>
      <c r="K138" s="162">
        <f t="shared" si="7"/>
        <v>0</v>
      </c>
      <c r="L138" s="162">
        <f t="shared" si="8"/>
        <v>0</v>
      </c>
      <c r="M138" s="162">
        <v>380.1</v>
      </c>
      <c r="N138" s="162">
        <f>+M138*1000/(104.2*4*16*60)*T138</f>
        <v>4.7497300863723604</v>
      </c>
      <c r="O138" s="162"/>
      <c r="P138" s="162">
        <f t="shared" si="9"/>
        <v>0</v>
      </c>
      <c r="Q138" s="162"/>
      <c r="R138" s="19">
        <f t="shared" si="10"/>
        <v>0</v>
      </c>
      <c r="S138" s="162">
        <f t="shared" si="11"/>
        <v>0</v>
      </c>
      <c r="T138" s="20">
        <v>5</v>
      </c>
      <c r="U138" s="20"/>
      <c r="V138" s="15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8">
        <v>300387</v>
      </c>
      <c r="B139" s="151" t="s">
        <v>128</v>
      </c>
      <c r="C139" s="230" t="s">
        <v>129</v>
      </c>
      <c r="D139" s="231"/>
      <c r="E139" s="164" t="s">
        <v>57</v>
      </c>
      <c r="F139" s="27"/>
      <c r="G139" s="110"/>
      <c r="H139" s="110"/>
      <c r="I139" s="110"/>
      <c r="J139" s="110"/>
      <c r="K139" s="162">
        <f t="shared" si="7"/>
        <v>0</v>
      </c>
      <c r="L139" s="162">
        <f t="shared" si="8"/>
        <v>0</v>
      </c>
      <c r="M139" s="162">
        <v>352.29</v>
      </c>
      <c r="N139" s="162">
        <f>+M139*1000/(104.2*4*16*60)*T139</f>
        <v>4.4022162907869484</v>
      </c>
      <c r="O139" s="162"/>
      <c r="P139" s="162">
        <f t="shared" si="9"/>
        <v>0</v>
      </c>
      <c r="Q139" s="162"/>
      <c r="R139" s="19">
        <f t="shared" si="10"/>
        <v>0</v>
      </c>
      <c r="S139" s="162">
        <f t="shared" si="11"/>
        <v>0</v>
      </c>
      <c r="T139" s="20">
        <v>5</v>
      </c>
      <c r="U139" s="20"/>
      <c r="V139" s="15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8">
        <v>300388</v>
      </c>
      <c r="B140" s="151" t="s">
        <v>130</v>
      </c>
      <c r="C140" s="230" t="s">
        <v>129</v>
      </c>
      <c r="D140" s="231"/>
      <c r="E140" s="164" t="s">
        <v>109</v>
      </c>
      <c r="F140" s="27"/>
      <c r="G140" s="110"/>
      <c r="H140" s="110"/>
      <c r="I140" s="110"/>
      <c r="J140" s="110"/>
      <c r="K140" s="162">
        <f t="shared" si="7"/>
        <v>0</v>
      </c>
      <c r="L140" s="162">
        <f t="shared" si="8"/>
        <v>0</v>
      </c>
      <c r="M140" s="162">
        <v>352.29</v>
      </c>
      <c r="N140" s="162">
        <f>+M140*1000/(104.2*4*16*60)*T140</f>
        <v>4.4022162907869484</v>
      </c>
      <c r="O140" s="162"/>
      <c r="P140" s="162">
        <f t="shared" si="9"/>
        <v>0</v>
      </c>
      <c r="Q140" s="162"/>
      <c r="R140" s="19">
        <f t="shared" si="10"/>
        <v>0</v>
      </c>
      <c r="S140" s="162">
        <f t="shared" si="11"/>
        <v>0</v>
      </c>
      <c r="T140" s="20">
        <v>5</v>
      </c>
      <c r="U140" s="20"/>
      <c r="V140" s="15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8">
        <v>300123</v>
      </c>
      <c r="B141" s="151" t="s">
        <v>110</v>
      </c>
      <c r="C141" s="219" t="s">
        <v>131</v>
      </c>
      <c r="D141" s="219" t="s">
        <v>132</v>
      </c>
      <c r="E141" s="164" t="s">
        <v>127</v>
      </c>
      <c r="F141" s="27"/>
      <c r="G141" s="110"/>
      <c r="H141" s="110"/>
      <c r="I141" s="110"/>
      <c r="J141" s="110"/>
      <c r="K141" s="162">
        <f t="shared" si="7"/>
        <v>0</v>
      </c>
      <c r="L141" s="162">
        <f t="shared" si="8"/>
        <v>0</v>
      </c>
      <c r="M141" s="162">
        <v>557</v>
      </c>
      <c r="N141" s="162">
        <f>+M141*1000/(126.5*4*15*60)*T141</f>
        <v>6.1155028546332888</v>
      </c>
      <c r="O141" s="162"/>
      <c r="P141" s="162">
        <f t="shared" si="9"/>
        <v>0</v>
      </c>
      <c r="Q141" s="162"/>
      <c r="R141" s="19">
        <f t="shared" si="10"/>
        <v>0</v>
      </c>
      <c r="S141" s="162">
        <f t="shared" si="11"/>
        <v>0</v>
      </c>
      <c r="T141" s="20">
        <v>5</v>
      </c>
      <c r="U141" s="20"/>
      <c r="V141" s="15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8">
        <v>300270</v>
      </c>
      <c r="B142" s="151" t="s">
        <v>110</v>
      </c>
      <c r="C142" s="219" t="s">
        <v>133</v>
      </c>
      <c r="D142" s="219"/>
      <c r="E142" s="164" t="s">
        <v>134</v>
      </c>
      <c r="F142" s="27"/>
      <c r="G142" s="110"/>
      <c r="H142" s="110"/>
      <c r="I142" s="110"/>
      <c r="J142" s="110"/>
      <c r="K142" s="162">
        <f t="shared" si="7"/>
        <v>0</v>
      </c>
      <c r="L142" s="162">
        <f t="shared" si="8"/>
        <v>0</v>
      </c>
      <c r="M142" s="162">
        <v>485.7</v>
      </c>
      <c r="N142" s="162">
        <f>+M142*1000/(126.5*4*15*60)*T142</f>
        <v>4.2661396574440049</v>
      </c>
      <c r="O142" s="162"/>
      <c r="P142" s="162">
        <f t="shared" si="9"/>
        <v>0</v>
      </c>
      <c r="Q142" s="162"/>
      <c r="R142" s="19">
        <f t="shared" si="10"/>
        <v>0</v>
      </c>
      <c r="S142" s="162">
        <f t="shared" si="11"/>
        <v>0</v>
      </c>
      <c r="T142" s="20">
        <v>4</v>
      </c>
      <c r="U142" s="20"/>
      <c r="V142" s="15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8">
        <v>300336</v>
      </c>
      <c r="B143" s="151" t="s">
        <v>128</v>
      </c>
      <c r="C143" s="219" t="s">
        <v>135</v>
      </c>
      <c r="D143" s="219"/>
      <c r="E143" s="164" t="s">
        <v>84</v>
      </c>
      <c r="F143" s="27"/>
      <c r="G143" s="110"/>
      <c r="H143" s="110"/>
      <c r="I143" s="110"/>
      <c r="J143" s="110"/>
      <c r="K143" s="162">
        <f t="shared" si="7"/>
        <v>0</v>
      </c>
      <c r="L143" s="162">
        <f t="shared" si="8"/>
        <v>0</v>
      </c>
      <c r="M143" s="162">
        <v>411.4</v>
      </c>
      <c r="N143" s="162">
        <f>+M143*1000/(104.2*4*16*60)*T143</f>
        <v>2.0563419705694179</v>
      </c>
      <c r="O143" s="162"/>
      <c r="P143" s="162">
        <f t="shared" si="9"/>
        <v>0</v>
      </c>
      <c r="Q143" s="162"/>
      <c r="R143" s="19">
        <f t="shared" si="10"/>
        <v>0</v>
      </c>
      <c r="S143" s="162">
        <f t="shared" si="11"/>
        <v>0</v>
      </c>
      <c r="T143" s="20">
        <v>2</v>
      </c>
      <c r="U143" s="20"/>
      <c r="V143" s="15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8">
        <v>300337</v>
      </c>
      <c r="B144" s="151" t="s">
        <v>130</v>
      </c>
      <c r="C144" s="219" t="s">
        <v>135</v>
      </c>
      <c r="D144" s="219"/>
      <c r="E144" s="164" t="s">
        <v>49</v>
      </c>
      <c r="F144" s="27"/>
      <c r="G144" s="110"/>
      <c r="H144" s="110"/>
      <c r="I144" s="110"/>
      <c r="J144" s="110"/>
      <c r="K144" s="162">
        <f t="shared" si="7"/>
        <v>0</v>
      </c>
      <c r="L144" s="162">
        <f t="shared" si="8"/>
        <v>0</v>
      </c>
      <c r="M144" s="162">
        <v>411.4</v>
      </c>
      <c r="N144" s="162">
        <f>+M144*1000/(104.2*4*16*60)*T144</f>
        <v>2.0563419705694179</v>
      </c>
      <c r="O144" s="162"/>
      <c r="P144" s="162">
        <f t="shared" si="9"/>
        <v>0</v>
      </c>
      <c r="Q144" s="162"/>
      <c r="R144" s="19">
        <f t="shared" si="10"/>
        <v>0</v>
      </c>
      <c r="S144" s="162">
        <f t="shared" si="11"/>
        <v>0</v>
      </c>
      <c r="T144" s="20">
        <v>2</v>
      </c>
      <c r="U144" s="20"/>
      <c r="V144" s="15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8">
        <v>300338</v>
      </c>
      <c r="B145" s="151" t="s">
        <v>136</v>
      </c>
      <c r="C145" s="219" t="s">
        <v>135</v>
      </c>
      <c r="D145" s="219"/>
      <c r="E145" s="164" t="s">
        <v>85</v>
      </c>
      <c r="F145" s="27"/>
      <c r="G145" s="110"/>
      <c r="H145" s="110"/>
      <c r="I145" s="110"/>
      <c r="J145" s="110"/>
      <c r="K145" s="162">
        <f t="shared" si="7"/>
        <v>0</v>
      </c>
      <c r="L145" s="162">
        <f t="shared" si="8"/>
        <v>0</v>
      </c>
      <c r="M145" s="162">
        <v>411.4</v>
      </c>
      <c r="N145" s="162">
        <f>+M145*1000/(104.2*4*16*60)*T145</f>
        <v>2.0563419705694179</v>
      </c>
      <c r="O145" s="162"/>
      <c r="P145" s="162">
        <f t="shared" si="9"/>
        <v>0</v>
      </c>
      <c r="Q145" s="162"/>
      <c r="R145" s="19">
        <f t="shared" si="10"/>
        <v>0</v>
      </c>
      <c r="S145" s="162">
        <f t="shared" si="11"/>
        <v>0</v>
      </c>
      <c r="T145" s="20">
        <v>2</v>
      </c>
      <c r="U145" s="20"/>
      <c r="V145" s="15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8">
        <v>300309</v>
      </c>
      <c r="B146" s="151">
        <v>6504</v>
      </c>
      <c r="C146" s="219" t="s">
        <v>137</v>
      </c>
      <c r="D146" s="219"/>
      <c r="E146" s="164" t="s">
        <v>47</v>
      </c>
      <c r="F146" s="27"/>
      <c r="G146" s="110"/>
      <c r="H146" s="110"/>
      <c r="I146" s="110"/>
      <c r="J146" s="110"/>
      <c r="K146" s="162">
        <f t="shared" si="7"/>
        <v>0</v>
      </c>
      <c r="L146" s="162">
        <f t="shared" si="8"/>
        <v>0</v>
      </c>
      <c r="M146" s="162">
        <v>316.88</v>
      </c>
      <c r="N146" s="15">
        <f>+M146*1000/(75.2*4*16*60)*T146</f>
        <v>6.5841090425531918</v>
      </c>
      <c r="O146" s="162"/>
      <c r="P146" s="162">
        <f t="shared" si="9"/>
        <v>0</v>
      </c>
      <c r="Q146" s="162"/>
      <c r="R146" s="19">
        <f t="shared" si="10"/>
        <v>0</v>
      </c>
      <c r="S146" s="162">
        <f t="shared" si="11"/>
        <v>0</v>
      </c>
      <c r="T146" s="20">
        <v>6</v>
      </c>
      <c r="U146" s="20"/>
      <c r="V146" s="15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8">
        <v>300310</v>
      </c>
      <c r="B147" s="151">
        <v>6504</v>
      </c>
      <c r="C147" s="219" t="s">
        <v>137</v>
      </c>
      <c r="D147" s="219"/>
      <c r="E147" s="164" t="s">
        <v>138</v>
      </c>
      <c r="F147" s="27"/>
      <c r="G147" s="110"/>
      <c r="H147" s="110"/>
      <c r="I147" s="110"/>
      <c r="J147" s="110"/>
      <c r="K147" s="162">
        <f t="shared" si="7"/>
        <v>0</v>
      </c>
      <c r="L147" s="162">
        <f t="shared" si="8"/>
        <v>0</v>
      </c>
      <c r="M147" s="162">
        <v>316.88</v>
      </c>
      <c r="N147" s="15">
        <f>+M147*1000/(75.2*4*16*60)*T147</f>
        <v>6.5841090425531918</v>
      </c>
      <c r="O147" s="162"/>
      <c r="P147" s="162">
        <f t="shared" si="9"/>
        <v>0</v>
      </c>
      <c r="Q147" s="162"/>
      <c r="R147" s="19">
        <f t="shared" si="10"/>
        <v>0</v>
      </c>
      <c r="S147" s="162">
        <f t="shared" si="11"/>
        <v>0</v>
      </c>
      <c r="T147" s="20">
        <v>6</v>
      </c>
      <c r="U147" s="20"/>
      <c r="V147" s="15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8">
        <v>300312</v>
      </c>
      <c r="B148" s="151">
        <v>6504</v>
      </c>
      <c r="C148" s="219" t="s">
        <v>137</v>
      </c>
      <c r="D148" s="219"/>
      <c r="E148" s="164" t="s">
        <v>139</v>
      </c>
      <c r="F148" s="27"/>
      <c r="G148" s="110"/>
      <c r="H148" s="110"/>
      <c r="I148" s="110"/>
      <c r="J148" s="110"/>
      <c r="K148" s="162">
        <f t="shared" si="7"/>
        <v>0</v>
      </c>
      <c r="L148" s="162">
        <f t="shared" si="8"/>
        <v>0</v>
      </c>
      <c r="M148" s="162">
        <v>316.88</v>
      </c>
      <c r="N148" s="15">
        <f>+M148*1000/(75.2*4*16*60)*T148</f>
        <v>6.5841090425531918</v>
      </c>
      <c r="O148" s="162"/>
      <c r="P148" s="162">
        <f t="shared" si="9"/>
        <v>0</v>
      </c>
      <c r="Q148" s="162"/>
      <c r="R148" s="19">
        <f t="shared" si="10"/>
        <v>0</v>
      </c>
      <c r="S148" s="162">
        <f t="shared" si="11"/>
        <v>0</v>
      </c>
      <c r="T148" s="20">
        <v>6</v>
      </c>
      <c r="U148" s="20"/>
      <c r="V148" s="15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8">
        <v>300311</v>
      </c>
      <c r="B149" s="151">
        <v>6504</v>
      </c>
      <c r="C149" s="230" t="s">
        <v>137</v>
      </c>
      <c r="D149" s="231"/>
      <c r="E149" s="164" t="s">
        <v>74</v>
      </c>
      <c r="F149" s="27"/>
      <c r="G149" s="110"/>
      <c r="H149" s="110"/>
      <c r="I149" s="110"/>
      <c r="J149" s="110"/>
      <c r="K149" s="162">
        <f t="shared" si="7"/>
        <v>0</v>
      </c>
      <c r="L149" s="162">
        <f t="shared" si="8"/>
        <v>0</v>
      </c>
      <c r="M149" s="162">
        <v>316.88</v>
      </c>
      <c r="N149" s="15">
        <f>+M149*1000/(75.2*4*16*60)*T149</f>
        <v>6.5841090425531918</v>
      </c>
      <c r="O149" s="162"/>
      <c r="P149" s="162">
        <f t="shared" si="9"/>
        <v>0</v>
      </c>
      <c r="Q149" s="162"/>
      <c r="R149" s="19">
        <f t="shared" si="10"/>
        <v>0</v>
      </c>
      <c r="S149" s="162">
        <f t="shared" si="11"/>
        <v>0</v>
      </c>
      <c r="T149" s="20">
        <v>6</v>
      </c>
      <c r="U149" s="20"/>
      <c r="V149" s="15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8">
        <v>300399</v>
      </c>
      <c r="B150" s="15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62">
        <f t="shared" si="7"/>
        <v>0</v>
      </c>
      <c r="L150" s="162">
        <f t="shared" si="8"/>
        <v>0</v>
      </c>
      <c r="M150" s="162">
        <v>311.2</v>
      </c>
      <c r="N150" s="40">
        <f>+M150*1000/(100*4*16*60)*T150</f>
        <v>4.8624999999999998</v>
      </c>
      <c r="O150" s="162"/>
      <c r="P150" s="162">
        <f t="shared" si="9"/>
        <v>0</v>
      </c>
      <c r="Q150" s="162"/>
      <c r="R150" s="19">
        <f t="shared" si="10"/>
        <v>0</v>
      </c>
      <c r="S150" s="162">
        <f t="shared" si="11"/>
        <v>0</v>
      </c>
      <c r="T150" s="43">
        <v>6</v>
      </c>
      <c r="U150" s="20"/>
      <c r="V150" s="15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8">
        <v>300400</v>
      </c>
      <c r="B151" s="15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62">
        <f t="shared" si="7"/>
        <v>0</v>
      </c>
      <c r="L151" s="162">
        <f t="shared" si="8"/>
        <v>0</v>
      </c>
      <c r="M151" s="162">
        <v>311.2</v>
      </c>
      <c r="N151" s="40">
        <f>+M151*1000/(100*4*16*60)*T151</f>
        <v>4.8624999999999998</v>
      </c>
      <c r="O151" s="162"/>
      <c r="P151" s="162">
        <f t="shared" si="9"/>
        <v>0</v>
      </c>
      <c r="Q151" s="162"/>
      <c r="R151" s="19">
        <f t="shared" si="10"/>
        <v>0</v>
      </c>
      <c r="S151" s="162">
        <f t="shared" si="11"/>
        <v>0</v>
      </c>
      <c r="T151" s="43">
        <v>6</v>
      </c>
      <c r="U151" s="20"/>
      <c r="V151" s="15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8">
        <v>300401</v>
      </c>
      <c r="B152" s="15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62">
        <f t="shared" si="7"/>
        <v>0</v>
      </c>
      <c r="L152" s="162">
        <f t="shared" si="8"/>
        <v>0</v>
      </c>
      <c r="M152" s="162">
        <v>311.2</v>
      </c>
      <c r="N152" s="40">
        <f>+M152*1000/(100*4*16*60)*T152</f>
        <v>4.8624999999999998</v>
      </c>
      <c r="O152" s="162"/>
      <c r="P152" s="162">
        <f t="shared" si="9"/>
        <v>0</v>
      </c>
      <c r="Q152" s="162"/>
      <c r="R152" s="19">
        <f t="shared" si="10"/>
        <v>0</v>
      </c>
      <c r="S152" s="162">
        <f t="shared" si="11"/>
        <v>0</v>
      </c>
      <c r="T152" s="43">
        <v>6</v>
      </c>
      <c r="U152" s="20"/>
      <c r="V152" s="15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8">
        <v>300402</v>
      </c>
      <c r="B153" s="15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62">
        <f t="shared" si="7"/>
        <v>0</v>
      </c>
      <c r="L153" s="162">
        <f t="shared" si="8"/>
        <v>0</v>
      </c>
      <c r="M153" s="162">
        <v>465.3</v>
      </c>
      <c r="N153" s="40">
        <f>+M153*1000/(137*4*16*60)*T153</f>
        <v>5.3067974452554747</v>
      </c>
      <c r="O153" s="162"/>
      <c r="P153" s="162">
        <f t="shared" si="9"/>
        <v>0</v>
      </c>
      <c r="Q153" s="162"/>
      <c r="R153" s="19">
        <f t="shared" si="10"/>
        <v>0</v>
      </c>
      <c r="S153" s="162">
        <f t="shared" si="11"/>
        <v>0</v>
      </c>
      <c r="T153" s="43">
        <v>6</v>
      </c>
      <c r="U153" s="20"/>
      <c r="V153" s="15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8">
        <v>300403</v>
      </c>
      <c r="B154" s="15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62">
        <f t="shared" ref="K154:K190" si="15">G154*M154</f>
        <v>0</v>
      </c>
      <c r="L154" s="162">
        <f t="shared" ref="L154:L190" si="16">I154*M154</f>
        <v>0</v>
      </c>
      <c r="M154" s="162">
        <v>465.3</v>
      </c>
      <c r="N154" s="40">
        <f>+M154*1000/(137*4*16*60)*T154</f>
        <v>5.3067974452554747</v>
      </c>
      <c r="O154" s="162"/>
      <c r="P154" s="162">
        <f t="shared" ref="P154:P190" si="17">N154*I154+O154*U154</f>
        <v>0</v>
      </c>
      <c r="Q154" s="162"/>
      <c r="R154" s="19">
        <f t="shared" ref="R154:R190" si="18">Q154*U154</f>
        <v>0</v>
      </c>
      <c r="S154" s="162">
        <f t="shared" ref="S154:S190" si="19">R154-P154</f>
        <v>0</v>
      </c>
      <c r="T154" s="43">
        <v>6</v>
      </c>
      <c r="U154" s="20"/>
      <c r="V154" s="15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8">
        <v>300404</v>
      </c>
      <c r="B155" s="15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62">
        <f t="shared" si="15"/>
        <v>0</v>
      </c>
      <c r="L155" s="162">
        <f t="shared" si="16"/>
        <v>0</v>
      </c>
      <c r="M155" s="162">
        <v>465.3</v>
      </c>
      <c r="N155" s="40">
        <f>+M155*1000/(137*4*16*60)*T155</f>
        <v>5.3067974452554747</v>
      </c>
      <c r="O155" s="162"/>
      <c r="P155" s="162">
        <f t="shared" si="17"/>
        <v>0</v>
      </c>
      <c r="Q155" s="162"/>
      <c r="R155" s="19">
        <f t="shared" si="18"/>
        <v>0</v>
      </c>
      <c r="S155" s="162">
        <f t="shared" si="19"/>
        <v>0</v>
      </c>
      <c r="T155" s="43">
        <v>6</v>
      </c>
      <c r="U155" s="20"/>
      <c r="V155" s="15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8">
        <v>300405</v>
      </c>
      <c r="B156" s="15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62">
        <f t="shared" si="15"/>
        <v>0</v>
      </c>
      <c r="L156" s="162">
        <f t="shared" si="16"/>
        <v>0</v>
      </c>
      <c r="M156" s="162">
        <v>465.3</v>
      </c>
      <c r="N156" s="40">
        <f>+M156*1000/(137*4*16*60)*T156</f>
        <v>5.3067974452554747</v>
      </c>
      <c r="O156" s="162"/>
      <c r="P156" s="162">
        <f t="shared" si="17"/>
        <v>0</v>
      </c>
      <c r="Q156" s="162"/>
      <c r="R156" s="19">
        <f t="shared" si="18"/>
        <v>0</v>
      </c>
      <c r="S156" s="162">
        <f t="shared" si="19"/>
        <v>0</v>
      </c>
      <c r="T156" s="43">
        <v>6</v>
      </c>
      <c r="U156" s="20"/>
      <c r="V156" s="15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8">
        <v>300372</v>
      </c>
      <c r="B157" s="151">
        <v>18501</v>
      </c>
      <c r="C157" s="230" t="s">
        <v>145</v>
      </c>
      <c r="D157" s="231"/>
      <c r="E157" s="164" t="s">
        <v>47</v>
      </c>
      <c r="F157" s="27"/>
      <c r="G157" s="110"/>
      <c r="H157" s="110"/>
      <c r="I157" s="110"/>
      <c r="J157" s="110"/>
      <c r="K157" s="162">
        <f t="shared" si="15"/>
        <v>0</v>
      </c>
      <c r="L157" s="162">
        <f t="shared" si="16"/>
        <v>0</v>
      </c>
      <c r="M157" s="162">
        <v>420.58</v>
      </c>
      <c r="N157" s="15">
        <f>+M157*1000/(140*4*16*60)*T157</f>
        <v>4.6939732142857142</v>
      </c>
      <c r="O157" s="162"/>
      <c r="P157" s="162">
        <f t="shared" si="17"/>
        <v>0</v>
      </c>
      <c r="Q157" s="162"/>
      <c r="R157" s="19">
        <f t="shared" si="18"/>
        <v>0</v>
      </c>
      <c r="S157" s="162">
        <f t="shared" si="19"/>
        <v>0</v>
      </c>
      <c r="T157" s="20">
        <v>6</v>
      </c>
      <c r="U157" s="20"/>
      <c r="V157" s="15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8">
        <v>300373</v>
      </c>
      <c r="B158" s="151">
        <v>18501</v>
      </c>
      <c r="C158" s="230" t="s">
        <v>145</v>
      </c>
      <c r="D158" s="231"/>
      <c r="E158" s="164" t="s">
        <v>138</v>
      </c>
      <c r="F158" s="27"/>
      <c r="G158" s="110"/>
      <c r="H158" s="110"/>
      <c r="I158" s="110"/>
      <c r="J158" s="110"/>
      <c r="K158" s="162">
        <f t="shared" si="15"/>
        <v>0</v>
      </c>
      <c r="L158" s="162">
        <f t="shared" si="16"/>
        <v>0</v>
      </c>
      <c r="M158" s="162">
        <v>420.58</v>
      </c>
      <c r="N158" s="15">
        <f>+M158*1000/(140*4*16*60)*T158</f>
        <v>4.6939732142857142</v>
      </c>
      <c r="O158" s="162"/>
      <c r="P158" s="162">
        <f t="shared" si="17"/>
        <v>0</v>
      </c>
      <c r="Q158" s="162"/>
      <c r="R158" s="19">
        <f t="shared" si="18"/>
        <v>0</v>
      </c>
      <c r="S158" s="162">
        <f t="shared" si="19"/>
        <v>0</v>
      </c>
      <c r="T158" s="20">
        <v>6</v>
      </c>
      <c r="U158" s="20"/>
      <c r="V158" s="15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8">
        <v>300374</v>
      </c>
      <c r="B159" s="151">
        <v>18501</v>
      </c>
      <c r="C159" s="230" t="s">
        <v>145</v>
      </c>
      <c r="D159" s="231"/>
      <c r="E159" s="164" t="s">
        <v>139</v>
      </c>
      <c r="F159" s="27"/>
      <c r="G159" s="110"/>
      <c r="H159" s="110"/>
      <c r="I159" s="110"/>
      <c r="J159" s="110"/>
      <c r="K159" s="162">
        <f t="shared" si="15"/>
        <v>0</v>
      </c>
      <c r="L159" s="162">
        <f t="shared" si="16"/>
        <v>0</v>
      </c>
      <c r="M159" s="162">
        <v>420.58</v>
      </c>
      <c r="N159" s="15">
        <f>+M159*1000/(140*4*16*60)*T159</f>
        <v>4.6939732142857142</v>
      </c>
      <c r="O159" s="162"/>
      <c r="P159" s="162">
        <f t="shared" si="17"/>
        <v>0</v>
      </c>
      <c r="Q159" s="162"/>
      <c r="R159" s="19">
        <f t="shared" si="18"/>
        <v>0</v>
      </c>
      <c r="S159" s="162">
        <f t="shared" si="19"/>
        <v>0</v>
      </c>
      <c r="T159" s="20">
        <v>6</v>
      </c>
      <c r="U159" s="20"/>
      <c r="V159" s="15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8">
        <v>300375</v>
      </c>
      <c r="B160" s="151">
        <v>18501</v>
      </c>
      <c r="C160" s="230" t="s">
        <v>145</v>
      </c>
      <c r="D160" s="231"/>
      <c r="E160" s="164" t="s">
        <v>74</v>
      </c>
      <c r="F160" s="27"/>
      <c r="G160" s="110"/>
      <c r="H160" s="110"/>
      <c r="I160" s="110"/>
      <c r="J160" s="110"/>
      <c r="K160" s="162">
        <f t="shared" si="15"/>
        <v>0</v>
      </c>
      <c r="L160" s="162">
        <f t="shared" si="16"/>
        <v>0</v>
      </c>
      <c r="M160" s="162">
        <v>420.58</v>
      </c>
      <c r="N160" s="15">
        <f>+M160*1000/(140*4*16*60)*T160</f>
        <v>4.6939732142857142</v>
      </c>
      <c r="O160" s="162"/>
      <c r="P160" s="162">
        <f t="shared" si="17"/>
        <v>0</v>
      </c>
      <c r="Q160" s="162"/>
      <c r="R160" s="19">
        <f t="shared" si="18"/>
        <v>0</v>
      </c>
      <c r="S160" s="162">
        <f t="shared" si="19"/>
        <v>0</v>
      </c>
      <c r="T160" s="20">
        <v>6</v>
      </c>
      <c r="U160" s="20"/>
      <c r="V160" s="15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8">
        <v>300341</v>
      </c>
      <c r="B161" s="151">
        <v>18501</v>
      </c>
      <c r="C161" s="237" t="s">
        <v>146</v>
      </c>
      <c r="D161" s="238"/>
      <c r="E161" s="164" t="s">
        <v>39</v>
      </c>
      <c r="F161" s="27"/>
      <c r="G161" s="110"/>
      <c r="H161" s="110"/>
      <c r="I161" s="110"/>
      <c r="J161" s="110"/>
      <c r="K161" s="162">
        <f t="shared" si="15"/>
        <v>0</v>
      </c>
      <c r="L161" s="162">
        <f t="shared" si="16"/>
        <v>0</v>
      </c>
      <c r="M161" s="162">
        <v>439.3</v>
      </c>
      <c r="N161" s="15">
        <f t="shared" ref="N161:N167" si="20">+M161*1000/(169.7*4*13*60)*T161</f>
        <v>4.1485351223123761</v>
      </c>
      <c r="O161" s="162"/>
      <c r="P161" s="162">
        <f t="shared" si="17"/>
        <v>0</v>
      </c>
      <c r="Q161" s="162"/>
      <c r="R161" s="19">
        <f t="shared" si="18"/>
        <v>0</v>
      </c>
      <c r="S161" s="162">
        <f t="shared" si="19"/>
        <v>0</v>
      </c>
      <c r="T161" s="20">
        <v>5</v>
      </c>
      <c r="U161" s="20"/>
      <c r="V161" s="15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8">
        <v>300342</v>
      </c>
      <c r="B162" s="151">
        <v>18501</v>
      </c>
      <c r="C162" s="237" t="s">
        <v>146</v>
      </c>
      <c r="D162" s="238"/>
      <c r="E162" s="164" t="s">
        <v>80</v>
      </c>
      <c r="F162" s="27"/>
      <c r="G162" s="110"/>
      <c r="H162" s="110"/>
      <c r="I162" s="110"/>
      <c r="J162" s="110"/>
      <c r="K162" s="162">
        <f t="shared" si="15"/>
        <v>0</v>
      </c>
      <c r="L162" s="162">
        <f t="shared" si="16"/>
        <v>0</v>
      </c>
      <c r="M162" s="162">
        <v>439.3</v>
      </c>
      <c r="N162" s="15">
        <f t="shared" si="20"/>
        <v>4.1485351223123761</v>
      </c>
      <c r="O162" s="162"/>
      <c r="P162" s="162">
        <f t="shared" si="17"/>
        <v>0</v>
      </c>
      <c r="Q162" s="162"/>
      <c r="R162" s="19">
        <f t="shared" si="18"/>
        <v>0</v>
      </c>
      <c r="S162" s="162">
        <f t="shared" si="19"/>
        <v>0</v>
      </c>
      <c r="T162" s="20">
        <v>5</v>
      </c>
      <c r="U162" s="20"/>
      <c r="V162" s="15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8">
        <v>300343</v>
      </c>
      <c r="B163" s="151">
        <v>18501</v>
      </c>
      <c r="C163" s="237" t="s">
        <v>146</v>
      </c>
      <c r="D163" s="238"/>
      <c r="E163" s="164" t="s">
        <v>35</v>
      </c>
      <c r="F163" s="27"/>
      <c r="G163" s="110"/>
      <c r="H163" s="110"/>
      <c r="I163" s="110"/>
      <c r="J163" s="110"/>
      <c r="K163" s="162">
        <f t="shared" si="15"/>
        <v>0</v>
      </c>
      <c r="L163" s="162">
        <f t="shared" si="16"/>
        <v>0</v>
      </c>
      <c r="M163" s="162">
        <v>455.4</v>
      </c>
      <c r="N163" s="15">
        <f t="shared" si="20"/>
        <v>4.3005756765332483</v>
      </c>
      <c r="O163" s="162"/>
      <c r="P163" s="162">
        <f t="shared" si="17"/>
        <v>0</v>
      </c>
      <c r="Q163" s="162"/>
      <c r="R163" s="19">
        <f t="shared" si="18"/>
        <v>0</v>
      </c>
      <c r="S163" s="162">
        <f t="shared" si="19"/>
        <v>0</v>
      </c>
      <c r="T163" s="20">
        <v>5</v>
      </c>
      <c r="U163" s="20"/>
      <c r="V163" s="15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8">
        <v>300344</v>
      </c>
      <c r="B164" s="151">
        <v>18501</v>
      </c>
      <c r="C164" s="237" t="s">
        <v>146</v>
      </c>
      <c r="D164" s="238"/>
      <c r="E164" s="164" t="s">
        <v>40</v>
      </c>
      <c r="F164" s="27"/>
      <c r="G164" s="110"/>
      <c r="H164" s="110"/>
      <c r="I164" s="110"/>
      <c r="J164" s="110"/>
      <c r="K164" s="162">
        <f t="shared" si="15"/>
        <v>0</v>
      </c>
      <c r="L164" s="162">
        <f t="shared" si="16"/>
        <v>0</v>
      </c>
      <c r="M164" s="162">
        <v>455.4</v>
      </c>
      <c r="N164" s="15">
        <f t="shared" si="20"/>
        <v>4.3005756765332483</v>
      </c>
      <c r="O164" s="162"/>
      <c r="P164" s="162">
        <f t="shared" si="17"/>
        <v>0</v>
      </c>
      <c r="Q164" s="162"/>
      <c r="R164" s="19">
        <f t="shared" si="18"/>
        <v>0</v>
      </c>
      <c r="S164" s="162">
        <f t="shared" si="19"/>
        <v>0</v>
      </c>
      <c r="T164" s="20">
        <v>5</v>
      </c>
      <c r="U164" s="20"/>
      <c r="V164" s="15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8">
        <v>300396</v>
      </c>
      <c r="B165" s="15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62">
        <f t="shared" si="15"/>
        <v>0</v>
      </c>
      <c r="L165" s="162">
        <f t="shared" si="16"/>
        <v>0</v>
      </c>
      <c r="M165" s="40">
        <v>417.1</v>
      </c>
      <c r="N165" s="15">
        <f t="shared" si="20"/>
        <v>3.9388891407158937</v>
      </c>
      <c r="O165" s="162"/>
      <c r="P165" s="162">
        <f t="shared" si="17"/>
        <v>0</v>
      </c>
      <c r="Q165" s="162"/>
      <c r="R165" s="19">
        <f t="shared" si="18"/>
        <v>0</v>
      </c>
      <c r="S165" s="162">
        <f t="shared" si="19"/>
        <v>0</v>
      </c>
      <c r="T165" s="20">
        <v>5</v>
      </c>
      <c r="U165" s="20"/>
      <c r="V165" s="15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8">
        <v>300397</v>
      </c>
      <c r="B166" s="15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62">
        <f t="shared" si="15"/>
        <v>0</v>
      </c>
      <c r="L166" s="162">
        <f t="shared" si="16"/>
        <v>0</v>
      </c>
      <c r="M166" s="40">
        <v>417.1</v>
      </c>
      <c r="N166" s="15">
        <f t="shared" si="20"/>
        <v>3.9388891407158937</v>
      </c>
      <c r="O166" s="162"/>
      <c r="P166" s="162">
        <f t="shared" si="17"/>
        <v>0</v>
      </c>
      <c r="Q166" s="162"/>
      <c r="R166" s="19">
        <f t="shared" si="18"/>
        <v>0</v>
      </c>
      <c r="S166" s="162">
        <f t="shared" si="19"/>
        <v>0</v>
      </c>
      <c r="T166" s="20">
        <v>5</v>
      </c>
      <c r="U166" s="20"/>
      <c r="V166" s="15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8">
        <v>300398</v>
      </c>
      <c r="B167" s="15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62">
        <f t="shared" si="15"/>
        <v>0</v>
      </c>
      <c r="L167" s="162">
        <f t="shared" si="16"/>
        <v>0</v>
      </c>
      <c r="M167" s="40">
        <v>417.1</v>
      </c>
      <c r="N167" s="15">
        <f t="shared" si="20"/>
        <v>3.9388891407158937</v>
      </c>
      <c r="O167" s="162"/>
      <c r="P167" s="162">
        <f t="shared" si="17"/>
        <v>0</v>
      </c>
      <c r="Q167" s="162"/>
      <c r="R167" s="19">
        <f t="shared" si="18"/>
        <v>0</v>
      </c>
      <c r="S167" s="162">
        <f t="shared" si="19"/>
        <v>0</v>
      </c>
      <c r="T167" s="20">
        <v>5</v>
      </c>
      <c r="U167" s="20"/>
      <c r="V167" s="15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8">
        <v>300271</v>
      </c>
      <c r="B168" s="151">
        <v>18501</v>
      </c>
      <c r="C168" s="219" t="s">
        <v>148</v>
      </c>
      <c r="D168" s="219"/>
      <c r="E168" s="164" t="s">
        <v>134</v>
      </c>
      <c r="F168" s="27"/>
      <c r="G168" s="110"/>
      <c r="H168" s="110"/>
      <c r="I168" s="110"/>
      <c r="J168" s="110"/>
      <c r="K168" s="162">
        <f t="shared" si="15"/>
        <v>0</v>
      </c>
      <c r="L168" s="162">
        <f t="shared" si="16"/>
        <v>0</v>
      </c>
      <c r="M168" s="162">
        <v>580.1</v>
      </c>
      <c r="N168" s="162">
        <f>+M168*1000/(202*4*13*60)*T168</f>
        <v>3.6817720233561819</v>
      </c>
      <c r="O168" s="162"/>
      <c r="P168" s="162">
        <f t="shared" si="17"/>
        <v>0</v>
      </c>
      <c r="Q168" s="162"/>
      <c r="R168" s="19">
        <f t="shared" si="18"/>
        <v>0</v>
      </c>
      <c r="S168" s="162">
        <f t="shared" si="19"/>
        <v>0</v>
      </c>
      <c r="T168" s="20">
        <v>4</v>
      </c>
      <c r="U168" s="20"/>
      <c r="V168" s="15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8">
        <v>300009</v>
      </c>
      <c r="B169" s="151">
        <v>18501</v>
      </c>
      <c r="C169" s="219" t="s">
        <v>149</v>
      </c>
      <c r="D169" s="219" t="s">
        <v>150</v>
      </c>
      <c r="E169" s="164" t="s">
        <v>127</v>
      </c>
      <c r="F169" s="27"/>
      <c r="G169" s="110"/>
      <c r="H169" s="110"/>
      <c r="I169" s="110"/>
      <c r="J169" s="110"/>
      <c r="K169" s="162">
        <f t="shared" si="15"/>
        <v>0</v>
      </c>
      <c r="L169" s="162">
        <f t="shared" si="16"/>
        <v>0</v>
      </c>
      <c r="M169" s="15">
        <v>520.79999999999995</v>
      </c>
      <c r="N169" s="162">
        <f>+M169*1000/(188*4*13*60)*T169</f>
        <v>5.3273322422258591</v>
      </c>
      <c r="O169" s="162"/>
      <c r="P169" s="162">
        <f t="shared" si="17"/>
        <v>0</v>
      </c>
      <c r="Q169" s="162"/>
      <c r="R169" s="19">
        <f t="shared" si="18"/>
        <v>0</v>
      </c>
      <c r="S169" s="162">
        <f t="shared" si="19"/>
        <v>0</v>
      </c>
      <c r="T169" s="20">
        <v>6</v>
      </c>
      <c r="U169" s="20"/>
      <c r="V169" s="15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8">
        <v>300010</v>
      </c>
      <c r="B170" s="151">
        <v>18501</v>
      </c>
      <c r="C170" s="219" t="s">
        <v>149</v>
      </c>
      <c r="D170" s="219" t="s">
        <v>150</v>
      </c>
      <c r="E170" s="164" t="s">
        <v>80</v>
      </c>
      <c r="F170" s="27"/>
      <c r="G170" s="110"/>
      <c r="H170" s="110"/>
      <c r="I170" s="110"/>
      <c r="J170" s="113"/>
      <c r="K170" s="162">
        <f t="shared" si="15"/>
        <v>0</v>
      </c>
      <c r="L170" s="162">
        <f t="shared" si="16"/>
        <v>0</v>
      </c>
      <c r="M170" s="15">
        <v>530.9</v>
      </c>
      <c r="N170" s="162">
        <f>+M170*1000/(188*4*13*60)*T170</f>
        <v>4.5255387343153304</v>
      </c>
      <c r="O170" s="162"/>
      <c r="P170" s="162">
        <f t="shared" si="17"/>
        <v>0</v>
      </c>
      <c r="Q170" s="162"/>
      <c r="R170" s="19">
        <f t="shared" si="18"/>
        <v>0</v>
      </c>
      <c r="S170" s="162">
        <f t="shared" si="19"/>
        <v>0</v>
      </c>
      <c r="T170" s="20">
        <v>5</v>
      </c>
      <c r="U170" s="20"/>
      <c r="V170" s="15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8">
        <v>300305</v>
      </c>
      <c r="B171" s="151">
        <v>18501</v>
      </c>
      <c r="C171" s="219" t="s">
        <v>151</v>
      </c>
      <c r="D171" s="219" t="s">
        <v>152</v>
      </c>
      <c r="E171" s="164" t="s">
        <v>57</v>
      </c>
      <c r="F171" s="27"/>
      <c r="G171" s="110"/>
      <c r="H171" s="110"/>
      <c r="I171" s="110"/>
      <c r="J171" s="113"/>
      <c r="K171" s="162">
        <f t="shared" si="15"/>
        <v>0</v>
      </c>
      <c r="L171" s="162">
        <f t="shared" si="16"/>
        <v>0</v>
      </c>
      <c r="M171" s="162">
        <v>530.20000000000005</v>
      </c>
      <c r="N171" s="162">
        <f t="shared" ref="N171:N176" si="21">+M171*1000/(202*4*13*60)*T171</f>
        <v>4.2063340949479562</v>
      </c>
      <c r="O171" s="162"/>
      <c r="P171" s="162">
        <f t="shared" si="17"/>
        <v>0</v>
      </c>
      <c r="Q171" s="162"/>
      <c r="R171" s="19">
        <f t="shared" si="18"/>
        <v>0</v>
      </c>
      <c r="S171" s="162">
        <f t="shared" si="19"/>
        <v>0</v>
      </c>
      <c r="T171" s="20">
        <v>5</v>
      </c>
      <c r="U171" s="20"/>
      <c r="V171" s="15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8">
        <v>300306</v>
      </c>
      <c r="B172" s="151">
        <v>18501</v>
      </c>
      <c r="C172" s="219" t="s">
        <v>151</v>
      </c>
      <c r="D172" s="219" t="s">
        <v>152</v>
      </c>
      <c r="E172" s="164" t="s">
        <v>109</v>
      </c>
      <c r="F172" s="27"/>
      <c r="G172" s="110"/>
      <c r="H172" s="110"/>
      <c r="I172" s="110"/>
      <c r="J172" s="110"/>
      <c r="K172" s="162">
        <f t="shared" si="15"/>
        <v>0</v>
      </c>
      <c r="L172" s="162">
        <f t="shared" si="16"/>
        <v>0</v>
      </c>
      <c r="M172" s="162">
        <v>538.79999999999995</v>
      </c>
      <c r="N172" s="162">
        <f t="shared" si="21"/>
        <v>4.2745620715917747</v>
      </c>
      <c r="O172" s="162"/>
      <c r="P172" s="162">
        <f t="shared" si="17"/>
        <v>0</v>
      </c>
      <c r="Q172" s="162"/>
      <c r="R172" s="19">
        <f t="shared" si="18"/>
        <v>0</v>
      </c>
      <c r="S172" s="162">
        <f t="shared" si="19"/>
        <v>0</v>
      </c>
      <c r="T172" s="20">
        <v>5</v>
      </c>
      <c r="U172" s="20"/>
      <c r="V172" s="15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8">
        <v>300307</v>
      </c>
      <c r="B173" s="151">
        <v>18501</v>
      </c>
      <c r="C173" s="219" t="s">
        <v>151</v>
      </c>
      <c r="D173" s="219" t="s">
        <v>152</v>
      </c>
      <c r="E173" s="164" t="s">
        <v>125</v>
      </c>
      <c r="F173" s="27"/>
      <c r="G173" s="110"/>
      <c r="H173" s="110"/>
      <c r="I173" s="110"/>
      <c r="J173" s="110"/>
      <c r="K173" s="162">
        <f t="shared" si="15"/>
        <v>0</v>
      </c>
      <c r="L173" s="162">
        <f t="shared" si="16"/>
        <v>0</v>
      </c>
      <c r="M173" s="162">
        <v>569</v>
      </c>
      <c r="N173" s="162">
        <f t="shared" si="21"/>
        <v>4.5141533384107637</v>
      </c>
      <c r="O173" s="162"/>
      <c r="P173" s="162">
        <f t="shared" si="17"/>
        <v>0</v>
      </c>
      <c r="Q173" s="162"/>
      <c r="R173" s="19">
        <f t="shared" si="18"/>
        <v>0</v>
      </c>
      <c r="S173" s="162">
        <f t="shared" si="19"/>
        <v>0</v>
      </c>
      <c r="T173" s="20">
        <v>5</v>
      </c>
      <c r="U173" s="20"/>
      <c r="V173" s="15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8">
        <v>300308</v>
      </c>
      <c r="B174" s="151">
        <v>18501</v>
      </c>
      <c r="C174" s="219" t="s">
        <v>151</v>
      </c>
      <c r="D174" s="219" t="s">
        <v>152</v>
      </c>
      <c r="E174" s="164" t="s">
        <v>124</v>
      </c>
      <c r="F174" s="27"/>
      <c r="G174" s="110"/>
      <c r="H174" s="110"/>
      <c r="I174" s="110"/>
      <c r="J174" s="110"/>
      <c r="K174" s="162">
        <f t="shared" si="15"/>
        <v>0</v>
      </c>
      <c r="L174" s="162">
        <f t="shared" si="16"/>
        <v>0</v>
      </c>
      <c r="M174" s="162">
        <v>523.6</v>
      </c>
      <c r="N174" s="162">
        <f t="shared" si="21"/>
        <v>4.1539730896166542</v>
      </c>
      <c r="O174" s="162"/>
      <c r="P174" s="162">
        <f t="shared" si="17"/>
        <v>0</v>
      </c>
      <c r="Q174" s="162"/>
      <c r="R174" s="19">
        <f t="shared" si="18"/>
        <v>0</v>
      </c>
      <c r="S174" s="162">
        <f t="shared" si="19"/>
        <v>0</v>
      </c>
      <c r="T174" s="20">
        <v>5</v>
      </c>
      <c r="U174" s="20"/>
      <c r="V174" s="15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8">
        <v>300182</v>
      </c>
      <c r="B175" s="151">
        <v>18501</v>
      </c>
      <c r="C175" s="219" t="s">
        <v>153</v>
      </c>
      <c r="D175" s="219" t="s">
        <v>152</v>
      </c>
      <c r="E175" s="164" t="s">
        <v>80</v>
      </c>
      <c r="F175" s="27"/>
      <c r="G175" s="110"/>
      <c r="H175" s="110"/>
      <c r="I175" s="110"/>
      <c r="J175" s="110"/>
      <c r="K175" s="162">
        <f t="shared" si="15"/>
        <v>0</v>
      </c>
      <c r="L175" s="162">
        <f t="shared" si="16"/>
        <v>0</v>
      </c>
      <c r="M175" s="15">
        <v>649.1</v>
      </c>
      <c r="N175" s="162">
        <f t="shared" si="21"/>
        <v>5.1496255394770252</v>
      </c>
      <c r="O175" s="162"/>
      <c r="P175" s="162">
        <f t="shared" si="17"/>
        <v>0</v>
      </c>
      <c r="Q175" s="162"/>
      <c r="R175" s="19">
        <f t="shared" si="18"/>
        <v>0</v>
      </c>
      <c r="S175" s="162">
        <f t="shared" si="19"/>
        <v>0</v>
      </c>
      <c r="T175" s="20">
        <v>5</v>
      </c>
      <c r="U175" s="20"/>
      <c r="V175" s="15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8">
        <v>300185</v>
      </c>
      <c r="B176" s="151">
        <v>18501</v>
      </c>
      <c r="C176" s="219" t="s">
        <v>153</v>
      </c>
      <c r="D176" s="219" t="s">
        <v>152</v>
      </c>
      <c r="E176" s="164" t="s">
        <v>127</v>
      </c>
      <c r="F176" s="27"/>
      <c r="G176" s="110"/>
      <c r="H176" s="110"/>
      <c r="I176" s="110"/>
      <c r="J176" s="110"/>
      <c r="K176" s="162">
        <f t="shared" si="15"/>
        <v>0</v>
      </c>
      <c r="L176" s="162">
        <f t="shared" si="16"/>
        <v>0</v>
      </c>
      <c r="M176" s="15">
        <v>638</v>
      </c>
      <c r="N176" s="162">
        <f t="shared" si="21"/>
        <v>6.0738766184310737</v>
      </c>
      <c r="O176" s="162"/>
      <c r="P176" s="162">
        <f t="shared" si="17"/>
        <v>0</v>
      </c>
      <c r="Q176" s="162"/>
      <c r="R176" s="19">
        <f t="shared" si="18"/>
        <v>0</v>
      </c>
      <c r="S176" s="162">
        <f t="shared" si="19"/>
        <v>0</v>
      </c>
      <c r="T176" s="20">
        <v>6</v>
      </c>
      <c r="U176" s="20"/>
      <c r="V176" s="15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8">
        <v>300272</v>
      </c>
      <c r="B177" s="151">
        <v>18502</v>
      </c>
      <c r="C177" s="219" t="s">
        <v>154</v>
      </c>
      <c r="D177" s="219"/>
      <c r="E177" s="164" t="s">
        <v>42</v>
      </c>
      <c r="F177" s="27"/>
      <c r="G177" s="110"/>
      <c r="H177" s="110"/>
      <c r="I177" s="110"/>
      <c r="J177" s="110"/>
      <c r="K177" s="162">
        <f t="shared" si="15"/>
        <v>0</v>
      </c>
      <c r="L177" s="162">
        <f t="shared" si="16"/>
        <v>0</v>
      </c>
      <c r="M177" s="162">
        <v>523.9</v>
      </c>
      <c r="N177" s="162">
        <f>+M177*1000/(128*4*13*60)*T177</f>
        <v>5.247395833333333</v>
      </c>
      <c r="O177" s="162"/>
      <c r="P177" s="162">
        <f t="shared" si="17"/>
        <v>0</v>
      </c>
      <c r="Q177" s="162"/>
      <c r="R177" s="19">
        <f t="shared" si="18"/>
        <v>0</v>
      </c>
      <c r="S177" s="162">
        <f t="shared" si="19"/>
        <v>0</v>
      </c>
      <c r="T177" s="20">
        <v>4</v>
      </c>
      <c r="U177" s="20"/>
      <c r="V177" s="15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8">
        <v>300273</v>
      </c>
      <c r="B178" s="151">
        <v>18502</v>
      </c>
      <c r="C178" s="219" t="s">
        <v>154</v>
      </c>
      <c r="D178" s="219"/>
      <c r="E178" s="164" t="s">
        <v>155</v>
      </c>
      <c r="F178" s="27"/>
      <c r="G178" s="110"/>
      <c r="H178" s="110"/>
      <c r="I178" s="110"/>
      <c r="J178" s="110"/>
      <c r="K178" s="162">
        <f t="shared" si="15"/>
        <v>0</v>
      </c>
      <c r="L178" s="162">
        <f t="shared" si="16"/>
        <v>0</v>
      </c>
      <c r="M178" s="162">
        <v>523.9</v>
      </c>
      <c r="N178" s="162">
        <f>+M178*1000/(128*4*13*60)*T178</f>
        <v>6.5592447916666661</v>
      </c>
      <c r="O178" s="162"/>
      <c r="P178" s="162">
        <f t="shared" si="17"/>
        <v>0</v>
      </c>
      <c r="Q178" s="162"/>
      <c r="R178" s="19">
        <f t="shared" si="18"/>
        <v>0</v>
      </c>
      <c r="S178" s="162">
        <f t="shared" si="19"/>
        <v>0</v>
      </c>
      <c r="T178" s="20">
        <v>5</v>
      </c>
      <c r="U178" s="20"/>
      <c r="V178" s="15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8">
        <v>300274</v>
      </c>
      <c r="B179" s="151">
        <v>18502</v>
      </c>
      <c r="C179" s="219" t="s">
        <v>154</v>
      </c>
      <c r="D179" s="219"/>
      <c r="E179" s="164" t="s">
        <v>138</v>
      </c>
      <c r="F179" s="27"/>
      <c r="G179" s="110"/>
      <c r="H179" s="110"/>
      <c r="I179" s="110"/>
      <c r="J179" s="110"/>
      <c r="K179" s="162">
        <f t="shared" si="15"/>
        <v>0</v>
      </c>
      <c r="L179" s="162">
        <f t="shared" si="16"/>
        <v>0</v>
      </c>
      <c r="M179" s="162">
        <v>523.9</v>
      </c>
      <c r="N179" s="162">
        <f>+M179*1000/(128*4*13*60)*T179</f>
        <v>5.247395833333333</v>
      </c>
      <c r="O179" s="162"/>
      <c r="P179" s="162">
        <f t="shared" si="17"/>
        <v>0</v>
      </c>
      <c r="Q179" s="162"/>
      <c r="R179" s="19">
        <f t="shared" si="18"/>
        <v>0</v>
      </c>
      <c r="S179" s="162">
        <f t="shared" si="19"/>
        <v>0</v>
      </c>
      <c r="T179" s="20">
        <v>4</v>
      </c>
      <c r="U179" s="20"/>
      <c r="V179" s="15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8">
        <v>300275</v>
      </c>
      <c r="B180" s="151">
        <v>18502</v>
      </c>
      <c r="C180" s="219" t="s">
        <v>154</v>
      </c>
      <c r="D180" s="219"/>
      <c r="E180" s="164" t="s">
        <v>156</v>
      </c>
      <c r="F180" s="27"/>
      <c r="G180" s="110"/>
      <c r="H180" s="110"/>
      <c r="I180" s="110"/>
      <c r="J180" s="110"/>
      <c r="K180" s="162">
        <f t="shared" si="15"/>
        <v>0</v>
      </c>
      <c r="L180" s="162">
        <f t="shared" si="16"/>
        <v>0</v>
      </c>
      <c r="M180" s="162">
        <v>523.9</v>
      </c>
      <c r="N180" s="162">
        <f>+M180*1000/(128*4*13*60)*T180</f>
        <v>5.247395833333333</v>
      </c>
      <c r="O180" s="162"/>
      <c r="P180" s="162">
        <f t="shared" si="17"/>
        <v>0</v>
      </c>
      <c r="Q180" s="162"/>
      <c r="R180" s="19">
        <f t="shared" si="18"/>
        <v>0</v>
      </c>
      <c r="S180" s="162">
        <f t="shared" si="19"/>
        <v>0</v>
      </c>
      <c r="T180" s="20">
        <v>4</v>
      </c>
      <c r="U180" s="20"/>
      <c r="V180" s="15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8">
        <v>300285</v>
      </c>
      <c r="B181" s="151">
        <v>13001</v>
      </c>
      <c r="C181" s="219" t="s">
        <v>157</v>
      </c>
      <c r="D181" s="219"/>
      <c r="E181" s="164" t="s">
        <v>37</v>
      </c>
      <c r="F181" s="27"/>
      <c r="G181" s="110"/>
      <c r="H181" s="110"/>
      <c r="I181" s="110"/>
      <c r="J181" s="110"/>
      <c r="K181" s="162">
        <f t="shared" si="15"/>
        <v>0</v>
      </c>
      <c r="L181" s="162">
        <f t="shared" si="16"/>
        <v>0</v>
      </c>
      <c r="M181" s="162">
        <v>438.7</v>
      </c>
      <c r="N181" s="162">
        <f t="shared" ref="N181:N186" si="22">+M181*1000/(90*4*18*60)*T181</f>
        <v>5.6417181069958842</v>
      </c>
      <c r="O181" s="162"/>
      <c r="P181" s="162">
        <f t="shared" si="17"/>
        <v>0</v>
      </c>
      <c r="Q181" s="162"/>
      <c r="R181" s="19">
        <f t="shared" si="18"/>
        <v>0</v>
      </c>
      <c r="S181" s="162">
        <f t="shared" si="19"/>
        <v>0</v>
      </c>
      <c r="T181" s="20">
        <v>5</v>
      </c>
      <c r="U181" s="20"/>
      <c r="V181" s="15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8">
        <v>300287</v>
      </c>
      <c r="B182" s="151">
        <v>13001</v>
      </c>
      <c r="C182" s="219" t="s">
        <v>157</v>
      </c>
      <c r="D182" s="219"/>
      <c r="E182" s="164" t="s">
        <v>57</v>
      </c>
      <c r="F182" s="27"/>
      <c r="G182" s="110"/>
      <c r="H182" s="110"/>
      <c r="I182" s="110"/>
      <c r="J182" s="110"/>
      <c r="K182" s="162">
        <f t="shared" si="15"/>
        <v>0</v>
      </c>
      <c r="L182" s="162">
        <f t="shared" si="16"/>
        <v>0</v>
      </c>
      <c r="M182" s="162">
        <v>438.7</v>
      </c>
      <c r="N182" s="162">
        <f t="shared" si="22"/>
        <v>5.6417181069958842</v>
      </c>
      <c r="O182" s="162"/>
      <c r="P182" s="162">
        <f t="shared" si="17"/>
        <v>0</v>
      </c>
      <c r="Q182" s="162"/>
      <c r="R182" s="19">
        <f t="shared" si="18"/>
        <v>0</v>
      </c>
      <c r="S182" s="162">
        <f t="shared" si="19"/>
        <v>0</v>
      </c>
      <c r="T182" s="20">
        <v>5</v>
      </c>
      <c r="U182" s="20"/>
      <c r="V182" s="15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8">
        <v>300284</v>
      </c>
      <c r="B183" s="151">
        <v>13001</v>
      </c>
      <c r="C183" s="219" t="s">
        <v>157</v>
      </c>
      <c r="D183" s="219"/>
      <c r="E183" s="164" t="s">
        <v>41</v>
      </c>
      <c r="F183" s="27"/>
      <c r="G183" s="110"/>
      <c r="H183" s="110"/>
      <c r="I183" s="110"/>
      <c r="J183" s="110"/>
      <c r="K183" s="162">
        <f t="shared" si="15"/>
        <v>0</v>
      </c>
      <c r="L183" s="162">
        <f t="shared" si="16"/>
        <v>0</v>
      </c>
      <c r="M183" s="162">
        <v>438.7</v>
      </c>
      <c r="N183" s="162">
        <f t="shared" si="22"/>
        <v>5.6417181069958842</v>
      </c>
      <c r="O183" s="162"/>
      <c r="P183" s="162">
        <f t="shared" si="17"/>
        <v>0</v>
      </c>
      <c r="Q183" s="162"/>
      <c r="R183" s="19">
        <f t="shared" si="18"/>
        <v>0</v>
      </c>
      <c r="S183" s="162">
        <f t="shared" si="19"/>
        <v>0</v>
      </c>
      <c r="T183" s="20">
        <v>5</v>
      </c>
      <c r="U183" s="20"/>
      <c r="V183" s="15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8">
        <v>300283</v>
      </c>
      <c r="B184" s="151">
        <v>13001</v>
      </c>
      <c r="C184" s="219" t="s">
        <v>157</v>
      </c>
      <c r="D184" s="219"/>
      <c r="E184" s="164" t="s">
        <v>35</v>
      </c>
      <c r="F184" s="27"/>
      <c r="G184" s="110"/>
      <c r="H184" s="110"/>
      <c r="I184" s="110"/>
      <c r="J184" s="67"/>
      <c r="K184" s="152">
        <f t="shared" si="15"/>
        <v>0</v>
      </c>
      <c r="L184" s="152">
        <f t="shared" si="16"/>
        <v>0</v>
      </c>
      <c r="M184" s="162">
        <v>438.7</v>
      </c>
      <c r="N184" s="162">
        <f t="shared" si="22"/>
        <v>5.6417181069958842</v>
      </c>
      <c r="O184" s="152"/>
      <c r="P184" s="162">
        <f t="shared" si="17"/>
        <v>0</v>
      </c>
      <c r="Q184" s="162"/>
      <c r="R184" s="19">
        <f t="shared" si="18"/>
        <v>0</v>
      </c>
      <c r="S184" s="162">
        <f t="shared" si="19"/>
        <v>0</v>
      </c>
      <c r="T184" s="20">
        <v>5</v>
      </c>
      <c r="U184" s="20"/>
      <c r="V184" s="15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8">
        <v>300289</v>
      </c>
      <c r="B185" s="151">
        <v>13001</v>
      </c>
      <c r="C185" s="219" t="s">
        <v>157</v>
      </c>
      <c r="D185" s="219"/>
      <c r="E185" s="164" t="s">
        <v>66</v>
      </c>
      <c r="F185" s="27"/>
      <c r="G185" s="67"/>
      <c r="H185" s="67"/>
      <c r="I185" s="67"/>
      <c r="J185" s="114"/>
      <c r="K185" s="152">
        <f t="shared" si="15"/>
        <v>0</v>
      </c>
      <c r="L185" s="152">
        <f t="shared" si="16"/>
        <v>0</v>
      </c>
      <c r="M185" s="162">
        <v>438.7</v>
      </c>
      <c r="N185" s="162">
        <f t="shared" si="22"/>
        <v>5.6417181069958842</v>
      </c>
      <c r="O185" s="152"/>
      <c r="P185" s="162">
        <f t="shared" si="17"/>
        <v>0</v>
      </c>
      <c r="Q185" s="162"/>
      <c r="R185" s="19">
        <f t="shared" si="18"/>
        <v>0</v>
      </c>
      <c r="S185" s="162">
        <f t="shared" si="19"/>
        <v>0</v>
      </c>
      <c r="T185" s="20">
        <v>5</v>
      </c>
      <c r="U185" s="20"/>
      <c r="V185" s="15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8">
        <v>300288</v>
      </c>
      <c r="B186" s="151">
        <v>13001</v>
      </c>
      <c r="C186" s="219" t="s">
        <v>157</v>
      </c>
      <c r="D186" s="219"/>
      <c r="E186" s="164" t="s">
        <v>158</v>
      </c>
      <c r="F186" s="27"/>
      <c r="G186" s="162"/>
      <c r="H186" s="162"/>
      <c r="I186" s="110"/>
      <c r="J186" s="110"/>
      <c r="K186" s="162">
        <f t="shared" si="15"/>
        <v>0</v>
      </c>
      <c r="L186" s="162">
        <f t="shared" si="16"/>
        <v>0</v>
      </c>
      <c r="M186" s="162">
        <v>438.7</v>
      </c>
      <c r="N186" s="162">
        <f t="shared" si="22"/>
        <v>5.6417181069958842</v>
      </c>
      <c r="O186" s="162"/>
      <c r="P186" s="162">
        <f t="shared" si="17"/>
        <v>0</v>
      </c>
      <c r="Q186" s="162"/>
      <c r="R186" s="19">
        <f t="shared" si="18"/>
        <v>0</v>
      </c>
      <c r="S186" s="162">
        <f t="shared" si="19"/>
        <v>0</v>
      </c>
      <c r="T186" s="20">
        <v>5</v>
      </c>
      <c r="U186" s="20"/>
      <c r="V186" s="15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5">
        <v>300355</v>
      </c>
      <c r="B187" s="151" t="s">
        <v>159</v>
      </c>
      <c r="C187" s="230" t="s">
        <v>160</v>
      </c>
      <c r="D187" s="231"/>
      <c r="E187" s="33" t="s">
        <v>35</v>
      </c>
      <c r="F187" s="27"/>
      <c r="G187" s="162"/>
      <c r="H187" s="162"/>
      <c r="I187" s="110"/>
      <c r="J187" s="110"/>
      <c r="K187" s="152">
        <f t="shared" si="15"/>
        <v>0</v>
      </c>
      <c r="L187" s="162">
        <f t="shared" si="16"/>
        <v>0</v>
      </c>
      <c r="M187" s="162">
        <v>438</v>
      </c>
      <c r="N187" s="15">
        <f>+M187*1000/(110*4*18*60)*T187</f>
        <v>4.6085858585858581</v>
      </c>
      <c r="O187" s="162"/>
      <c r="P187" s="162">
        <f t="shared" si="17"/>
        <v>0</v>
      </c>
      <c r="Q187" s="162"/>
      <c r="R187" s="19">
        <f t="shared" si="18"/>
        <v>0</v>
      </c>
      <c r="S187" s="162">
        <f t="shared" si="19"/>
        <v>0</v>
      </c>
      <c r="T187" s="20">
        <v>5</v>
      </c>
      <c r="U187" s="20"/>
      <c r="V187" s="15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5">
        <v>300356</v>
      </c>
      <c r="B188" s="151" t="s">
        <v>161</v>
      </c>
      <c r="C188" s="230" t="s">
        <v>160</v>
      </c>
      <c r="D188" s="231"/>
      <c r="E188" s="166" t="s">
        <v>41</v>
      </c>
      <c r="F188" s="27"/>
      <c r="G188" s="162"/>
      <c r="H188" s="162"/>
      <c r="I188" s="110"/>
      <c r="J188" s="110"/>
      <c r="K188" s="152">
        <f t="shared" si="15"/>
        <v>0</v>
      </c>
      <c r="L188" s="162">
        <f t="shared" si="16"/>
        <v>0</v>
      </c>
      <c r="M188" s="162">
        <v>438</v>
      </c>
      <c r="N188" s="15">
        <f>+M188*1000/(110*4*18*60)*T188</f>
        <v>4.6085858585858581</v>
      </c>
      <c r="O188" s="162"/>
      <c r="P188" s="162">
        <f t="shared" si="17"/>
        <v>0</v>
      </c>
      <c r="Q188" s="162"/>
      <c r="R188" s="19">
        <f t="shared" si="18"/>
        <v>0</v>
      </c>
      <c r="S188" s="162">
        <f t="shared" si="19"/>
        <v>0</v>
      </c>
      <c r="T188" s="20">
        <v>5</v>
      </c>
      <c r="U188" s="20"/>
      <c r="V188" s="15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5">
        <v>300357</v>
      </c>
      <c r="B189" s="151" t="s">
        <v>162</v>
      </c>
      <c r="C189" s="230" t="s">
        <v>160</v>
      </c>
      <c r="D189" s="231"/>
      <c r="E189" s="166" t="s">
        <v>37</v>
      </c>
      <c r="F189" s="27"/>
      <c r="G189" s="162"/>
      <c r="H189" s="162"/>
      <c r="I189" s="110"/>
      <c r="J189" s="110"/>
      <c r="K189" s="152">
        <f t="shared" si="15"/>
        <v>0</v>
      </c>
      <c r="L189" s="162">
        <f t="shared" si="16"/>
        <v>0</v>
      </c>
      <c r="M189" s="162">
        <v>438</v>
      </c>
      <c r="N189" s="15">
        <f>+M189*1000/(110*4*18*60)*T189</f>
        <v>4.6085858585858581</v>
      </c>
      <c r="O189" s="162"/>
      <c r="P189" s="162">
        <f t="shared" si="17"/>
        <v>0</v>
      </c>
      <c r="Q189" s="162"/>
      <c r="R189" s="19">
        <f t="shared" si="18"/>
        <v>0</v>
      </c>
      <c r="S189" s="162">
        <f t="shared" si="19"/>
        <v>0</v>
      </c>
      <c r="T189" s="20">
        <v>5</v>
      </c>
      <c r="U189" s="20"/>
      <c r="V189" s="15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5">
        <v>300358</v>
      </c>
      <c r="B190" s="151" t="s">
        <v>163</v>
      </c>
      <c r="C190" s="230" t="s">
        <v>160</v>
      </c>
      <c r="D190" s="231"/>
      <c r="E190" s="166" t="s">
        <v>66</v>
      </c>
      <c r="F190" s="27"/>
      <c r="G190" s="162"/>
      <c r="H190" s="162"/>
      <c r="I190" s="110"/>
      <c r="J190" s="110"/>
      <c r="K190" s="152">
        <f t="shared" si="15"/>
        <v>0</v>
      </c>
      <c r="L190" s="162">
        <f t="shared" si="16"/>
        <v>0</v>
      </c>
      <c r="M190" s="162">
        <v>438</v>
      </c>
      <c r="N190" s="15">
        <f>+M190*1000/(110*4*18*60)*T190</f>
        <v>4.6085858585858581</v>
      </c>
      <c r="O190" s="162"/>
      <c r="P190" s="162">
        <f t="shared" si="17"/>
        <v>0</v>
      </c>
      <c r="Q190" s="162"/>
      <c r="R190" s="19">
        <f t="shared" si="18"/>
        <v>0</v>
      </c>
      <c r="S190" s="162">
        <f t="shared" si="19"/>
        <v>0</v>
      </c>
      <c r="T190" s="20">
        <v>5</v>
      </c>
      <c r="U190" s="20"/>
      <c r="V190" s="15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8">
        <v>300438</v>
      </c>
      <c r="B191" s="151" t="s">
        <v>87</v>
      </c>
      <c r="C191" s="219" t="s">
        <v>304</v>
      </c>
      <c r="D191" s="219" t="s">
        <v>89</v>
      </c>
      <c r="E191" s="164" t="s">
        <v>35</v>
      </c>
      <c r="F191" s="13"/>
      <c r="G191" s="110"/>
      <c r="H191" s="110"/>
      <c r="I191" s="110"/>
      <c r="J191" s="110"/>
      <c r="K191" s="162">
        <f t="shared" ref="K191:K198" si="23">G191*M191</f>
        <v>0</v>
      </c>
      <c r="L191" s="162">
        <f t="shared" ref="L191:L198" si="24">I191*M191</f>
        <v>0</v>
      </c>
      <c r="M191" s="162">
        <v>336.6</v>
      </c>
      <c r="N191" s="162">
        <f>+M191*1000/(45*10*18*60)*T191</f>
        <v>1.3851851851851851</v>
      </c>
      <c r="O191" s="162"/>
      <c r="P191" s="162">
        <f t="shared" ref="P191:P198" si="25">N191*I191+O191*U191</f>
        <v>0</v>
      </c>
      <c r="Q191" s="162"/>
      <c r="R191" s="19">
        <f t="shared" ref="R191:R198" si="26">Q191*U191</f>
        <v>0</v>
      </c>
      <c r="S191" s="162">
        <f t="shared" ref="S191:S198" si="27">R191-P191</f>
        <v>0</v>
      </c>
      <c r="T191" s="20">
        <v>2</v>
      </c>
      <c r="U191" s="20"/>
      <c r="V191" s="15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8">
        <v>300439</v>
      </c>
      <c r="B192" s="151" t="s">
        <v>87</v>
      </c>
      <c r="C192" s="219" t="s">
        <v>304</v>
      </c>
      <c r="D192" s="219" t="s">
        <v>89</v>
      </c>
      <c r="E192" s="164" t="s">
        <v>66</v>
      </c>
      <c r="F192" s="13"/>
      <c r="G192" s="110"/>
      <c r="H192" s="110"/>
      <c r="I192" s="110"/>
      <c r="J192" s="110"/>
      <c r="K192" s="162">
        <f t="shared" si="23"/>
        <v>0</v>
      </c>
      <c r="L192" s="162">
        <f t="shared" si="24"/>
        <v>0</v>
      </c>
      <c r="M192" s="162">
        <v>336.6</v>
      </c>
      <c r="N192" s="162">
        <f>+M192*1000/(45*10*18*60)*T192</f>
        <v>1.3851851851851851</v>
      </c>
      <c r="O192" s="162"/>
      <c r="P192" s="162">
        <f t="shared" si="25"/>
        <v>0</v>
      </c>
      <c r="Q192" s="162"/>
      <c r="R192" s="19">
        <f t="shared" si="26"/>
        <v>0</v>
      </c>
      <c r="S192" s="162">
        <f t="shared" si="27"/>
        <v>0</v>
      </c>
      <c r="T192" s="20">
        <v>2</v>
      </c>
      <c r="U192" s="20"/>
      <c r="V192" s="15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8">
        <v>300440</v>
      </c>
      <c r="B193" s="151" t="s">
        <v>87</v>
      </c>
      <c r="C193" s="219" t="s">
        <v>304</v>
      </c>
      <c r="D193" s="219" t="s">
        <v>89</v>
      </c>
      <c r="E193" s="164" t="s">
        <v>41</v>
      </c>
      <c r="F193" s="13"/>
      <c r="G193" s="110"/>
      <c r="H193" s="110"/>
      <c r="I193" s="110"/>
      <c r="J193" s="110"/>
      <c r="K193" s="162">
        <f t="shared" si="23"/>
        <v>0</v>
      </c>
      <c r="L193" s="162">
        <f t="shared" si="24"/>
        <v>0</v>
      </c>
      <c r="M193" s="162">
        <v>336.6</v>
      </c>
      <c r="N193" s="162">
        <f>+M193*1000/(45*10*18*60)*T193</f>
        <v>1.3851851851851851</v>
      </c>
      <c r="O193" s="162"/>
      <c r="P193" s="162">
        <f t="shared" si="25"/>
        <v>0</v>
      </c>
      <c r="Q193" s="162"/>
      <c r="R193" s="19">
        <f t="shared" si="26"/>
        <v>0</v>
      </c>
      <c r="S193" s="162">
        <f t="shared" si="27"/>
        <v>0</v>
      </c>
      <c r="T193" s="20">
        <v>2</v>
      </c>
      <c r="U193" s="20"/>
      <c r="V193" s="15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8">
        <v>300441</v>
      </c>
      <c r="B194" s="151" t="s">
        <v>87</v>
      </c>
      <c r="C194" s="219" t="s">
        <v>304</v>
      </c>
      <c r="D194" s="219" t="s">
        <v>89</v>
      </c>
      <c r="E194" s="164" t="s">
        <v>37</v>
      </c>
      <c r="F194" s="13"/>
      <c r="G194" s="110"/>
      <c r="H194" s="110"/>
      <c r="I194" s="110"/>
      <c r="J194" s="110"/>
      <c r="K194" s="162">
        <f t="shared" si="23"/>
        <v>0</v>
      </c>
      <c r="L194" s="162">
        <f t="shared" si="24"/>
        <v>0</v>
      </c>
      <c r="M194" s="162">
        <v>336.6</v>
      </c>
      <c r="N194" s="162">
        <f>+M194*1000/(45*10*18*60)*T194</f>
        <v>1.3851851851851851</v>
      </c>
      <c r="O194" s="162"/>
      <c r="P194" s="162">
        <f t="shared" si="25"/>
        <v>0</v>
      </c>
      <c r="Q194" s="162"/>
      <c r="R194" s="19">
        <f t="shared" si="26"/>
        <v>0</v>
      </c>
      <c r="S194" s="162">
        <f t="shared" si="27"/>
        <v>0</v>
      </c>
      <c r="T194" s="20">
        <v>2</v>
      </c>
      <c r="U194" s="20"/>
      <c r="V194" s="15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5">
        <v>300406</v>
      </c>
      <c r="B195" s="151" t="s">
        <v>163</v>
      </c>
      <c r="C195" s="230" t="s">
        <v>164</v>
      </c>
      <c r="D195" s="231"/>
      <c r="E195" s="166" t="s">
        <v>141</v>
      </c>
      <c r="F195" s="27"/>
      <c r="G195" s="67"/>
      <c r="H195" s="67"/>
      <c r="I195" s="110"/>
      <c r="J195" s="110"/>
      <c r="K195" s="152">
        <f t="shared" si="23"/>
        <v>0</v>
      </c>
      <c r="L195" s="162">
        <f t="shared" si="24"/>
        <v>0</v>
      </c>
      <c r="M195" s="162">
        <v>628.29999999999995</v>
      </c>
      <c r="N195" s="15">
        <f>+M195*1000/(132*4*18*60)*T195</f>
        <v>5.5090838945005611</v>
      </c>
      <c r="O195" s="162"/>
      <c r="P195" s="162">
        <f t="shared" si="25"/>
        <v>0</v>
      </c>
      <c r="Q195" s="162"/>
      <c r="R195" s="19">
        <f t="shared" si="26"/>
        <v>0</v>
      </c>
      <c r="S195" s="162">
        <f t="shared" si="27"/>
        <v>0</v>
      </c>
      <c r="T195" s="20">
        <v>5</v>
      </c>
      <c r="U195" s="20"/>
      <c r="V195" s="15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5">
        <v>300407</v>
      </c>
      <c r="B196" s="151" t="s">
        <v>163</v>
      </c>
      <c r="C196" s="230" t="s">
        <v>164</v>
      </c>
      <c r="D196" s="231"/>
      <c r="E196" s="166" t="s">
        <v>165</v>
      </c>
      <c r="F196" s="27"/>
      <c r="G196" s="67"/>
      <c r="H196" s="67"/>
      <c r="I196" s="110"/>
      <c r="J196" s="110"/>
      <c r="K196" s="152">
        <f t="shared" si="23"/>
        <v>0</v>
      </c>
      <c r="L196" s="162">
        <f t="shared" si="24"/>
        <v>0</v>
      </c>
      <c r="M196" s="162">
        <v>628.29999999999995</v>
      </c>
      <c r="N196" s="15">
        <f>+M196*1000/(132*4*18*60)*T196</f>
        <v>5.5090838945005611</v>
      </c>
      <c r="O196" s="162"/>
      <c r="P196" s="162">
        <f t="shared" si="25"/>
        <v>0</v>
      </c>
      <c r="Q196" s="162"/>
      <c r="R196" s="19">
        <f t="shared" si="26"/>
        <v>0</v>
      </c>
      <c r="S196" s="162">
        <f t="shared" si="27"/>
        <v>0</v>
      </c>
      <c r="T196" s="20">
        <v>5</v>
      </c>
      <c r="U196" s="20"/>
      <c r="V196" s="15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5">
        <v>300408</v>
      </c>
      <c r="B197" s="151" t="s">
        <v>163</v>
      </c>
      <c r="C197" s="230" t="s">
        <v>164</v>
      </c>
      <c r="D197" s="231"/>
      <c r="E197" s="166" t="s">
        <v>41</v>
      </c>
      <c r="F197" s="27"/>
      <c r="G197" s="67"/>
      <c r="H197" s="67"/>
      <c r="I197" s="110"/>
      <c r="J197" s="110"/>
      <c r="K197" s="152">
        <f t="shared" si="23"/>
        <v>0</v>
      </c>
      <c r="L197" s="162">
        <f t="shared" si="24"/>
        <v>0</v>
      </c>
      <c r="M197" s="162">
        <v>628.29999999999995</v>
      </c>
      <c r="N197" s="15">
        <f>+M197*1000/(132*4*18*60)*T197</f>
        <v>5.5090838945005611</v>
      </c>
      <c r="O197" s="162"/>
      <c r="P197" s="162">
        <f t="shared" si="25"/>
        <v>0</v>
      </c>
      <c r="Q197" s="162"/>
      <c r="R197" s="19">
        <f t="shared" si="26"/>
        <v>0</v>
      </c>
      <c r="S197" s="162">
        <f t="shared" si="27"/>
        <v>0</v>
      </c>
      <c r="T197" s="20">
        <v>5</v>
      </c>
      <c r="U197" s="20"/>
      <c r="V197" s="15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5">
        <v>300409</v>
      </c>
      <c r="B198" s="151" t="s">
        <v>163</v>
      </c>
      <c r="C198" s="230" t="s">
        <v>164</v>
      </c>
      <c r="D198" s="231"/>
      <c r="E198" s="166" t="s">
        <v>166</v>
      </c>
      <c r="F198" s="27"/>
      <c r="G198" s="67"/>
      <c r="H198" s="67"/>
      <c r="I198" s="110"/>
      <c r="J198" s="110"/>
      <c r="K198" s="152">
        <f t="shared" si="23"/>
        <v>0</v>
      </c>
      <c r="L198" s="162">
        <f t="shared" si="24"/>
        <v>0</v>
      </c>
      <c r="M198" s="162">
        <v>628.29999999999995</v>
      </c>
      <c r="N198" s="15">
        <f>+M198*1000/(132*4*18*60)*T198</f>
        <v>5.5090838945005611</v>
      </c>
      <c r="O198" s="162"/>
      <c r="P198" s="162">
        <f t="shared" si="25"/>
        <v>0</v>
      </c>
      <c r="Q198" s="162"/>
      <c r="R198" s="19">
        <f t="shared" si="26"/>
        <v>0</v>
      </c>
      <c r="S198" s="162">
        <f t="shared" si="27"/>
        <v>0</v>
      </c>
      <c r="T198" s="20">
        <v>5</v>
      </c>
      <c r="U198" s="20"/>
      <c r="V198" s="15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62">
        <f t="array" ref="G199">SUM(IF(ISERROR(G6:G198),“”,G6:G198))</f>
        <v>0</v>
      </c>
      <c r="H199" s="162">
        <f t="array" ref="H199">SUM(IF(ISERROR(H6:H198),“”,H6:H198))</f>
        <v>0</v>
      </c>
      <c r="I199" s="162">
        <f t="array" ref="I199">SUM(IF(ISERROR(I6:I198),“”,I6:I198))</f>
        <v>0</v>
      </c>
      <c r="J199" s="162">
        <f t="array" ref="J199">SUM(IF(ISERROR(J6:J198),“”,J6:J198))</f>
        <v>0</v>
      </c>
      <c r="K199" s="162">
        <f t="array" ref="K199">SUM(IF(ISERROR(K6:K198),“”,K6:K198))</f>
        <v>0</v>
      </c>
      <c r="L199" s="56">
        <f>SUM(L6:L198)</f>
        <v>0</v>
      </c>
      <c r="M199" s="162"/>
      <c r="N199" s="162"/>
      <c r="O199" s="162">
        <f>SUM(O6:O190)</f>
        <v>0</v>
      </c>
      <c r="P199" s="56">
        <f>SUM((P6:P190),(W204:X209))</f>
        <v>0</v>
      </c>
      <c r="Q199" s="162"/>
      <c r="R199" s="56">
        <f>SUM((R6:R190),(Y204:Z209))</f>
        <v>0</v>
      </c>
      <c r="S199" s="162">
        <f t="array" ref="S199">SUM(IF(ISERROR(S6:S198),“”,S6:S198))</f>
        <v>0</v>
      </c>
      <c r="T199" s="162"/>
      <c r="U199" s="162"/>
      <c r="V199" s="159" t="str">
        <f>IF(ISERROR(L199/K199),"",L199/K199)</f>
        <v/>
      </c>
      <c r="W199" s="162">
        <f t="array" ref="W199">SUM(IF(ISERROR(W6:W198),“”,W6:W198))</f>
        <v>0</v>
      </c>
      <c r="X199" s="162">
        <f t="array" ref="X199">SUM(IF(ISERROR(X6:X198),“”,X6:X198))</f>
        <v>0</v>
      </c>
      <c r="Y199" s="162">
        <f t="array" ref="Y199">SUM(IF(ISERROR(Y6:Y198),“”,Y6:Y198))</f>
        <v>0</v>
      </c>
      <c r="Z199" s="162">
        <f t="array" ref="Z199">SUM(IF(ISERROR(Z6:Z198),“”,Z6:Z198))</f>
        <v>0</v>
      </c>
      <c r="AA199" s="162">
        <f t="array" ref="AA199">SUM(IF(ISERROR(AA6:AA198),“”,AA6:AA198))</f>
        <v>0</v>
      </c>
      <c r="AB199" s="162">
        <f t="array" ref="AB199">SUM(IF(ISERROR(AB6:AB198),“”,AB6:AB198))</f>
        <v>0</v>
      </c>
      <c r="AC199" s="16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8">S203*11</f>
        <v>0</v>
      </c>
      <c r="X203" s="254"/>
      <c r="Y203" s="254">
        <f t="shared" ref="Y203:Y210" si="29">U203*11</f>
        <v>0</v>
      </c>
      <c r="Z203" s="254"/>
      <c r="AA203" s="254">
        <f t="shared" ref="AA203:AA210" si="30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8"/>
        <v>0</v>
      </c>
      <c r="X204" s="254"/>
      <c r="Y204" s="254">
        <f t="shared" si="29"/>
        <v>0</v>
      </c>
      <c r="Z204" s="254"/>
      <c r="AA204" s="254">
        <f t="shared" si="30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8"/>
        <v>0</v>
      </c>
      <c r="X205" s="254"/>
      <c r="Y205" s="254">
        <f t="shared" si="29"/>
        <v>0</v>
      </c>
      <c r="Z205" s="254"/>
      <c r="AA205" s="254">
        <f t="shared" si="30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6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8"/>
        <v>0</v>
      </c>
      <c r="X206" s="254"/>
      <c r="Y206" s="254">
        <f t="shared" si="29"/>
        <v>0</v>
      </c>
      <c r="Z206" s="254"/>
      <c r="AA206" s="254">
        <f t="shared" si="30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6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8"/>
        <v>0</v>
      </c>
      <c r="X207" s="254"/>
      <c r="Y207" s="254">
        <f t="shared" si="29"/>
        <v>0</v>
      </c>
      <c r="Z207" s="254"/>
      <c r="AA207" s="254">
        <f t="shared" si="30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6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8"/>
        <v>0</v>
      </c>
      <c r="X208" s="254"/>
      <c r="Y208" s="254">
        <f t="shared" si="29"/>
        <v>0</v>
      </c>
      <c r="Z208" s="254"/>
      <c r="AA208" s="254">
        <f t="shared" si="30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8"/>
        <v>0</v>
      </c>
      <c r="X209" s="254"/>
      <c r="Y209" s="254">
        <f t="shared" si="29"/>
        <v>0</v>
      </c>
      <c r="Z209" s="254"/>
      <c r="AA209" s="254">
        <f t="shared" si="30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8"/>
        <v>0</v>
      </c>
      <c r="X210" s="254"/>
      <c r="Y210" s="254">
        <f t="shared" si="29"/>
        <v>0</v>
      </c>
      <c r="Z210" s="254"/>
      <c r="AA210" s="254">
        <f t="shared" si="30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51" t="s">
        <v>25</v>
      </c>
      <c r="S214" s="220"/>
      <c r="T214" s="222"/>
      <c r="U214" s="222"/>
      <c r="V214" s="224"/>
      <c r="W214" s="151" t="s">
        <v>26</v>
      </c>
      <c r="X214" s="18" t="s">
        <v>27</v>
      </c>
      <c r="Y214" s="18" t="s">
        <v>28</v>
      </c>
      <c r="Z214" s="151" t="s">
        <v>29</v>
      </c>
      <c r="AA214" s="18" t="s">
        <v>30</v>
      </c>
      <c r="AB214" s="18" t="s">
        <v>31</v>
      </c>
      <c r="AC214" s="151" t="s">
        <v>32</v>
      </c>
    </row>
    <row r="215" spans="1:29" ht="21.95" customHeight="1">
      <c r="A215" s="158">
        <v>300320</v>
      </c>
      <c r="B215" s="151" t="s">
        <v>33</v>
      </c>
      <c r="C215" s="232" t="s">
        <v>34</v>
      </c>
      <c r="D215" s="232"/>
      <c r="E215" s="164" t="s">
        <v>35</v>
      </c>
      <c r="F215" s="13"/>
      <c r="G215" s="162"/>
      <c r="H215" s="162"/>
      <c r="I215" s="162"/>
      <c r="J215" s="162"/>
      <c r="K215" s="162">
        <f t="shared" ref="K215:K285" si="31">G215*M215</f>
        <v>0</v>
      </c>
      <c r="L215" s="162">
        <f t="shared" ref="L215:L285" si="32">I215*M215</f>
        <v>0</v>
      </c>
      <c r="M215" s="162">
        <v>633.6</v>
      </c>
      <c r="N215" s="162">
        <f t="shared" ref="N215:N222" si="33">+M215*1000/(28.3*10*40*60)*T215</f>
        <v>4.6643109540636036</v>
      </c>
      <c r="O215" s="162"/>
      <c r="P215" s="162">
        <f t="shared" ref="P215:P285" si="34">N215*I215+O215*U215</f>
        <v>0</v>
      </c>
      <c r="Q215" s="162"/>
      <c r="R215" s="19">
        <f t="shared" ref="R215:R285" si="35">Q215*U215</f>
        <v>0</v>
      </c>
      <c r="S215" s="162">
        <f t="shared" ref="S215:S285" si="36">R215-P215</f>
        <v>0</v>
      </c>
      <c r="T215" s="20">
        <v>5</v>
      </c>
      <c r="U215" s="20"/>
      <c r="V215" s="159" t="str">
        <f t="array" ref="V215">IF(ISERROR(L215/K215),"",L215/K215)</f>
        <v/>
      </c>
      <c r="W215" s="20"/>
      <c r="X215" s="151"/>
      <c r="Y215" s="151"/>
      <c r="Z215" s="163"/>
      <c r="AA215" s="20"/>
      <c r="AB215" s="20"/>
      <c r="AC215" s="20"/>
    </row>
    <row r="216" spans="1:29" s="2" customFormat="1" ht="21.95" customHeight="1">
      <c r="A216" s="158">
        <v>300318</v>
      </c>
      <c r="B216" s="161" t="s">
        <v>33</v>
      </c>
      <c r="C216" s="329" t="s">
        <v>34</v>
      </c>
      <c r="D216" s="329"/>
      <c r="E216" s="48" t="s">
        <v>36</v>
      </c>
      <c r="F216" s="163"/>
      <c r="G216" s="162"/>
      <c r="H216" s="162"/>
      <c r="I216" s="162"/>
      <c r="J216" s="162"/>
      <c r="K216" s="162">
        <f t="shared" si="31"/>
        <v>0</v>
      </c>
      <c r="L216" s="162">
        <f t="shared" si="32"/>
        <v>0</v>
      </c>
      <c r="M216" s="162">
        <v>633.6</v>
      </c>
      <c r="N216" s="162">
        <f t="shared" si="33"/>
        <v>3.7314487632508833</v>
      </c>
      <c r="O216" s="162"/>
      <c r="P216" s="162">
        <f t="shared" si="34"/>
        <v>0</v>
      </c>
      <c r="Q216" s="162"/>
      <c r="R216" s="19">
        <f t="shared" si="35"/>
        <v>0</v>
      </c>
      <c r="S216" s="162">
        <f t="shared" si="36"/>
        <v>0</v>
      </c>
      <c r="T216" s="20">
        <v>4</v>
      </c>
      <c r="U216" s="20"/>
      <c r="V216" s="159" t="str">
        <f t="array" ref="V216">IF(ISERROR(L216/K216),"",L216/K216)</f>
        <v/>
      </c>
      <c r="W216" s="20"/>
      <c r="X216" s="151"/>
      <c r="Y216" s="151"/>
      <c r="Z216" s="163"/>
      <c r="AA216" s="20"/>
      <c r="AB216" s="20"/>
      <c r="AC216" s="20"/>
    </row>
    <row r="217" spans="1:29" s="2" customFormat="1" ht="21.95" customHeight="1">
      <c r="A217" s="158">
        <v>300319</v>
      </c>
      <c r="B217" s="161" t="s">
        <v>33</v>
      </c>
      <c r="C217" s="329" t="s">
        <v>34</v>
      </c>
      <c r="D217" s="329"/>
      <c r="E217" s="48" t="s">
        <v>37</v>
      </c>
      <c r="F217" s="163"/>
      <c r="G217" s="162"/>
      <c r="H217" s="162"/>
      <c r="I217" s="162"/>
      <c r="J217" s="162"/>
      <c r="K217" s="162">
        <f t="shared" si="31"/>
        <v>0</v>
      </c>
      <c r="L217" s="162">
        <f t="shared" si="32"/>
        <v>0</v>
      </c>
      <c r="M217" s="162">
        <v>633.6</v>
      </c>
      <c r="N217" s="162">
        <f t="shared" si="33"/>
        <v>3.7314487632508833</v>
      </c>
      <c r="O217" s="162"/>
      <c r="P217" s="162">
        <f t="shared" si="34"/>
        <v>0</v>
      </c>
      <c r="Q217" s="162"/>
      <c r="R217" s="19">
        <f t="shared" si="35"/>
        <v>0</v>
      </c>
      <c r="S217" s="162">
        <f t="shared" si="36"/>
        <v>0</v>
      </c>
      <c r="T217" s="20">
        <v>4</v>
      </c>
      <c r="U217" s="20"/>
      <c r="V217" s="159" t="str">
        <f t="array" ref="V217">IF(ISERROR(L217/K217),"",L217/K217)</f>
        <v/>
      </c>
      <c r="W217" s="20"/>
      <c r="X217" s="151"/>
      <c r="Y217" s="151"/>
      <c r="Z217" s="163"/>
      <c r="AA217" s="20"/>
      <c r="AB217" s="20"/>
      <c r="AC217" s="20"/>
    </row>
    <row r="218" spans="1:29" s="2" customFormat="1" ht="21.95" customHeight="1">
      <c r="A218" s="158">
        <v>300316</v>
      </c>
      <c r="B218" s="161" t="s">
        <v>33</v>
      </c>
      <c r="C218" s="329" t="s">
        <v>34</v>
      </c>
      <c r="D218" s="329"/>
      <c r="E218" s="48" t="s">
        <v>38</v>
      </c>
      <c r="F218" s="163"/>
      <c r="G218" s="162"/>
      <c r="H218" s="162"/>
      <c r="I218" s="162"/>
      <c r="J218" s="162"/>
      <c r="K218" s="162">
        <f t="shared" si="31"/>
        <v>0</v>
      </c>
      <c r="L218" s="162">
        <f t="shared" si="32"/>
        <v>0</v>
      </c>
      <c r="M218" s="162">
        <v>616</v>
      </c>
      <c r="N218" s="162">
        <f t="shared" si="33"/>
        <v>3.6277974087161367</v>
      </c>
      <c r="O218" s="162"/>
      <c r="P218" s="162">
        <f t="shared" si="34"/>
        <v>0</v>
      </c>
      <c r="Q218" s="162"/>
      <c r="R218" s="19">
        <f t="shared" si="35"/>
        <v>0</v>
      </c>
      <c r="S218" s="162">
        <f t="shared" si="36"/>
        <v>0</v>
      </c>
      <c r="T218" s="20">
        <v>4</v>
      </c>
      <c r="U218" s="20"/>
      <c r="V218" s="159" t="str">
        <f t="array" ref="V218">IF(ISERROR(L218/K218),"",L218/K218)</f>
        <v/>
      </c>
      <c r="W218" s="20"/>
      <c r="X218" s="151"/>
      <c r="Y218" s="151"/>
      <c r="Z218" s="163"/>
      <c r="AA218" s="20"/>
      <c r="AB218" s="20"/>
      <c r="AC218" s="20"/>
    </row>
    <row r="219" spans="1:29" s="2" customFormat="1" ht="21.95" customHeight="1">
      <c r="A219" s="158">
        <v>300317</v>
      </c>
      <c r="B219" s="161" t="s">
        <v>33</v>
      </c>
      <c r="C219" s="329" t="s">
        <v>34</v>
      </c>
      <c r="D219" s="329"/>
      <c r="E219" s="48" t="s">
        <v>39</v>
      </c>
      <c r="F219" s="163"/>
      <c r="G219" s="162"/>
      <c r="H219" s="162"/>
      <c r="I219" s="162"/>
      <c r="J219" s="162"/>
      <c r="K219" s="162">
        <f t="shared" si="31"/>
        <v>0</v>
      </c>
      <c r="L219" s="162">
        <f t="shared" si="32"/>
        <v>0</v>
      </c>
      <c r="M219" s="162">
        <v>616</v>
      </c>
      <c r="N219" s="162">
        <f t="shared" si="33"/>
        <v>3.6277974087161367</v>
      </c>
      <c r="O219" s="162"/>
      <c r="P219" s="162">
        <f t="shared" si="34"/>
        <v>0</v>
      </c>
      <c r="Q219" s="162"/>
      <c r="R219" s="19">
        <f t="shared" si="35"/>
        <v>0</v>
      </c>
      <c r="S219" s="162">
        <f t="shared" si="36"/>
        <v>0</v>
      </c>
      <c r="T219" s="20">
        <v>4</v>
      </c>
      <c r="U219" s="20"/>
      <c r="V219" s="159" t="str">
        <f t="array" ref="V219">IF(ISERROR(L219/K219),"",L219/K219)</f>
        <v/>
      </c>
      <c r="W219" s="20"/>
      <c r="X219" s="151"/>
      <c r="Y219" s="151"/>
      <c r="Z219" s="163"/>
      <c r="AA219" s="20"/>
      <c r="AB219" s="20"/>
      <c r="AC219" s="20"/>
    </row>
    <row r="220" spans="1:29" s="2" customFormat="1" ht="21.95" customHeight="1">
      <c r="A220" s="158">
        <v>300315</v>
      </c>
      <c r="B220" s="161" t="s">
        <v>33</v>
      </c>
      <c r="C220" s="329" t="s">
        <v>34</v>
      </c>
      <c r="D220" s="329"/>
      <c r="E220" s="48" t="s">
        <v>40</v>
      </c>
      <c r="F220" s="163"/>
      <c r="G220" s="162"/>
      <c r="H220" s="162"/>
      <c r="I220" s="162"/>
      <c r="J220" s="162"/>
      <c r="K220" s="162">
        <f t="shared" si="31"/>
        <v>0</v>
      </c>
      <c r="L220" s="162">
        <f t="shared" si="32"/>
        <v>0</v>
      </c>
      <c r="M220" s="162">
        <v>616</v>
      </c>
      <c r="N220" s="162">
        <f t="shared" si="33"/>
        <v>3.6277974087161367</v>
      </c>
      <c r="O220" s="162"/>
      <c r="P220" s="162">
        <f t="shared" si="34"/>
        <v>0</v>
      </c>
      <c r="Q220" s="162"/>
      <c r="R220" s="19">
        <f t="shared" si="35"/>
        <v>0</v>
      </c>
      <c r="S220" s="162">
        <f t="shared" si="36"/>
        <v>0</v>
      </c>
      <c r="T220" s="20">
        <v>4</v>
      </c>
      <c r="U220" s="20"/>
      <c r="V220" s="159" t="str">
        <f t="array" ref="V220">IF(ISERROR(L220/K220),"",L220/K220)</f>
        <v/>
      </c>
      <c r="W220" s="20"/>
      <c r="X220" s="151"/>
      <c r="Y220" s="151"/>
      <c r="Z220" s="163"/>
      <c r="AA220" s="20"/>
      <c r="AB220" s="20"/>
      <c r="AC220" s="20"/>
    </row>
    <row r="221" spans="1:29" s="2" customFormat="1" ht="21.95" customHeight="1">
      <c r="A221" s="158">
        <v>300314</v>
      </c>
      <c r="B221" s="161" t="s">
        <v>33</v>
      </c>
      <c r="C221" s="329" t="s">
        <v>34</v>
      </c>
      <c r="D221" s="329"/>
      <c r="E221" s="48" t="s">
        <v>41</v>
      </c>
      <c r="F221" s="163"/>
      <c r="G221" s="162"/>
      <c r="H221" s="162"/>
      <c r="I221" s="162"/>
      <c r="J221" s="162"/>
      <c r="K221" s="162">
        <f t="shared" si="31"/>
        <v>0</v>
      </c>
      <c r="L221" s="162">
        <f t="shared" si="32"/>
        <v>0</v>
      </c>
      <c r="M221" s="162">
        <v>616</v>
      </c>
      <c r="N221" s="162">
        <f t="shared" si="33"/>
        <v>3.6277974087161367</v>
      </c>
      <c r="O221" s="162"/>
      <c r="P221" s="162">
        <f t="shared" si="34"/>
        <v>0</v>
      </c>
      <c r="Q221" s="162"/>
      <c r="R221" s="19">
        <f t="shared" si="35"/>
        <v>0</v>
      </c>
      <c r="S221" s="162">
        <f t="shared" si="36"/>
        <v>0</v>
      </c>
      <c r="T221" s="20">
        <v>4</v>
      </c>
      <c r="U221" s="20"/>
      <c r="V221" s="159" t="str">
        <f t="array" ref="V221">IF(ISERROR(L221/K221),"",L221/K221)</f>
        <v/>
      </c>
      <c r="W221" s="20"/>
      <c r="X221" s="151"/>
      <c r="Y221" s="151"/>
      <c r="Z221" s="163"/>
      <c r="AA221" s="20"/>
      <c r="AB221" s="20"/>
      <c r="AC221" s="20"/>
    </row>
    <row r="222" spans="1:29" s="2" customFormat="1" ht="21.95" customHeight="1">
      <c r="A222" s="158">
        <v>300313</v>
      </c>
      <c r="B222" s="161" t="s">
        <v>33</v>
      </c>
      <c r="C222" s="329" t="s">
        <v>34</v>
      </c>
      <c r="D222" s="329"/>
      <c r="E222" s="48" t="s">
        <v>42</v>
      </c>
      <c r="F222" s="163"/>
      <c r="G222" s="162"/>
      <c r="H222" s="162"/>
      <c r="I222" s="162"/>
      <c r="J222" s="162"/>
      <c r="K222" s="162">
        <f t="shared" si="31"/>
        <v>0</v>
      </c>
      <c r="L222" s="162">
        <f t="shared" si="32"/>
        <v>0</v>
      </c>
      <c r="M222" s="162">
        <v>616</v>
      </c>
      <c r="N222" s="162">
        <f t="shared" si="33"/>
        <v>3.6277974087161367</v>
      </c>
      <c r="O222" s="162"/>
      <c r="P222" s="162">
        <f t="shared" si="34"/>
        <v>0</v>
      </c>
      <c r="Q222" s="162"/>
      <c r="R222" s="19">
        <f t="shared" si="35"/>
        <v>0</v>
      </c>
      <c r="S222" s="162">
        <f t="shared" si="36"/>
        <v>0</v>
      </c>
      <c r="T222" s="20">
        <v>4</v>
      </c>
      <c r="U222" s="20"/>
      <c r="V222" s="159" t="str">
        <f t="array" ref="V222">IF(ISERROR(L222/K222),"",L222/K222)</f>
        <v/>
      </c>
      <c r="W222" s="20"/>
      <c r="X222" s="151"/>
      <c r="Y222" s="151"/>
      <c r="Z222" s="163"/>
      <c r="AA222" s="20"/>
      <c r="AB222" s="20"/>
      <c r="AC222" s="20"/>
    </row>
    <row r="223" spans="1:29" ht="21.95" customHeight="1">
      <c r="A223" s="158"/>
      <c r="B223" s="151" t="s">
        <v>43</v>
      </c>
      <c r="C223" s="230" t="s">
        <v>305</v>
      </c>
      <c r="D223" s="231"/>
      <c r="E223" s="164" t="s">
        <v>306</v>
      </c>
      <c r="F223" s="13"/>
      <c r="G223" s="110"/>
      <c r="H223" s="110"/>
      <c r="I223" s="110"/>
      <c r="J223" s="110"/>
      <c r="K223" s="162">
        <f t="shared" si="31"/>
        <v>0</v>
      </c>
      <c r="L223" s="162">
        <f t="shared" si="32"/>
        <v>0</v>
      </c>
      <c r="M223" s="162">
        <v>213.4</v>
      </c>
      <c r="N223" s="162">
        <f>+M223*1000/(15.4*10*17*60)*T223</f>
        <v>4.0756302521008401</v>
      </c>
      <c r="O223" s="162"/>
      <c r="P223" s="162">
        <f t="shared" si="34"/>
        <v>0</v>
      </c>
      <c r="Q223" s="162"/>
      <c r="R223" s="19">
        <f t="shared" si="35"/>
        <v>0</v>
      </c>
      <c r="S223" s="162">
        <f t="shared" si="36"/>
        <v>0</v>
      </c>
      <c r="T223" s="20">
        <v>3</v>
      </c>
      <c r="U223" s="20"/>
      <c r="V223" s="159"/>
      <c r="W223" s="20"/>
      <c r="X223" s="151"/>
      <c r="Y223" s="151"/>
      <c r="Z223" s="163"/>
      <c r="AA223" s="20"/>
      <c r="AB223" s="20"/>
      <c r="AC223" s="20"/>
    </row>
    <row r="224" spans="1:29" ht="21.95" customHeight="1">
      <c r="A224" s="158"/>
      <c r="B224" s="151" t="s">
        <v>43</v>
      </c>
      <c r="C224" s="230" t="s">
        <v>305</v>
      </c>
      <c r="D224" s="231"/>
      <c r="E224" s="164" t="s">
        <v>307</v>
      </c>
      <c r="F224" s="13"/>
      <c r="G224" s="110"/>
      <c r="H224" s="110"/>
      <c r="I224" s="110"/>
      <c r="J224" s="110"/>
      <c r="K224" s="162">
        <f t="shared" si="31"/>
        <v>0</v>
      </c>
      <c r="L224" s="162">
        <f t="shared" si="32"/>
        <v>0</v>
      </c>
      <c r="M224" s="162">
        <v>213.4</v>
      </c>
      <c r="N224" s="162">
        <f>+M224*1000/(15.4*10*17*60)*T224</f>
        <v>4.0756302521008401</v>
      </c>
      <c r="O224" s="162"/>
      <c r="P224" s="162">
        <f t="shared" si="34"/>
        <v>0</v>
      </c>
      <c r="Q224" s="162"/>
      <c r="R224" s="19">
        <f t="shared" si="35"/>
        <v>0</v>
      </c>
      <c r="S224" s="162">
        <f t="shared" si="36"/>
        <v>0</v>
      </c>
      <c r="T224" s="20">
        <v>3</v>
      </c>
      <c r="U224" s="20"/>
      <c r="V224" s="159"/>
      <c r="W224" s="20"/>
      <c r="X224" s="151"/>
      <c r="Y224" s="151"/>
      <c r="Z224" s="163"/>
      <c r="AA224" s="20"/>
      <c r="AB224" s="20"/>
      <c r="AC224" s="20"/>
    </row>
    <row r="225" spans="1:29" s="2" customFormat="1" ht="21.95" customHeight="1">
      <c r="A225" s="151">
        <v>300202</v>
      </c>
      <c r="B225" s="151" t="s">
        <v>52</v>
      </c>
      <c r="C225" s="230" t="s">
        <v>44</v>
      </c>
      <c r="D225" s="231"/>
      <c r="E225" s="151" t="s">
        <v>35</v>
      </c>
      <c r="F225" s="163"/>
      <c r="G225" s="162"/>
      <c r="H225" s="162"/>
      <c r="I225" s="162"/>
      <c r="J225" s="162"/>
      <c r="K225" s="162">
        <f t="shared" si="31"/>
        <v>0</v>
      </c>
      <c r="L225" s="162">
        <f t="shared" si="32"/>
        <v>0</v>
      </c>
      <c r="M225" s="162">
        <v>212.4</v>
      </c>
      <c r="N225" s="162">
        <f>+M225*1000/(15.4*10*17*60)*T225</f>
        <v>8.1130634071810537</v>
      </c>
      <c r="O225" s="162"/>
      <c r="P225" s="162">
        <f t="shared" si="34"/>
        <v>0</v>
      </c>
      <c r="Q225" s="162"/>
      <c r="R225" s="19">
        <f t="shared" si="35"/>
        <v>0</v>
      </c>
      <c r="S225" s="162">
        <f t="shared" si="36"/>
        <v>0</v>
      </c>
      <c r="T225" s="20">
        <v>6</v>
      </c>
      <c r="U225" s="20"/>
      <c r="V225" s="15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1">
        <v>300203</v>
      </c>
      <c r="B226" s="151" t="s">
        <v>43</v>
      </c>
      <c r="C226" s="230" t="s">
        <v>44</v>
      </c>
      <c r="D226" s="231"/>
      <c r="E226" s="151" t="s">
        <v>41</v>
      </c>
      <c r="F226" s="163"/>
      <c r="G226" s="162"/>
      <c r="H226" s="162"/>
      <c r="I226" s="162"/>
      <c r="J226" s="162"/>
      <c r="K226" s="162">
        <f t="shared" si="31"/>
        <v>0</v>
      </c>
      <c r="L226" s="162">
        <f t="shared" si="32"/>
        <v>0</v>
      </c>
      <c r="M226" s="162">
        <v>212.4</v>
      </c>
      <c r="N226" s="162">
        <f>+M226*1000/(15.4*10*17*60)*T226</f>
        <v>4.0565317035905268</v>
      </c>
      <c r="O226" s="162"/>
      <c r="P226" s="162">
        <f t="shared" si="34"/>
        <v>0</v>
      </c>
      <c r="Q226" s="162"/>
      <c r="R226" s="19">
        <f t="shared" si="35"/>
        <v>0</v>
      </c>
      <c r="S226" s="162">
        <f t="shared" si="36"/>
        <v>0</v>
      </c>
      <c r="T226" s="20">
        <v>3</v>
      </c>
      <c r="U226" s="20"/>
      <c r="V226" s="15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1">
        <v>300204</v>
      </c>
      <c r="B227" s="151" t="s">
        <v>43</v>
      </c>
      <c r="C227" s="230" t="s">
        <v>44</v>
      </c>
      <c r="D227" s="231"/>
      <c r="E227" s="151" t="s">
        <v>37</v>
      </c>
      <c r="F227" s="163"/>
      <c r="G227" s="162"/>
      <c r="H227" s="162"/>
      <c r="I227" s="162"/>
      <c r="J227" s="162"/>
      <c r="K227" s="162">
        <f t="shared" si="31"/>
        <v>0</v>
      </c>
      <c r="L227" s="162">
        <f t="shared" si="32"/>
        <v>0</v>
      </c>
      <c r="M227" s="162">
        <v>212.4</v>
      </c>
      <c r="N227" s="162">
        <f>+M227*1000/(15.4*10*17*60)*T227</f>
        <v>4.0565317035905268</v>
      </c>
      <c r="O227" s="162"/>
      <c r="P227" s="162">
        <f t="shared" si="34"/>
        <v>0</v>
      </c>
      <c r="Q227" s="162"/>
      <c r="R227" s="19">
        <f t="shared" si="35"/>
        <v>0</v>
      </c>
      <c r="S227" s="162">
        <f t="shared" si="36"/>
        <v>0</v>
      </c>
      <c r="T227" s="20">
        <v>3</v>
      </c>
      <c r="U227" s="20"/>
      <c r="V227" s="15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8">
        <v>300269</v>
      </c>
      <c r="B228" s="151" t="s">
        <v>43</v>
      </c>
      <c r="C228" s="219" t="s">
        <v>45</v>
      </c>
      <c r="D228" s="219"/>
      <c r="E228" s="164"/>
      <c r="F228" s="163"/>
      <c r="G228" s="162"/>
      <c r="H228" s="162"/>
      <c r="I228" s="162"/>
      <c r="J228" s="162"/>
      <c r="K228" s="162">
        <f t="shared" si="31"/>
        <v>0</v>
      </c>
      <c r="L228" s="162">
        <f t="shared" si="32"/>
        <v>0</v>
      </c>
      <c r="M228" s="162">
        <v>209.4</v>
      </c>
      <c r="N228" s="162">
        <f>+M228*1000/(19.4*10*16*60)*T228</f>
        <v>3.3730670103092786</v>
      </c>
      <c r="O228" s="162"/>
      <c r="P228" s="162">
        <f t="shared" si="34"/>
        <v>0</v>
      </c>
      <c r="Q228" s="162"/>
      <c r="R228" s="19">
        <f t="shared" si="35"/>
        <v>0</v>
      </c>
      <c r="S228" s="162">
        <f t="shared" si="36"/>
        <v>0</v>
      </c>
      <c r="T228" s="20">
        <v>3</v>
      </c>
      <c r="U228" s="20"/>
      <c r="V228" s="15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8"/>
      <c r="B229" s="151"/>
      <c r="C229" s="219" t="s">
        <v>46</v>
      </c>
      <c r="D229" s="219"/>
      <c r="E229" s="164" t="s">
        <v>47</v>
      </c>
      <c r="F229" s="163"/>
      <c r="G229" s="162"/>
      <c r="H229" s="162"/>
      <c r="I229" s="162"/>
      <c r="J229" s="162"/>
      <c r="K229" s="162">
        <f t="shared" si="31"/>
        <v>0</v>
      </c>
      <c r="L229" s="162">
        <f t="shared" si="32"/>
        <v>0</v>
      </c>
      <c r="M229" s="162">
        <v>209.9</v>
      </c>
      <c r="N229" s="162">
        <f>+M229*1000/(19*10*16*60)*T229</f>
        <v>3.4523026315789478</v>
      </c>
      <c r="O229" s="162"/>
      <c r="P229" s="162">
        <f t="shared" si="34"/>
        <v>0</v>
      </c>
      <c r="Q229" s="162"/>
      <c r="R229" s="19">
        <f t="shared" si="35"/>
        <v>0</v>
      </c>
      <c r="S229" s="162">
        <f t="shared" si="36"/>
        <v>0</v>
      </c>
      <c r="T229" s="20">
        <v>3</v>
      </c>
      <c r="U229" s="20"/>
      <c r="V229" s="15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8">
        <v>300350</v>
      </c>
      <c r="B230" s="151" t="s">
        <v>43</v>
      </c>
      <c r="C230" s="219" t="s">
        <v>48</v>
      </c>
      <c r="D230" s="219"/>
      <c r="E230" s="164" t="s">
        <v>49</v>
      </c>
      <c r="F230" s="163"/>
      <c r="G230" s="162"/>
      <c r="H230" s="162"/>
      <c r="I230" s="162"/>
      <c r="J230" s="162"/>
      <c r="K230" s="162">
        <f t="shared" si="31"/>
        <v>0</v>
      </c>
      <c r="L230" s="162">
        <f t="shared" si="32"/>
        <v>0</v>
      </c>
      <c r="M230" s="162">
        <v>209.9</v>
      </c>
      <c r="N230" s="162">
        <f>+M230*1000/(19*10*16*60)*T230</f>
        <v>2.3015350877192984</v>
      </c>
      <c r="O230" s="162"/>
      <c r="P230" s="162">
        <f t="shared" si="34"/>
        <v>0</v>
      </c>
      <c r="Q230" s="162"/>
      <c r="R230" s="19">
        <f t="shared" si="35"/>
        <v>0</v>
      </c>
      <c r="S230" s="162">
        <f t="shared" si="36"/>
        <v>0</v>
      </c>
      <c r="T230" s="20">
        <v>2</v>
      </c>
      <c r="U230" s="20"/>
      <c r="V230" s="15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8">
        <v>300113</v>
      </c>
      <c r="B231" s="151" t="s">
        <v>43</v>
      </c>
      <c r="C231" s="219" t="s">
        <v>50</v>
      </c>
      <c r="D231" s="219"/>
      <c r="E231" s="164" t="s">
        <v>40</v>
      </c>
      <c r="F231" s="163"/>
      <c r="G231" s="162"/>
      <c r="H231" s="162"/>
      <c r="I231" s="162"/>
      <c r="J231" s="162"/>
      <c r="K231" s="162">
        <f t="shared" si="31"/>
        <v>0</v>
      </c>
      <c r="L231" s="162">
        <f t="shared" si="32"/>
        <v>0</v>
      </c>
      <c r="M231" s="162">
        <v>210</v>
      </c>
      <c r="N231" s="162">
        <f>M231*1000/(19.2*10*17*60)*T231</f>
        <v>2.1446078431372548</v>
      </c>
      <c r="O231" s="162"/>
      <c r="P231" s="162">
        <f t="shared" si="34"/>
        <v>0</v>
      </c>
      <c r="Q231" s="162"/>
      <c r="R231" s="19">
        <f t="shared" si="35"/>
        <v>0</v>
      </c>
      <c r="S231" s="162">
        <f t="shared" si="36"/>
        <v>0</v>
      </c>
      <c r="T231" s="20">
        <v>2</v>
      </c>
      <c r="U231" s="20"/>
      <c r="V231" s="15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8">
        <v>300114</v>
      </c>
      <c r="B232" s="151" t="s">
        <v>43</v>
      </c>
      <c r="C232" s="219" t="s">
        <v>50</v>
      </c>
      <c r="D232" s="219"/>
      <c r="E232" s="164" t="s">
        <v>42</v>
      </c>
      <c r="F232" s="163"/>
      <c r="G232" s="162"/>
      <c r="H232" s="162"/>
      <c r="I232" s="162"/>
      <c r="J232" s="162"/>
      <c r="K232" s="162">
        <f t="shared" si="31"/>
        <v>0</v>
      </c>
      <c r="L232" s="162">
        <f t="shared" si="32"/>
        <v>0</v>
      </c>
      <c r="M232" s="162">
        <v>210</v>
      </c>
      <c r="N232" s="162">
        <f>M232*1000/(19.2*10*17*60)*T232</f>
        <v>2.1446078431372548</v>
      </c>
      <c r="O232" s="162"/>
      <c r="P232" s="162">
        <f t="shared" si="34"/>
        <v>0</v>
      </c>
      <c r="Q232" s="162"/>
      <c r="R232" s="19">
        <f t="shared" si="35"/>
        <v>0</v>
      </c>
      <c r="S232" s="162">
        <f t="shared" si="36"/>
        <v>0</v>
      </c>
      <c r="T232" s="20">
        <v>2</v>
      </c>
      <c r="U232" s="20"/>
      <c r="V232" s="15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8">
        <v>300115</v>
      </c>
      <c r="B233" s="151" t="s">
        <v>43</v>
      </c>
      <c r="C233" s="219" t="s">
        <v>50</v>
      </c>
      <c r="D233" s="219"/>
      <c r="E233" s="164" t="s">
        <v>41</v>
      </c>
      <c r="F233" s="163"/>
      <c r="G233" s="162"/>
      <c r="H233" s="162"/>
      <c r="I233" s="162"/>
      <c r="J233" s="162"/>
      <c r="K233" s="162">
        <f t="shared" si="31"/>
        <v>0</v>
      </c>
      <c r="L233" s="162">
        <f t="shared" si="32"/>
        <v>0</v>
      </c>
      <c r="M233" s="162">
        <v>210</v>
      </c>
      <c r="N233" s="162">
        <f>M233*1000/(19.2*10*17*60)*T233</f>
        <v>2.1446078431372548</v>
      </c>
      <c r="O233" s="162"/>
      <c r="P233" s="162">
        <f t="shared" si="34"/>
        <v>0</v>
      </c>
      <c r="Q233" s="162"/>
      <c r="R233" s="19">
        <f t="shared" si="35"/>
        <v>0</v>
      </c>
      <c r="S233" s="162">
        <f t="shared" si="36"/>
        <v>0</v>
      </c>
      <c r="T233" s="20">
        <v>2</v>
      </c>
      <c r="U233" s="20"/>
      <c r="V233" s="15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8">
        <v>300011</v>
      </c>
      <c r="B234" s="151" t="s">
        <v>43</v>
      </c>
      <c r="C234" s="219" t="s">
        <v>51</v>
      </c>
      <c r="D234" s="219"/>
      <c r="E234" s="164" t="s">
        <v>40</v>
      </c>
      <c r="F234" s="163"/>
      <c r="G234" s="162"/>
      <c r="H234" s="162"/>
      <c r="I234" s="162"/>
      <c r="J234" s="162"/>
      <c r="K234" s="162">
        <f t="shared" si="31"/>
        <v>0</v>
      </c>
      <c r="L234" s="162">
        <f t="shared" si="32"/>
        <v>0</v>
      </c>
      <c r="M234" s="162">
        <v>524.6</v>
      </c>
      <c r="N234" s="162">
        <f>+M234*1000/(25.4*20*15*60)*T234</f>
        <v>3.4422572178477688</v>
      </c>
      <c r="O234" s="162"/>
      <c r="P234" s="162">
        <f t="shared" si="34"/>
        <v>0</v>
      </c>
      <c r="Q234" s="162"/>
      <c r="R234" s="19">
        <f t="shared" si="35"/>
        <v>0</v>
      </c>
      <c r="S234" s="162">
        <f t="shared" si="36"/>
        <v>0</v>
      </c>
      <c r="T234" s="20">
        <v>3</v>
      </c>
      <c r="U234" s="20"/>
      <c r="V234" s="15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8">
        <v>300012</v>
      </c>
      <c r="B235" s="151" t="s">
        <v>43</v>
      </c>
      <c r="C235" s="219" t="s">
        <v>51</v>
      </c>
      <c r="D235" s="219"/>
      <c r="E235" s="164" t="s">
        <v>41</v>
      </c>
      <c r="F235" s="163"/>
      <c r="G235" s="162"/>
      <c r="H235" s="162"/>
      <c r="I235" s="162"/>
      <c r="J235" s="162"/>
      <c r="K235" s="162">
        <f t="shared" si="31"/>
        <v>0</v>
      </c>
      <c r="L235" s="162">
        <f t="shared" si="32"/>
        <v>0</v>
      </c>
      <c r="M235" s="162">
        <v>524.6</v>
      </c>
      <c r="N235" s="162">
        <f>+M235*1000/(25.4*20*15*60)*T235</f>
        <v>3.4422572178477688</v>
      </c>
      <c r="O235" s="162"/>
      <c r="P235" s="162">
        <f t="shared" si="34"/>
        <v>0</v>
      </c>
      <c r="Q235" s="162"/>
      <c r="R235" s="19">
        <f t="shared" si="35"/>
        <v>0</v>
      </c>
      <c r="S235" s="162">
        <f t="shared" si="36"/>
        <v>0</v>
      </c>
      <c r="T235" s="20">
        <v>3</v>
      </c>
      <c r="U235" s="20"/>
      <c r="V235" s="15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8">
        <v>300013</v>
      </c>
      <c r="B236" s="151" t="s">
        <v>213</v>
      </c>
      <c r="C236" s="219" t="s">
        <v>51</v>
      </c>
      <c r="D236" s="219"/>
      <c r="E236" s="164" t="s">
        <v>42</v>
      </c>
      <c r="F236" s="163"/>
      <c r="G236" s="162"/>
      <c r="H236" s="162"/>
      <c r="I236" s="162"/>
      <c r="J236" s="162"/>
      <c r="K236" s="162">
        <f t="shared" si="31"/>
        <v>0</v>
      </c>
      <c r="L236" s="162">
        <f t="shared" si="32"/>
        <v>0</v>
      </c>
      <c r="M236" s="162">
        <v>524.6</v>
      </c>
      <c r="N236" s="162">
        <f>+M236*1000/(25.4*20*15*60)*T236</f>
        <v>3.4422572178477688</v>
      </c>
      <c r="O236" s="162"/>
      <c r="P236" s="162">
        <f t="shared" si="34"/>
        <v>0</v>
      </c>
      <c r="Q236" s="162"/>
      <c r="R236" s="19">
        <f t="shared" si="35"/>
        <v>0</v>
      </c>
      <c r="S236" s="162">
        <f t="shared" si="36"/>
        <v>0</v>
      </c>
      <c r="T236" s="20">
        <v>3</v>
      </c>
      <c r="U236" s="20"/>
      <c r="V236" s="15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8">
        <v>300016</v>
      </c>
      <c r="B237" s="151" t="s">
        <v>43</v>
      </c>
      <c r="C237" s="219" t="s">
        <v>51</v>
      </c>
      <c r="D237" s="219"/>
      <c r="E237" s="164" t="s">
        <v>38</v>
      </c>
      <c r="F237" s="163"/>
      <c r="G237" s="162"/>
      <c r="H237" s="162"/>
      <c r="I237" s="162"/>
      <c r="J237" s="162"/>
      <c r="K237" s="162">
        <f t="shared" si="31"/>
        <v>0</v>
      </c>
      <c r="L237" s="162">
        <f t="shared" si="32"/>
        <v>0</v>
      </c>
      <c r="M237" s="162">
        <v>524.6</v>
      </c>
      <c r="N237" s="162">
        <f>+M237*1000/(25.4*20*15*60)*T237</f>
        <v>3.4422572178477688</v>
      </c>
      <c r="O237" s="162"/>
      <c r="P237" s="162">
        <f t="shared" si="34"/>
        <v>0</v>
      </c>
      <c r="Q237" s="162"/>
      <c r="R237" s="19">
        <f t="shared" si="35"/>
        <v>0</v>
      </c>
      <c r="S237" s="162">
        <f t="shared" si="36"/>
        <v>0</v>
      </c>
      <c r="T237" s="20">
        <v>3</v>
      </c>
      <c r="U237" s="20"/>
      <c r="V237" s="15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8">
        <v>300276</v>
      </c>
      <c r="B239" s="151" t="s">
        <v>43</v>
      </c>
      <c r="C239" s="219" t="s">
        <v>53</v>
      </c>
      <c r="D239" s="219"/>
      <c r="E239" s="164" t="s">
        <v>41</v>
      </c>
      <c r="F239" s="13"/>
      <c r="G239" s="110"/>
      <c r="H239" s="110"/>
      <c r="I239" s="110"/>
      <c r="J239" s="110"/>
      <c r="K239" s="162">
        <f t="shared" si="31"/>
        <v>0</v>
      </c>
      <c r="L239" s="162">
        <f t="shared" si="32"/>
        <v>0</v>
      </c>
      <c r="M239" s="15">
        <v>266</v>
      </c>
      <c r="N239" s="162">
        <f>+M239*1000/(29.8*10*13*60)*T239</f>
        <v>3.4331440371708828</v>
      </c>
      <c r="O239" s="162"/>
      <c r="P239" s="162">
        <f t="shared" si="34"/>
        <v>0</v>
      </c>
      <c r="Q239" s="162"/>
      <c r="R239" s="19">
        <f t="shared" si="35"/>
        <v>0</v>
      </c>
      <c r="S239" s="162">
        <f t="shared" si="36"/>
        <v>0</v>
      </c>
      <c r="T239" s="20">
        <v>3</v>
      </c>
      <c r="U239" s="20"/>
      <c r="V239" s="15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8">
        <v>300277</v>
      </c>
      <c r="B240" s="151" t="s">
        <v>43</v>
      </c>
      <c r="C240" s="219" t="s">
        <v>53</v>
      </c>
      <c r="D240" s="219"/>
      <c r="E240" s="164" t="s">
        <v>39</v>
      </c>
      <c r="F240" s="13"/>
      <c r="G240" s="110"/>
      <c r="H240" s="110"/>
      <c r="I240" s="110"/>
      <c r="J240" s="110"/>
      <c r="K240" s="162">
        <f t="shared" si="31"/>
        <v>0</v>
      </c>
      <c r="L240" s="162">
        <f t="shared" si="32"/>
        <v>0</v>
      </c>
      <c r="M240" s="15">
        <v>266</v>
      </c>
      <c r="N240" s="162">
        <f>+M240*1000/(29.8*10*13*60)*T240</f>
        <v>3.4331440371708828</v>
      </c>
      <c r="O240" s="162"/>
      <c r="P240" s="162">
        <f t="shared" si="34"/>
        <v>0</v>
      </c>
      <c r="Q240" s="162"/>
      <c r="R240" s="19">
        <f t="shared" si="35"/>
        <v>0</v>
      </c>
      <c r="S240" s="162">
        <f t="shared" si="36"/>
        <v>0</v>
      </c>
      <c r="T240" s="20">
        <v>3</v>
      </c>
      <c r="U240" s="20"/>
      <c r="V240" s="15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8">
        <v>300278</v>
      </c>
      <c r="B241" s="151" t="s">
        <v>43</v>
      </c>
      <c r="C241" s="219" t="s">
        <v>53</v>
      </c>
      <c r="D241" s="219"/>
      <c r="E241" s="164" t="s">
        <v>54</v>
      </c>
      <c r="F241" s="13"/>
      <c r="G241" s="110"/>
      <c r="H241" s="110"/>
      <c r="I241" s="110"/>
      <c r="J241" s="110"/>
      <c r="K241" s="162">
        <f t="shared" si="31"/>
        <v>0</v>
      </c>
      <c r="L241" s="162">
        <f t="shared" si="32"/>
        <v>0</v>
      </c>
      <c r="M241" s="15">
        <v>266</v>
      </c>
      <c r="N241" s="162">
        <f>+M241*1000/(29.8*10*13*60)*T241</f>
        <v>3.4331440371708828</v>
      </c>
      <c r="O241" s="162"/>
      <c r="P241" s="162">
        <f t="shared" si="34"/>
        <v>0</v>
      </c>
      <c r="Q241" s="162"/>
      <c r="R241" s="19">
        <f t="shared" si="35"/>
        <v>0</v>
      </c>
      <c r="S241" s="162">
        <f t="shared" si="36"/>
        <v>0</v>
      </c>
      <c r="T241" s="20">
        <v>3</v>
      </c>
      <c r="U241" s="20"/>
      <c r="V241" s="15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8">
        <v>300027</v>
      </c>
      <c r="B242" s="151" t="s">
        <v>55</v>
      </c>
      <c r="C242" s="219" t="s">
        <v>56</v>
      </c>
      <c r="D242" s="219"/>
      <c r="E242" s="164" t="s">
        <v>54</v>
      </c>
      <c r="F242" s="163"/>
      <c r="G242" s="162"/>
      <c r="H242" s="162"/>
      <c r="I242" s="162"/>
      <c r="J242" s="162"/>
      <c r="K242" s="162">
        <f t="shared" si="31"/>
        <v>0</v>
      </c>
      <c r="L242" s="162">
        <f t="shared" si="32"/>
        <v>0</v>
      </c>
      <c r="M242" s="162">
        <v>550.4</v>
      </c>
      <c r="N242" s="162">
        <f>+M242*1000/(31*20*15*60)*T242</f>
        <v>2.9591397849462364</v>
      </c>
      <c r="O242" s="162"/>
      <c r="P242" s="162">
        <f t="shared" si="34"/>
        <v>0</v>
      </c>
      <c r="Q242" s="162"/>
      <c r="R242" s="19">
        <f t="shared" si="35"/>
        <v>0</v>
      </c>
      <c r="S242" s="162">
        <f t="shared" si="36"/>
        <v>0</v>
      </c>
      <c r="T242" s="20">
        <v>3</v>
      </c>
      <c r="U242" s="20"/>
      <c r="V242" s="15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8">
        <v>300028</v>
      </c>
      <c r="B243" s="151" t="s">
        <v>55</v>
      </c>
      <c r="C243" s="219" t="s">
        <v>56</v>
      </c>
      <c r="D243" s="219"/>
      <c r="E243" s="164" t="s">
        <v>35</v>
      </c>
      <c r="F243" s="163"/>
      <c r="G243" s="162"/>
      <c r="H243" s="162"/>
      <c r="I243" s="162"/>
      <c r="J243" s="162"/>
      <c r="K243" s="162">
        <f t="shared" si="31"/>
        <v>0</v>
      </c>
      <c r="L243" s="162">
        <f t="shared" si="32"/>
        <v>0</v>
      </c>
      <c r="M243" s="162">
        <v>550.4</v>
      </c>
      <c r="N243" s="162">
        <f>+M243*1000/(31*20*15*60)*T243</f>
        <v>2.9591397849462364</v>
      </c>
      <c r="O243" s="162"/>
      <c r="P243" s="162">
        <f t="shared" si="34"/>
        <v>0</v>
      </c>
      <c r="Q243" s="162"/>
      <c r="R243" s="19">
        <f t="shared" si="35"/>
        <v>0</v>
      </c>
      <c r="S243" s="162">
        <f t="shared" si="36"/>
        <v>0</v>
      </c>
      <c r="T243" s="20">
        <v>3</v>
      </c>
      <c r="U243" s="20"/>
      <c r="V243" s="15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8">
        <v>300029</v>
      </c>
      <c r="B244" s="151" t="s">
        <v>55</v>
      </c>
      <c r="C244" s="219" t="s">
        <v>56</v>
      </c>
      <c r="D244" s="219"/>
      <c r="E244" s="164" t="s">
        <v>57</v>
      </c>
      <c r="F244" s="163"/>
      <c r="G244" s="162"/>
      <c r="H244" s="162"/>
      <c r="I244" s="162"/>
      <c r="J244" s="162"/>
      <c r="K244" s="162">
        <f t="shared" si="31"/>
        <v>0</v>
      </c>
      <c r="L244" s="162">
        <f t="shared" si="32"/>
        <v>0</v>
      </c>
      <c r="M244" s="162">
        <v>550.4</v>
      </c>
      <c r="N244" s="162">
        <f>+M244*1000/(31*20*15*60)*T244</f>
        <v>2.9591397849462364</v>
      </c>
      <c r="O244" s="162"/>
      <c r="P244" s="162">
        <f t="shared" si="34"/>
        <v>0</v>
      </c>
      <c r="Q244" s="162"/>
      <c r="R244" s="19">
        <f t="shared" si="35"/>
        <v>0</v>
      </c>
      <c r="S244" s="162">
        <f t="shared" si="36"/>
        <v>0</v>
      </c>
      <c r="T244" s="20">
        <v>3</v>
      </c>
      <c r="U244" s="20"/>
      <c r="V244" s="15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8">
        <v>300026</v>
      </c>
      <c r="B245" s="151" t="s">
        <v>55</v>
      </c>
      <c r="C245" s="219" t="s">
        <v>56</v>
      </c>
      <c r="D245" s="219"/>
      <c r="E245" s="164" t="s">
        <v>37</v>
      </c>
      <c r="F245" s="163"/>
      <c r="G245" s="162"/>
      <c r="H245" s="162"/>
      <c r="I245" s="162"/>
      <c r="J245" s="162"/>
      <c r="K245" s="162">
        <f t="shared" si="31"/>
        <v>0</v>
      </c>
      <c r="L245" s="162">
        <f t="shared" si="32"/>
        <v>0</v>
      </c>
      <c r="M245" s="162">
        <v>550.4</v>
      </c>
      <c r="N245" s="162">
        <f>+M245*1000/(31*20*15*60)*T245</f>
        <v>2.9591397849462364</v>
      </c>
      <c r="O245" s="162"/>
      <c r="P245" s="162">
        <f t="shared" si="34"/>
        <v>0</v>
      </c>
      <c r="Q245" s="162"/>
      <c r="R245" s="19">
        <f t="shared" si="35"/>
        <v>0</v>
      </c>
      <c r="S245" s="162">
        <f t="shared" si="36"/>
        <v>0</v>
      </c>
      <c r="T245" s="20">
        <v>3</v>
      </c>
      <c r="U245" s="20"/>
      <c r="V245" s="15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8">
        <v>300032</v>
      </c>
      <c r="B246" s="151">
        <v>3002</v>
      </c>
      <c r="C246" s="219" t="s">
        <v>58</v>
      </c>
      <c r="D246" s="219" t="s">
        <v>59</v>
      </c>
      <c r="E246" s="164" t="s">
        <v>35</v>
      </c>
      <c r="F246" s="163"/>
      <c r="G246" s="162"/>
      <c r="H246" s="162"/>
      <c r="I246" s="162"/>
      <c r="J246" s="162"/>
      <c r="K246" s="162">
        <f t="shared" si="31"/>
        <v>0</v>
      </c>
      <c r="L246" s="162">
        <f t="shared" si="32"/>
        <v>0</v>
      </c>
      <c r="M246" s="162">
        <v>285.7</v>
      </c>
      <c r="N246" s="162">
        <f>+M246*1000/(31*10*13*60)*T246</f>
        <v>7.0893300248138953</v>
      </c>
      <c r="O246" s="162"/>
      <c r="P246" s="162">
        <f t="shared" si="34"/>
        <v>0</v>
      </c>
      <c r="Q246" s="162"/>
      <c r="R246" s="19">
        <f t="shared" si="35"/>
        <v>0</v>
      </c>
      <c r="S246" s="162">
        <f t="shared" si="36"/>
        <v>0</v>
      </c>
      <c r="T246" s="20">
        <v>6</v>
      </c>
      <c r="U246" s="20"/>
      <c r="V246" s="15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8">
        <v>300413</v>
      </c>
      <c r="B247" s="151">
        <v>3002</v>
      </c>
      <c r="C247" s="230" t="s">
        <v>296</v>
      </c>
      <c r="D247" s="231"/>
      <c r="E247" s="164" t="s">
        <v>294</v>
      </c>
      <c r="F247" s="13"/>
      <c r="G247" s="110"/>
      <c r="H247" s="110"/>
      <c r="I247" s="110"/>
      <c r="J247" s="110"/>
      <c r="K247" s="162">
        <f t="shared" si="31"/>
        <v>0</v>
      </c>
      <c r="L247" s="162">
        <f t="shared" si="32"/>
        <v>0</v>
      </c>
      <c r="M247" s="162">
        <v>528.79999999999995</v>
      </c>
      <c r="N247" s="162">
        <f>+M247*1000/(31*10*13*60)*T247</f>
        <v>6.5607940446650126</v>
      </c>
      <c r="O247" s="162"/>
      <c r="P247" s="162">
        <f t="shared" si="34"/>
        <v>0</v>
      </c>
      <c r="Q247" s="162"/>
      <c r="R247" s="19">
        <f t="shared" si="35"/>
        <v>0</v>
      </c>
      <c r="S247" s="162">
        <f t="shared" si="36"/>
        <v>0</v>
      </c>
      <c r="T247" s="20">
        <v>3</v>
      </c>
      <c r="U247" s="20"/>
      <c r="V247" s="15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8">
        <v>300414</v>
      </c>
      <c r="B248" s="151">
        <v>3002</v>
      </c>
      <c r="C248" s="230" t="s">
        <v>296</v>
      </c>
      <c r="D248" s="231"/>
      <c r="E248" s="164" t="s">
        <v>291</v>
      </c>
      <c r="F248" s="13"/>
      <c r="G248" s="110"/>
      <c r="H248" s="110"/>
      <c r="I248" s="110"/>
      <c r="J248" s="110"/>
      <c r="K248" s="162">
        <f t="shared" si="31"/>
        <v>0</v>
      </c>
      <c r="L248" s="162">
        <f t="shared" si="32"/>
        <v>0</v>
      </c>
      <c r="M248" s="162">
        <v>528.79999999999995</v>
      </c>
      <c r="N248" s="162">
        <f>+M248*1000/(31*10*13*60)*T248</f>
        <v>6.5607940446650126</v>
      </c>
      <c r="O248" s="162"/>
      <c r="P248" s="162">
        <f t="shared" si="34"/>
        <v>0</v>
      </c>
      <c r="Q248" s="162"/>
      <c r="R248" s="19">
        <f t="shared" si="35"/>
        <v>0</v>
      </c>
      <c r="S248" s="162">
        <f t="shared" si="36"/>
        <v>0</v>
      </c>
      <c r="T248" s="20">
        <v>3</v>
      </c>
      <c r="U248" s="20"/>
      <c r="V248" s="15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8">
        <v>300415</v>
      </c>
      <c r="B249" s="151">
        <v>3002</v>
      </c>
      <c r="C249" s="230" t="s">
        <v>296</v>
      </c>
      <c r="D249" s="231"/>
      <c r="E249" s="164" t="s">
        <v>295</v>
      </c>
      <c r="F249" s="13"/>
      <c r="G249" s="110"/>
      <c r="H249" s="110"/>
      <c r="I249" s="110"/>
      <c r="J249" s="110"/>
      <c r="K249" s="162">
        <f t="shared" si="31"/>
        <v>0</v>
      </c>
      <c r="L249" s="162">
        <f t="shared" si="32"/>
        <v>0</v>
      </c>
      <c r="M249" s="162">
        <v>528.79999999999995</v>
      </c>
      <c r="N249" s="162">
        <f>+M249*1000/(31*10*13*60)*T249</f>
        <v>6.5607940446650126</v>
      </c>
      <c r="O249" s="162"/>
      <c r="P249" s="162">
        <f t="shared" si="34"/>
        <v>0</v>
      </c>
      <c r="Q249" s="162"/>
      <c r="R249" s="19">
        <f t="shared" si="35"/>
        <v>0</v>
      </c>
      <c r="S249" s="162">
        <f t="shared" si="36"/>
        <v>0</v>
      </c>
      <c r="T249" s="20">
        <v>3</v>
      </c>
      <c r="U249" s="20"/>
      <c r="V249" s="15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8">
        <v>300035</v>
      </c>
      <c r="B250" s="151" t="s">
        <v>60</v>
      </c>
      <c r="C250" s="219" t="s">
        <v>61</v>
      </c>
      <c r="D250" s="219" t="s">
        <v>62</v>
      </c>
      <c r="E250" s="164" t="s">
        <v>35</v>
      </c>
      <c r="F250" s="163"/>
      <c r="G250" s="162"/>
      <c r="H250" s="162"/>
      <c r="I250" s="162"/>
      <c r="J250" s="162"/>
      <c r="K250" s="162">
        <f t="shared" si="31"/>
        <v>0</v>
      </c>
      <c r="L250" s="162">
        <f t="shared" si="32"/>
        <v>0</v>
      </c>
      <c r="M250" s="162">
        <v>366.93</v>
      </c>
      <c r="N250" s="162">
        <f>+M250*1000/(35.8*10*13*60)*T250</f>
        <v>2.6280618822518265</v>
      </c>
      <c r="O250" s="162"/>
      <c r="P250" s="162">
        <f t="shared" si="34"/>
        <v>0</v>
      </c>
      <c r="Q250" s="162"/>
      <c r="R250" s="19">
        <f t="shared" si="35"/>
        <v>0</v>
      </c>
      <c r="S250" s="162">
        <f t="shared" si="36"/>
        <v>0</v>
      </c>
      <c r="T250" s="20">
        <v>2</v>
      </c>
      <c r="U250" s="20"/>
      <c r="V250" s="15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8">
        <v>300036</v>
      </c>
      <c r="B251" s="151" t="s">
        <v>60</v>
      </c>
      <c r="C251" s="219" t="s">
        <v>61</v>
      </c>
      <c r="D251" s="219" t="s">
        <v>62</v>
      </c>
      <c r="E251" s="164" t="s">
        <v>63</v>
      </c>
      <c r="F251" s="163"/>
      <c r="G251" s="162"/>
      <c r="H251" s="162"/>
      <c r="I251" s="162"/>
      <c r="J251" s="162"/>
      <c r="K251" s="162">
        <f t="shared" si="31"/>
        <v>0</v>
      </c>
      <c r="L251" s="162">
        <f t="shared" si="32"/>
        <v>0</v>
      </c>
      <c r="M251" s="162">
        <v>366.93</v>
      </c>
      <c r="N251" s="162">
        <f>+M251*1000/(35.8*10*13*60)*T251</f>
        <v>2.6280618822518265</v>
      </c>
      <c r="O251" s="162"/>
      <c r="P251" s="162">
        <f t="shared" si="34"/>
        <v>0</v>
      </c>
      <c r="Q251" s="162"/>
      <c r="R251" s="19">
        <f t="shared" si="35"/>
        <v>0</v>
      </c>
      <c r="S251" s="162">
        <f t="shared" si="36"/>
        <v>0</v>
      </c>
      <c r="T251" s="20">
        <v>2</v>
      </c>
      <c r="U251" s="20"/>
      <c r="V251" s="15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8">
        <v>300037</v>
      </c>
      <c r="B252" s="151" t="s">
        <v>60</v>
      </c>
      <c r="C252" s="219" t="s">
        <v>61</v>
      </c>
      <c r="D252" s="219" t="s">
        <v>62</v>
      </c>
      <c r="E252" s="164" t="s">
        <v>37</v>
      </c>
      <c r="F252" s="163"/>
      <c r="G252" s="162"/>
      <c r="H252" s="162"/>
      <c r="I252" s="162"/>
      <c r="J252" s="162"/>
      <c r="K252" s="162">
        <f t="shared" si="31"/>
        <v>0</v>
      </c>
      <c r="L252" s="162">
        <f t="shared" si="32"/>
        <v>0</v>
      </c>
      <c r="M252" s="162">
        <v>366.93</v>
      </c>
      <c r="N252" s="162">
        <f>+M252*1000/(35.8*10*13*60)*T252</f>
        <v>2.6280618822518265</v>
      </c>
      <c r="O252" s="162"/>
      <c r="P252" s="162">
        <f t="shared" si="34"/>
        <v>0</v>
      </c>
      <c r="Q252" s="162"/>
      <c r="R252" s="19">
        <f t="shared" si="35"/>
        <v>0</v>
      </c>
      <c r="S252" s="162">
        <f t="shared" si="36"/>
        <v>0</v>
      </c>
      <c r="T252" s="20">
        <v>2</v>
      </c>
      <c r="U252" s="20"/>
      <c r="V252" s="15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8">
        <v>300038</v>
      </c>
      <c r="B253" s="151" t="s">
        <v>60</v>
      </c>
      <c r="C253" s="219" t="s">
        <v>64</v>
      </c>
      <c r="D253" s="219" t="s">
        <v>65</v>
      </c>
      <c r="E253" s="164" t="s">
        <v>35</v>
      </c>
      <c r="F253" s="163"/>
      <c r="G253" s="162"/>
      <c r="H253" s="162"/>
      <c r="I253" s="162"/>
      <c r="J253" s="162"/>
      <c r="K253" s="162">
        <f t="shared" si="31"/>
        <v>0</v>
      </c>
      <c r="L253" s="162">
        <f t="shared" si="32"/>
        <v>0</v>
      </c>
      <c r="M253" s="162">
        <v>301.14</v>
      </c>
      <c r="N253" s="162">
        <f>+M253*1000/(35.8*10*13*60)*T253</f>
        <v>5.3921357971637294</v>
      </c>
      <c r="O253" s="162"/>
      <c r="P253" s="162">
        <f t="shared" si="34"/>
        <v>0</v>
      </c>
      <c r="Q253" s="162"/>
      <c r="R253" s="19">
        <f t="shared" si="35"/>
        <v>0</v>
      </c>
      <c r="S253" s="162">
        <f t="shared" si="36"/>
        <v>0</v>
      </c>
      <c r="T253" s="20">
        <v>5</v>
      </c>
      <c r="U253" s="20"/>
      <c r="V253" s="15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8">
        <v>300039</v>
      </c>
      <c r="B254" s="151" t="s">
        <v>60</v>
      </c>
      <c r="C254" s="219" t="s">
        <v>64</v>
      </c>
      <c r="D254" s="219" t="s">
        <v>65</v>
      </c>
      <c r="E254" s="164" t="s">
        <v>66</v>
      </c>
      <c r="F254" s="163"/>
      <c r="G254" s="162"/>
      <c r="H254" s="162"/>
      <c r="I254" s="162"/>
      <c r="J254" s="162"/>
      <c r="K254" s="162">
        <f t="shared" si="31"/>
        <v>0</v>
      </c>
      <c r="L254" s="162">
        <f t="shared" si="32"/>
        <v>0</v>
      </c>
      <c r="M254" s="162">
        <v>310.39999999999998</v>
      </c>
      <c r="N254" s="162">
        <f>+M254*1000/(35.8*10*13*60)*T254</f>
        <v>5.557942988110586</v>
      </c>
      <c r="O254" s="162"/>
      <c r="P254" s="162">
        <f t="shared" si="34"/>
        <v>0</v>
      </c>
      <c r="Q254" s="162"/>
      <c r="R254" s="19">
        <f t="shared" si="35"/>
        <v>0</v>
      </c>
      <c r="S254" s="162">
        <f t="shared" si="36"/>
        <v>0</v>
      </c>
      <c r="T254" s="20">
        <v>5</v>
      </c>
      <c r="U254" s="20"/>
      <c r="V254" s="15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8">
        <v>300416</v>
      </c>
      <c r="B255" s="151" t="s">
        <v>67</v>
      </c>
      <c r="C255" s="230" t="s">
        <v>68</v>
      </c>
      <c r="D255" s="231"/>
      <c r="E255" s="164" t="s">
        <v>69</v>
      </c>
      <c r="F255" s="163"/>
      <c r="G255" s="14"/>
      <c r="H255" s="14"/>
      <c r="I255" s="14"/>
      <c r="J255" s="14"/>
      <c r="K255" s="162">
        <f t="shared" si="31"/>
        <v>0</v>
      </c>
      <c r="L255" s="162">
        <f t="shared" si="32"/>
        <v>0</v>
      </c>
      <c r="M255" s="162">
        <v>385.6</v>
      </c>
      <c r="N255" s="162">
        <f>+M255*1000/(25.4*20*15*60)*T255</f>
        <v>2.5301837270341205</v>
      </c>
      <c r="O255" s="162"/>
      <c r="P255" s="162">
        <f t="shared" si="34"/>
        <v>0</v>
      </c>
      <c r="Q255" s="162"/>
      <c r="R255" s="19">
        <f t="shared" si="35"/>
        <v>0</v>
      </c>
      <c r="S255" s="162">
        <f t="shared" si="36"/>
        <v>0</v>
      </c>
      <c r="T255" s="20">
        <v>3</v>
      </c>
      <c r="U255" s="20"/>
      <c r="V255" s="15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8">
        <v>300417</v>
      </c>
      <c r="B256" s="151" t="s">
        <v>67</v>
      </c>
      <c r="C256" s="230" t="s">
        <v>68</v>
      </c>
      <c r="D256" s="231"/>
      <c r="E256" s="164" t="s">
        <v>70</v>
      </c>
      <c r="F256" s="163"/>
      <c r="G256" s="14"/>
      <c r="H256" s="14"/>
      <c r="I256" s="14"/>
      <c r="J256" s="14"/>
      <c r="K256" s="162">
        <f t="shared" si="31"/>
        <v>0</v>
      </c>
      <c r="L256" s="162">
        <f t="shared" si="32"/>
        <v>0</v>
      </c>
      <c r="M256" s="162">
        <v>385.6</v>
      </c>
      <c r="N256" s="162">
        <f>+M256*1000/(25.4*20*15*60)*T256</f>
        <v>2.5301837270341205</v>
      </c>
      <c r="O256" s="162"/>
      <c r="P256" s="162">
        <f t="shared" si="34"/>
        <v>0</v>
      </c>
      <c r="Q256" s="162"/>
      <c r="R256" s="19">
        <f t="shared" si="35"/>
        <v>0</v>
      </c>
      <c r="S256" s="162">
        <f t="shared" si="36"/>
        <v>0</v>
      </c>
      <c r="T256" s="20">
        <v>3</v>
      </c>
      <c r="U256" s="20"/>
      <c r="V256" s="15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8">
        <v>300418</v>
      </c>
      <c r="B257" s="151" t="s">
        <v>67</v>
      </c>
      <c r="C257" s="230" t="s">
        <v>68</v>
      </c>
      <c r="D257" s="231"/>
      <c r="E257" s="164" t="s">
        <v>71</v>
      </c>
      <c r="F257" s="163"/>
      <c r="G257" s="14"/>
      <c r="H257" s="14"/>
      <c r="I257" s="14"/>
      <c r="J257" s="14"/>
      <c r="K257" s="162">
        <f t="shared" si="31"/>
        <v>0</v>
      </c>
      <c r="L257" s="162">
        <f t="shared" si="32"/>
        <v>0</v>
      </c>
      <c r="M257" s="162">
        <v>385.6</v>
      </c>
      <c r="N257" s="162">
        <f>+M257*1000/(25.4*20*15*60)*T257</f>
        <v>2.5301837270341205</v>
      </c>
      <c r="O257" s="162"/>
      <c r="P257" s="162">
        <f t="shared" si="34"/>
        <v>0</v>
      </c>
      <c r="Q257" s="162"/>
      <c r="R257" s="19">
        <f t="shared" si="35"/>
        <v>0</v>
      </c>
      <c r="S257" s="162">
        <f t="shared" si="36"/>
        <v>0</v>
      </c>
      <c r="T257" s="20">
        <v>3</v>
      </c>
      <c r="U257" s="20"/>
      <c r="V257" s="15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8">
        <v>300419</v>
      </c>
      <c r="B258" s="151" t="s">
        <v>67</v>
      </c>
      <c r="C258" s="230" t="s">
        <v>68</v>
      </c>
      <c r="D258" s="231"/>
      <c r="E258" s="164" t="s">
        <v>72</v>
      </c>
      <c r="F258" s="163"/>
      <c r="G258" s="14"/>
      <c r="H258" s="14"/>
      <c r="I258" s="14"/>
      <c r="J258" s="14"/>
      <c r="K258" s="162">
        <f t="shared" si="31"/>
        <v>0</v>
      </c>
      <c r="L258" s="162">
        <f t="shared" si="32"/>
        <v>0</v>
      </c>
      <c r="M258" s="162">
        <v>385.6</v>
      </c>
      <c r="N258" s="162">
        <f>+M258*1000/(25.4*20*15*60)*T258</f>
        <v>2.5301837270341205</v>
      </c>
      <c r="O258" s="162"/>
      <c r="P258" s="162">
        <f t="shared" si="34"/>
        <v>0</v>
      </c>
      <c r="Q258" s="162"/>
      <c r="R258" s="19">
        <f t="shared" si="35"/>
        <v>0</v>
      </c>
      <c r="S258" s="162">
        <f t="shared" si="36"/>
        <v>0</v>
      </c>
      <c r="T258" s="20">
        <v>3</v>
      </c>
      <c r="U258" s="20"/>
      <c r="V258" s="15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8">
        <v>300260</v>
      </c>
      <c r="B259" s="151" t="s">
        <v>67</v>
      </c>
      <c r="C259" s="219" t="s">
        <v>73</v>
      </c>
      <c r="D259" s="219"/>
      <c r="E259" s="164" t="s">
        <v>74</v>
      </c>
      <c r="F259" s="163"/>
      <c r="G259" s="162"/>
      <c r="H259" s="162"/>
      <c r="I259" s="162"/>
      <c r="J259" s="162"/>
      <c r="K259" s="162">
        <f t="shared" si="31"/>
        <v>0</v>
      </c>
      <c r="L259" s="162">
        <f t="shared" si="32"/>
        <v>0</v>
      </c>
      <c r="M259" s="162">
        <v>434.33</v>
      </c>
      <c r="N259" s="162">
        <f>+M259*1000/(42.7*10*15*60)*T259</f>
        <v>2.2603695029924538</v>
      </c>
      <c r="O259" s="162"/>
      <c r="P259" s="162">
        <f t="shared" si="34"/>
        <v>0</v>
      </c>
      <c r="Q259" s="162"/>
      <c r="R259" s="19">
        <f t="shared" si="35"/>
        <v>0</v>
      </c>
      <c r="S259" s="162">
        <f t="shared" si="36"/>
        <v>0</v>
      </c>
      <c r="T259" s="20">
        <v>2</v>
      </c>
      <c r="U259" s="20"/>
      <c r="V259" s="15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8">
        <v>300261</v>
      </c>
      <c r="B260" s="151" t="s">
        <v>67</v>
      </c>
      <c r="C260" s="219" t="s">
        <v>73</v>
      </c>
      <c r="D260" s="219"/>
      <c r="E260" s="164" t="s">
        <v>41</v>
      </c>
      <c r="F260" s="163"/>
      <c r="G260" s="162"/>
      <c r="H260" s="162"/>
      <c r="I260" s="162"/>
      <c r="J260" s="162"/>
      <c r="K260" s="162">
        <f t="shared" si="31"/>
        <v>0</v>
      </c>
      <c r="L260" s="162">
        <f t="shared" si="32"/>
        <v>0</v>
      </c>
      <c r="M260" s="162">
        <v>434.33</v>
      </c>
      <c r="N260" s="162">
        <f>+M260*1000/(42.7*10*15*60)*T260</f>
        <v>2.2603695029924538</v>
      </c>
      <c r="O260" s="162"/>
      <c r="P260" s="162">
        <f t="shared" si="34"/>
        <v>0</v>
      </c>
      <c r="Q260" s="162"/>
      <c r="R260" s="19">
        <f t="shared" si="35"/>
        <v>0</v>
      </c>
      <c r="S260" s="162">
        <f t="shared" si="36"/>
        <v>0</v>
      </c>
      <c r="T260" s="20">
        <v>2</v>
      </c>
      <c r="U260" s="20"/>
      <c r="V260" s="15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8">
        <v>300262</v>
      </c>
      <c r="B261" s="151" t="s">
        <v>67</v>
      </c>
      <c r="C261" s="219" t="s">
        <v>73</v>
      </c>
      <c r="D261" s="219"/>
      <c r="E261" s="164" t="s">
        <v>39</v>
      </c>
      <c r="F261" s="163"/>
      <c r="G261" s="162"/>
      <c r="H261" s="162"/>
      <c r="I261" s="162"/>
      <c r="J261" s="162"/>
      <c r="K261" s="162">
        <f t="shared" si="31"/>
        <v>0</v>
      </c>
      <c r="L261" s="162">
        <f t="shared" si="32"/>
        <v>0</v>
      </c>
      <c r="M261" s="162">
        <v>434.33</v>
      </c>
      <c r="N261" s="162">
        <f>+M261*1000/(42.7*10*15*60)*T261</f>
        <v>2.2603695029924538</v>
      </c>
      <c r="O261" s="162"/>
      <c r="P261" s="162">
        <f t="shared" si="34"/>
        <v>0</v>
      </c>
      <c r="Q261" s="162"/>
      <c r="R261" s="19">
        <f t="shared" si="35"/>
        <v>0</v>
      </c>
      <c r="S261" s="162">
        <f t="shared" si="36"/>
        <v>0</v>
      </c>
      <c r="T261" s="20">
        <v>2</v>
      </c>
      <c r="U261" s="20"/>
      <c r="V261" s="15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8">
        <v>300263</v>
      </c>
      <c r="B262" s="151" t="s">
        <v>67</v>
      </c>
      <c r="C262" s="219" t="s">
        <v>73</v>
      </c>
      <c r="D262" s="219"/>
      <c r="E262" s="164" t="s">
        <v>54</v>
      </c>
      <c r="F262" s="163"/>
      <c r="G262" s="162"/>
      <c r="H262" s="162"/>
      <c r="I262" s="162"/>
      <c r="J262" s="162"/>
      <c r="K262" s="162">
        <f t="shared" si="31"/>
        <v>0</v>
      </c>
      <c r="L262" s="162">
        <f t="shared" si="32"/>
        <v>0</v>
      </c>
      <c r="M262" s="162">
        <v>434.33</v>
      </c>
      <c r="N262" s="162">
        <f>+M262*1000/(42.7*10*15*60)*T262</f>
        <v>2.2603695029924538</v>
      </c>
      <c r="O262" s="162"/>
      <c r="P262" s="162">
        <f t="shared" si="34"/>
        <v>0</v>
      </c>
      <c r="Q262" s="162"/>
      <c r="R262" s="19">
        <f t="shared" si="35"/>
        <v>0</v>
      </c>
      <c r="S262" s="162">
        <f t="shared" si="36"/>
        <v>0</v>
      </c>
      <c r="T262" s="20">
        <v>2</v>
      </c>
      <c r="U262" s="20"/>
      <c r="V262" s="15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8">
        <v>300051</v>
      </c>
      <c r="B263" s="151" t="s">
        <v>67</v>
      </c>
      <c r="C263" s="219" t="s">
        <v>75</v>
      </c>
      <c r="D263" s="219" t="s">
        <v>76</v>
      </c>
      <c r="E263" s="164" t="s">
        <v>40</v>
      </c>
      <c r="F263" s="163"/>
      <c r="G263" s="162"/>
      <c r="H263" s="162"/>
      <c r="I263" s="162"/>
      <c r="J263" s="162"/>
      <c r="K263" s="162">
        <f t="shared" si="31"/>
        <v>0</v>
      </c>
      <c r="L263" s="162">
        <f t="shared" si="32"/>
        <v>0</v>
      </c>
      <c r="M263" s="162">
        <v>545.9</v>
      </c>
      <c r="N263" s="162">
        <f>+M263*1000/(41.5*10*16*60)*T263</f>
        <v>2.7404618473895583</v>
      </c>
      <c r="O263" s="162"/>
      <c r="P263" s="162">
        <f t="shared" si="34"/>
        <v>0</v>
      </c>
      <c r="Q263" s="162"/>
      <c r="R263" s="19">
        <f t="shared" si="35"/>
        <v>0</v>
      </c>
      <c r="S263" s="162">
        <f t="shared" si="36"/>
        <v>0</v>
      </c>
      <c r="T263" s="22">
        <v>2</v>
      </c>
      <c r="U263" s="20"/>
      <c r="V263" s="15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8">
        <v>300052</v>
      </c>
      <c r="B264" s="151" t="s">
        <v>67</v>
      </c>
      <c r="C264" s="219" t="s">
        <v>75</v>
      </c>
      <c r="D264" s="219" t="s">
        <v>76</v>
      </c>
      <c r="E264" s="164" t="s">
        <v>39</v>
      </c>
      <c r="F264" s="163"/>
      <c r="G264" s="162"/>
      <c r="H264" s="162"/>
      <c r="I264" s="162"/>
      <c r="J264" s="162"/>
      <c r="K264" s="162">
        <f t="shared" si="31"/>
        <v>0</v>
      </c>
      <c r="L264" s="162">
        <f t="shared" si="32"/>
        <v>0</v>
      </c>
      <c r="M264" s="162">
        <v>545.9</v>
      </c>
      <c r="N264" s="162">
        <f>+M264*1000/(41.5*10*16*60)*T264</f>
        <v>2.7404618473895583</v>
      </c>
      <c r="O264" s="162"/>
      <c r="P264" s="162">
        <f t="shared" si="34"/>
        <v>0</v>
      </c>
      <c r="Q264" s="162"/>
      <c r="R264" s="19">
        <f t="shared" si="35"/>
        <v>0</v>
      </c>
      <c r="S264" s="162">
        <f t="shared" si="36"/>
        <v>0</v>
      </c>
      <c r="T264" s="20">
        <v>2</v>
      </c>
      <c r="U264" s="20"/>
      <c r="V264" s="15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8">
        <v>300054</v>
      </c>
      <c r="B265" s="151" t="s">
        <v>67</v>
      </c>
      <c r="C265" s="219" t="s">
        <v>75</v>
      </c>
      <c r="D265" s="219" t="s">
        <v>76</v>
      </c>
      <c r="E265" s="164" t="s">
        <v>38</v>
      </c>
      <c r="F265" s="163"/>
      <c r="G265" s="162"/>
      <c r="H265" s="162"/>
      <c r="I265" s="162"/>
      <c r="J265" s="162"/>
      <c r="K265" s="162">
        <f t="shared" si="31"/>
        <v>0</v>
      </c>
      <c r="L265" s="162">
        <f t="shared" si="32"/>
        <v>0</v>
      </c>
      <c r="M265" s="162">
        <v>545.9</v>
      </c>
      <c r="N265" s="162">
        <f>+M265*1000/(41.5*10*16*60)*T265</f>
        <v>2.7404618473895583</v>
      </c>
      <c r="O265" s="162"/>
      <c r="P265" s="162">
        <f t="shared" si="34"/>
        <v>0</v>
      </c>
      <c r="Q265" s="162"/>
      <c r="R265" s="19">
        <f t="shared" si="35"/>
        <v>0</v>
      </c>
      <c r="S265" s="162">
        <f t="shared" si="36"/>
        <v>0</v>
      </c>
      <c r="T265" s="20">
        <v>2</v>
      </c>
      <c r="U265" s="20"/>
      <c r="V265" s="15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8">
        <v>300050</v>
      </c>
      <c r="B267" s="151" t="s">
        <v>67</v>
      </c>
      <c r="C267" s="219" t="s">
        <v>77</v>
      </c>
      <c r="D267" s="219" t="s">
        <v>78</v>
      </c>
      <c r="E267" s="164" t="s">
        <v>79</v>
      </c>
      <c r="F267" s="163"/>
      <c r="G267" s="162"/>
      <c r="H267" s="162"/>
      <c r="I267" s="162"/>
      <c r="J267" s="162"/>
      <c r="K267" s="162">
        <f t="shared" si="31"/>
        <v>0</v>
      </c>
      <c r="L267" s="162">
        <f t="shared" si="32"/>
        <v>0</v>
      </c>
      <c r="M267" s="162">
        <v>427.5</v>
      </c>
      <c r="N267" s="162">
        <f>+M267*1000/(45*10*14*60)*T267</f>
        <v>5.6547619047619051</v>
      </c>
      <c r="O267" s="162"/>
      <c r="P267" s="162">
        <f t="shared" si="34"/>
        <v>0</v>
      </c>
      <c r="Q267" s="162"/>
      <c r="R267" s="19">
        <f t="shared" si="35"/>
        <v>0</v>
      </c>
      <c r="S267" s="162">
        <f t="shared" si="36"/>
        <v>0</v>
      </c>
      <c r="T267" s="20">
        <v>5</v>
      </c>
      <c r="U267" s="20"/>
      <c r="V267" s="15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8">
        <v>300045</v>
      </c>
      <c r="B268" s="151" t="s">
        <v>67</v>
      </c>
      <c r="C268" s="219" t="s">
        <v>77</v>
      </c>
      <c r="D268" s="219" t="s">
        <v>78</v>
      </c>
      <c r="E268" s="164" t="s">
        <v>35</v>
      </c>
      <c r="F268" s="163"/>
      <c r="G268" s="162"/>
      <c r="H268" s="162"/>
      <c r="I268" s="162"/>
      <c r="J268" s="162"/>
      <c r="K268" s="162">
        <f t="shared" si="31"/>
        <v>0</v>
      </c>
      <c r="L268" s="162">
        <f t="shared" si="32"/>
        <v>0</v>
      </c>
      <c r="M268" s="162">
        <v>406.6</v>
      </c>
      <c r="N268" s="162">
        <f>+M268*1000/(45*10*13*60)*T268</f>
        <v>5.7920227920227916</v>
      </c>
      <c r="O268" s="162"/>
      <c r="P268" s="162">
        <f t="shared" si="34"/>
        <v>0</v>
      </c>
      <c r="Q268" s="162"/>
      <c r="R268" s="19">
        <f t="shared" si="35"/>
        <v>0</v>
      </c>
      <c r="S268" s="162">
        <f t="shared" si="36"/>
        <v>0</v>
      </c>
      <c r="T268" s="20">
        <v>5</v>
      </c>
      <c r="U268" s="20"/>
      <c r="V268" s="15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8">
        <v>300422</v>
      </c>
      <c r="B269" s="151" t="s">
        <v>67</v>
      </c>
      <c r="C269" s="230" t="s">
        <v>293</v>
      </c>
      <c r="D269" s="231"/>
      <c r="E269" s="164" t="s">
        <v>54</v>
      </c>
      <c r="F269" s="163"/>
      <c r="G269" s="110"/>
      <c r="H269" s="110"/>
      <c r="I269" s="110"/>
      <c r="J269" s="110"/>
      <c r="K269" s="162">
        <f t="shared" si="31"/>
        <v>0</v>
      </c>
      <c r="L269" s="162">
        <f t="shared" si="32"/>
        <v>0</v>
      </c>
      <c r="M269" s="162">
        <v>429.8</v>
      </c>
      <c r="N269" s="162">
        <f>+M269*1000/(45*10*13*60)*T269</f>
        <v>3.6735042735042738</v>
      </c>
      <c r="O269" s="162"/>
      <c r="P269" s="162">
        <f t="shared" si="34"/>
        <v>0</v>
      </c>
      <c r="Q269" s="162"/>
      <c r="R269" s="19">
        <f t="shared" si="35"/>
        <v>0</v>
      </c>
      <c r="S269" s="162">
        <f t="shared" si="36"/>
        <v>0</v>
      </c>
      <c r="T269" s="20">
        <v>3</v>
      </c>
      <c r="U269" s="20"/>
      <c r="V269" s="15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8">
        <v>300421</v>
      </c>
      <c r="B270" s="151" t="s">
        <v>67</v>
      </c>
      <c r="C270" s="230" t="s">
        <v>293</v>
      </c>
      <c r="D270" s="231"/>
      <c r="E270" s="164" t="s">
        <v>80</v>
      </c>
      <c r="F270" s="163"/>
      <c r="G270" s="110"/>
      <c r="H270" s="110"/>
      <c r="I270" s="110"/>
      <c r="J270" s="110"/>
      <c r="K270" s="162">
        <f t="shared" si="31"/>
        <v>0</v>
      </c>
      <c r="L270" s="162">
        <f t="shared" si="32"/>
        <v>0</v>
      </c>
      <c r="M270" s="162">
        <v>429.8</v>
      </c>
      <c r="N270" s="162">
        <f>+M270*1000/(45*10*13*60)*T270</f>
        <v>3.6735042735042738</v>
      </c>
      <c r="O270" s="162"/>
      <c r="P270" s="162">
        <f t="shared" si="34"/>
        <v>0</v>
      </c>
      <c r="Q270" s="162"/>
      <c r="R270" s="19">
        <f t="shared" si="35"/>
        <v>0</v>
      </c>
      <c r="S270" s="162">
        <f t="shared" si="36"/>
        <v>0</v>
      </c>
      <c r="T270" s="20">
        <v>3</v>
      </c>
      <c r="U270" s="20"/>
      <c r="V270" s="15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8">
        <v>300149</v>
      </c>
      <c r="B271" s="151" t="s">
        <v>67</v>
      </c>
      <c r="C271" s="219" t="s">
        <v>81</v>
      </c>
      <c r="D271" s="219" t="s">
        <v>82</v>
      </c>
      <c r="E271" s="164" t="s">
        <v>80</v>
      </c>
      <c r="F271" s="163"/>
      <c r="G271" s="162"/>
      <c r="H271" s="162"/>
      <c r="I271" s="162"/>
      <c r="J271" s="162"/>
      <c r="K271" s="162">
        <f t="shared" si="31"/>
        <v>0</v>
      </c>
      <c r="L271" s="162">
        <f t="shared" si="32"/>
        <v>0</v>
      </c>
      <c r="M271" s="162">
        <v>589.1</v>
      </c>
      <c r="N271" s="162">
        <f>+M271*1000/(67.1*10*13*60)*T271</f>
        <v>3.3767052619511633</v>
      </c>
      <c r="O271" s="162"/>
      <c r="P271" s="162">
        <f t="shared" si="34"/>
        <v>0</v>
      </c>
      <c r="Q271" s="162"/>
      <c r="R271" s="19">
        <f t="shared" si="35"/>
        <v>0</v>
      </c>
      <c r="S271" s="162">
        <f t="shared" si="36"/>
        <v>0</v>
      </c>
      <c r="T271" s="20">
        <v>3</v>
      </c>
      <c r="U271" s="20"/>
      <c r="V271" s="15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8">
        <v>300150</v>
      </c>
      <c r="B272" s="151" t="s">
        <v>67</v>
      </c>
      <c r="C272" s="219" t="s">
        <v>81</v>
      </c>
      <c r="D272" s="219" t="s">
        <v>82</v>
      </c>
      <c r="E272" s="164" t="s">
        <v>54</v>
      </c>
      <c r="F272" s="163"/>
      <c r="G272" s="162"/>
      <c r="H272" s="162"/>
      <c r="I272" s="162"/>
      <c r="J272" s="162"/>
      <c r="K272" s="162">
        <f t="shared" si="31"/>
        <v>0</v>
      </c>
      <c r="L272" s="162">
        <f t="shared" si="32"/>
        <v>0</v>
      </c>
      <c r="M272" s="162">
        <v>589.1</v>
      </c>
      <c r="N272" s="162">
        <f>+M272*1000/(67.1*10*13*60)*T272</f>
        <v>3.3767052619511633</v>
      </c>
      <c r="O272" s="162"/>
      <c r="P272" s="162">
        <f t="shared" si="34"/>
        <v>0</v>
      </c>
      <c r="Q272" s="162"/>
      <c r="R272" s="19">
        <f t="shared" si="35"/>
        <v>0</v>
      </c>
      <c r="S272" s="162">
        <f t="shared" si="36"/>
        <v>0</v>
      </c>
      <c r="T272" s="20">
        <v>3</v>
      </c>
      <c r="U272" s="20"/>
      <c r="V272" s="15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8">
        <v>300330</v>
      </c>
      <c r="B273" s="151" t="s">
        <v>67</v>
      </c>
      <c r="C273" s="230" t="s">
        <v>83</v>
      </c>
      <c r="D273" s="231"/>
      <c r="E273" s="164" t="s">
        <v>84</v>
      </c>
      <c r="F273" s="163"/>
      <c r="G273" s="162"/>
      <c r="H273" s="162"/>
      <c r="I273" s="162"/>
      <c r="J273" s="162"/>
      <c r="K273" s="162">
        <f t="shared" si="31"/>
        <v>0</v>
      </c>
      <c r="L273" s="162">
        <f t="shared" si="32"/>
        <v>0</v>
      </c>
      <c r="M273" s="162">
        <v>416.3</v>
      </c>
      <c r="N273" s="162">
        <f t="shared" ref="N273:N278" si="37">+M273*1000/(45*10*18*60)*T273</f>
        <v>1.7131687242798355</v>
      </c>
      <c r="O273" s="162"/>
      <c r="P273" s="162">
        <f t="shared" si="34"/>
        <v>0</v>
      </c>
      <c r="Q273" s="162"/>
      <c r="R273" s="19">
        <f t="shared" si="35"/>
        <v>0</v>
      </c>
      <c r="S273" s="162">
        <f t="shared" si="36"/>
        <v>0</v>
      </c>
      <c r="T273" s="20">
        <v>2</v>
      </c>
      <c r="U273" s="20"/>
      <c r="V273" s="15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8">
        <v>300331</v>
      </c>
      <c r="B274" s="151" t="s">
        <v>67</v>
      </c>
      <c r="C274" s="230" t="s">
        <v>83</v>
      </c>
      <c r="D274" s="231"/>
      <c r="E274" s="164" t="s">
        <v>49</v>
      </c>
      <c r="F274" s="163"/>
      <c r="G274" s="162"/>
      <c r="H274" s="162"/>
      <c r="I274" s="162"/>
      <c r="J274" s="162"/>
      <c r="K274" s="162">
        <f t="shared" si="31"/>
        <v>0</v>
      </c>
      <c r="L274" s="162">
        <f t="shared" si="32"/>
        <v>0</v>
      </c>
      <c r="M274" s="162">
        <v>416.3</v>
      </c>
      <c r="N274" s="162">
        <f t="shared" si="37"/>
        <v>1.7131687242798355</v>
      </c>
      <c r="O274" s="162"/>
      <c r="P274" s="162">
        <f t="shared" si="34"/>
        <v>0</v>
      </c>
      <c r="Q274" s="162"/>
      <c r="R274" s="19">
        <f t="shared" si="35"/>
        <v>0</v>
      </c>
      <c r="S274" s="162">
        <f t="shared" si="36"/>
        <v>0</v>
      </c>
      <c r="T274" s="20">
        <v>2</v>
      </c>
      <c r="U274" s="20"/>
      <c r="V274" s="15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8">
        <v>300332</v>
      </c>
      <c r="B275" s="151" t="s">
        <v>67</v>
      </c>
      <c r="C275" s="230" t="s">
        <v>83</v>
      </c>
      <c r="D275" s="231"/>
      <c r="E275" s="164" t="s">
        <v>85</v>
      </c>
      <c r="F275" s="163"/>
      <c r="G275" s="162"/>
      <c r="H275" s="162"/>
      <c r="I275" s="162"/>
      <c r="J275" s="162"/>
      <c r="K275" s="162">
        <f t="shared" si="31"/>
        <v>0</v>
      </c>
      <c r="L275" s="162">
        <f t="shared" si="32"/>
        <v>0</v>
      </c>
      <c r="M275" s="162">
        <v>416.3</v>
      </c>
      <c r="N275" s="162">
        <f t="shared" si="37"/>
        <v>1.7131687242798355</v>
      </c>
      <c r="O275" s="162"/>
      <c r="P275" s="162">
        <f t="shared" si="34"/>
        <v>0</v>
      </c>
      <c r="Q275" s="162"/>
      <c r="R275" s="19">
        <f t="shared" si="35"/>
        <v>0</v>
      </c>
      <c r="S275" s="162">
        <f t="shared" si="36"/>
        <v>0</v>
      </c>
      <c r="T275" s="20">
        <v>2</v>
      </c>
      <c r="U275" s="20"/>
      <c r="V275" s="15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8">
        <v>300333</v>
      </c>
      <c r="B276" s="151" t="s">
        <v>67</v>
      </c>
      <c r="C276" s="230" t="s">
        <v>86</v>
      </c>
      <c r="D276" s="231"/>
      <c r="E276" s="164" t="s">
        <v>84</v>
      </c>
      <c r="F276" s="163"/>
      <c r="G276" s="162"/>
      <c r="H276" s="162"/>
      <c r="I276" s="162"/>
      <c r="J276" s="162"/>
      <c r="K276" s="162">
        <f t="shared" si="31"/>
        <v>0</v>
      </c>
      <c r="L276" s="162">
        <f t="shared" si="32"/>
        <v>0</v>
      </c>
      <c r="M276" s="162">
        <v>416.3</v>
      </c>
      <c r="N276" s="162">
        <f t="shared" si="37"/>
        <v>1.7131687242798355</v>
      </c>
      <c r="O276" s="162"/>
      <c r="P276" s="162">
        <f t="shared" si="34"/>
        <v>0</v>
      </c>
      <c r="Q276" s="162"/>
      <c r="R276" s="19">
        <f t="shared" si="35"/>
        <v>0</v>
      </c>
      <c r="S276" s="162">
        <f t="shared" si="36"/>
        <v>0</v>
      </c>
      <c r="T276" s="20">
        <v>2</v>
      </c>
      <c r="U276" s="20"/>
      <c r="V276" s="15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8">
        <v>300334</v>
      </c>
      <c r="B277" s="151" t="s">
        <v>67</v>
      </c>
      <c r="C277" s="230" t="s">
        <v>86</v>
      </c>
      <c r="D277" s="231"/>
      <c r="E277" s="164" t="s">
        <v>85</v>
      </c>
      <c r="F277" s="163"/>
      <c r="G277" s="162"/>
      <c r="H277" s="162"/>
      <c r="I277" s="162"/>
      <c r="J277" s="162"/>
      <c r="K277" s="162">
        <f t="shared" si="31"/>
        <v>0</v>
      </c>
      <c r="L277" s="162">
        <f t="shared" si="32"/>
        <v>0</v>
      </c>
      <c r="M277" s="162">
        <v>416.3</v>
      </c>
      <c r="N277" s="162">
        <f t="shared" si="37"/>
        <v>1.7131687242798355</v>
      </c>
      <c r="O277" s="162"/>
      <c r="P277" s="162">
        <f t="shared" si="34"/>
        <v>0</v>
      </c>
      <c r="Q277" s="162"/>
      <c r="R277" s="19">
        <f t="shared" si="35"/>
        <v>0</v>
      </c>
      <c r="S277" s="162">
        <f t="shared" si="36"/>
        <v>0</v>
      </c>
      <c r="T277" s="20">
        <v>2</v>
      </c>
      <c r="U277" s="20"/>
      <c r="V277" s="15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8">
        <v>300335</v>
      </c>
      <c r="B278" s="151" t="s">
        <v>67</v>
      </c>
      <c r="C278" s="230" t="s">
        <v>86</v>
      </c>
      <c r="D278" s="231"/>
      <c r="E278" s="164" t="s">
        <v>49</v>
      </c>
      <c r="F278" s="163"/>
      <c r="G278" s="162"/>
      <c r="H278" s="162"/>
      <c r="I278" s="162"/>
      <c r="J278" s="162"/>
      <c r="K278" s="162">
        <f t="shared" si="31"/>
        <v>0</v>
      </c>
      <c r="L278" s="162">
        <f t="shared" si="32"/>
        <v>0</v>
      </c>
      <c r="M278" s="162">
        <v>416.3</v>
      </c>
      <c r="N278" s="162">
        <f t="shared" si="37"/>
        <v>1.7131687242798355</v>
      </c>
      <c r="O278" s="162"/>
      <c r="P278" s="162">
        <f t="shared" si="34"/>
        <v>0</v>
      </c>
      <c r="Q278" s="162"/>
      <c r="R278" s="19">
        <f t="shared" si="35"/>
        <v>0</v>
      </c>
      <c r="S278" s="162">
        <f t="shared" si="36"/>
        <v>0</v>
      </c>
      <c r="T278" s="20">
        <v>2</v>
      </c>
      <c r="U278" s="20"/>
      <c r="V278" s="15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8">
        <v>300291</v>
      </c>
      <c r="B279" s="151" t="s">
        <v>87</v>
      </c>
      <c r="C279" s="219" t="s">
        <v>88</v>
      </c>
      <c r="D279" s="219" t="s">
        <v>89</v>
      </c>
      <c r="E279" s="164" t="s">
        <v>42</v>
      </c>
      <c r="F279" s="163"/>
      <c r="G279" s="162"/>
      <c r="H279" s="162"/>
      <c r="I279" s="162"/>
      <c r="J279" s="162"/>
      <c r="K279" s="162">
        <f t="shared" si="31"/>
        <v>0</v>
      </c>
      <c r="L279" s="162">
        <f t="shared" si="32"/>
        <v>0</v>
      </c>
      <c r="M279" s="162">
        <v>517.79999999999995</v>
      </c>
      <c r="N279" s="162">
        <f>+M279*1000/(66.6*1*110*60)*T279</f>
        <v>4.7119847119847122</v>
      </c>
      <c r="O279" s="162"/>
      <c r="P279" s="162">
        <f t="shared" si="34"/>
        <v>0</v>
      </c>
      <c r="Q279" s="162"/>
      <c r="R279" s="19">
        <f t="shared" si="35"/>
        <v>0</v>
      </c>
      <c r="S279" s="162">
        <f t="shared" si="36"/>
        <v>0</v>
      </c>
      <c r="T279" s="20">
        <v>4</v>
      </c>
      <c r="U279" s="20"/>
      <c r="V279" s="15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8">
        <v>300292</v>
      </c>
      <c r="B280" s="151" t="s">
        <v>87</v>
      </c>
      <c r="C280" s="219" t="s">
        <v>88</v>
      </c>
      <c r="D280" s="219" t="s">
        <v>89</v>
      </c>
      <c r="E280" s="164" t="s">
        <v>41</v>
      </c>
      <c r="F280" s="163"/>
      <c r="G280" s="162"/>
      <c r="H280" s="162"/>
      <c r="I280" s="162"/>
      <c r="J280" s="162"/>
      <c r="K280" s="162">
        <f t="shared" si="31"/>
        <v>0</v>
      </c>
      <c r="L280" s="162">
        <f t="shared" si="32"/>
        <v>0</v>
      </c>
      <c r="M280" s="162">
        <v>517.79999999999995</v>
      </c>
      <c r="N280" s="162">
        <f>+M280*1000/(66.8*1*110*60)*T280</f>
        <v>4.6978769733260748</v>
      </c>
      <c r="O280" s="162"/>
      <c r="P280" s="162">
        <f t="shared" si="34"/>
        <v>0</v>
      </c>
      <c r="Q280" s="162"/>
      <c r="R280" s="19">
        <f t="shared" si="35"/>
        <v>0</v>
      </c>
      <c r="S280" s="162">
        <f t="shared" si="36"/>
        <v>0</v>
      </c>
      <c r="T280" s="20">
        <v>4</v>
      </c>
      <c r="U280" s="20"/>
      <c r="V280" s="15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8">
        <v>300293</v>
      </c>
      <c r="B281" s="151" t="s">
        <v>87</v>
      </c>
      <c r="C281" s="219" t="s">
        <v>88</v>
      </c>
      <c r="D281" s="219" t="s">
        <v>89</v>
      </c>
      <c r="E281" s="164" t="s">
        <v>57</v>
      </c>
      <c r="F281" s="163"/>
      <c r="G281" s="162"/>
      <c r="H281" s="162"/>
      <c r="I281" s="162"/>
      <c r="J281" s="162"/>
      <c r="K281" s="162">
        <f t="shared" si="31"/>
        <v>0</v>
      </c>
      <c r="L281" s="162">
        <f t="shared" si="32"/>
        <v>0</v>
      </c>
      <c r="M281" s="162">
        <v>517.9</v>
      </c>
      <c r="N281" s="162">
        <f>+M281*1000/(67.1*1*110*60)*T281</f>
        <v>4.6777762724111467</v>
      </c>
      <c r="O281" s="162"/>
      <c r="P281" s="162">
        <f t="shared" si="34"/>
        <v>0</v>
      </c>
      <c r="Q281" s="162"/>
      <c r="R281" s="19">
        <f t="shared" si="35"/>
        <v>0</v>
      </c>
      <c r="S281" s="162">
        <f t="shared" si="36"/>
        <v>0</v>
      </c>
      <c r="T281" s="20">
        <v>4</v>
      </c>
      <c r="U281" s="20"/>
      <c r="V281" s="15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8">
        <v>300290</v>
      </c>
      <c r="B282" s="151" t="s">
        <v>87</v>
      </c>
      <c r="C282" s="219" t="s">
        <v>88</v>
      </c>
      <c r="D282" s="219" t="s">
        <v>89</v>
      </c>
      <c r="E282" s="164" t="s">
        <v>35</v>
      </c>
      <c r="F282" s="163"/>
      <c r="G282" s="162"/>
      <c r="H282" s="162"/>
      <c r="I282" s="162"/>
      <c r="J282" s="162"/>
      <c r="K282" s="162">
        <f t="shared" si="31"/>
        <v>0</v>
      </c>
      <c r="L282" s="162">
        <f t="shared" si="32"/>
        <v>0</v>
      </c>
      <c r="M282" s="162">
        <v>520</v>
      </c>
      <c r="N282" s="162">
        <f>+M282*1000/(67.5*1*110*60)*T282</f>
        <v>4.6689113355780023</v>
      </c>
      <c r="O282" s="162"/>
      <c r="P282" s="162">
        <f t="shared" si="34"/>
        <v>0</v>
      </c>
      <c r="Q282" s="162"/>
      <c r="R282" s="19">
        <f t="shared" si="35"/>
        <v>0</v>
      </c>
      <c r="S282" s="162">
        <f t="shared" si="36"/>
        <v>0</v>
      </c>
      <c r="T282" s="20">
        <v>4</v>
      </c>
      <c r="U282" s="20"/>
      <c r="V282" s="15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8">
        <v>300389</v>
      </c>
      <c r="B283" s="151" t="s">
        <v>87</v>
      </c>
      <c r="C283" s="219" t="s">
        <v>308</v>
      </c>
      <c r="D283" s="219" t="s">
        <v>89</v>
      </c>
      <c r="E283" s="164" t="s">
        <v>35</v>
      </c>
      <c r="F283" s="163"/>
      <c r="G283" s="162"/>
      <c r="H283" s="162"/>
      <c r="I283" s="162"/>
      <c r="J283" s="162"/>
      <c r="K283" s="162">
        <f t="shared" si="31"/>
        <v>0</v>
      </c>
      <c r="L283" s="162">
        <f t="shared" si="32"/>
        <v>0</v>
      </c>
      <c r="M283" s="162">
        <v>429.4</v>
      </c>
      <c r="N283" s="162">
        <f>+M283*1000/(47*1*110*60)*T283</f>
        <v>5.5370728562217923</v>
      </c>
      <c r="O283" s="162"/>
      <c r="P283" s="162">
        <f t="shared" si="34"/>
        <v>0</v>
      </c>
      <c r="Q283" s="162"/>
      <c r="R283" s="19">
        <f t="shared" si="35"/>
        <v>0</v>
      </c>
      <c r="S283" s="162">
        <f t="shared" si="36"/>
        <v>0</v>
      </c>
      <c r="T283" s="20">
        <v>4</v>
      </c>
      <c r="U283" s="20"/>
      <c r="V283" s="15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8">
        <v>300058</v>
      </c>
      <c r="B284" s="151" t="s">
        <v>87</v>
      </c>
      <c r="C284" s="219" t="s">
        <v>308</v>
      </c>
      <c r="D284" s="219" t="s">
        <v>89</v>
      </c>
      <c r="E284" s="164" t="s">
        <v>42</v>
      </c>
      <c r="F284" s="163"/>
      <c r="G284" s="162"/>
      <c r="H284" s="162"/>
      <c r="I284" s="162"/>
      <c r="J284" s="162"/>
      <c r="K284" s="162">
        <f t="shared" si="31"/>
        <v>0</v>
      </c>
      <c r="L284" s="162">
        <f t="shared" si="32"/>
        <v>0</v>
      </c>
      <c r="M284" s="162">
        <v>419.2</v>
      </c>
      <c r="N284" s="162">
        <f>+M284*1000/(51.5*1*110*60)*T284</f>
        <v>4.9332156516622536</v>
      </c>
      <c r="O284" s="162"/>
      <c r="P284" s="162">
        <f t="shared" si="34"/>
        <v>0</v>
      </c>
      <c r="Q284" s="162"/>
      <c r="R284" s="19">
        <f t="shared" si="35"/>
        <v>0</v>
      </c>
      <c r="S284" s="162">
        <f t="shared" si="36"/>
        <v>0</v>
      </c>
      <c r="T284" s="20">
        <v>4</v>
      </c>
      <c r="U284" s="20"/>
      <c r="V284" s="15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8">
        <v>300061</v>
      </c>
      <c r="B285" s="151" t="s">
        <v>87</v>
      </c>
      <c r="C285" s="219" t="s">
        <v>309</v>
      </c>
      <c r="D285" s="219" t="s">
        <v>91</v>
      </c>
      <c r="E285" s="164" t="s">
        <v>41</v>
      </c>
      <c r="F285" s="163"/>
      <c r="G285" s="162"/>
      <c r="H285" s="162"/>
      <c r="I285" s="162"/>
      <c r="J285" s="162"/>
      <c r="K285" s="162">
        <f t="shared" si="31"/>
        <v>0</v>
      </c>
      <c r="L285" s="162">
        <f t="shared" si="32"/>
        <v>0</v>
      </c>
      <c r="M285" s="162">
        <v>418.4</v>
      </c>
      <c r="N285" s="162">
        <f>+M285*1000/(51*1*110*60)*T285</f>
        <v>4.9720736779560308</v>
      </c>
      <c r="O285" s="162"/>
      <c r="P285" s="162">
        <f t="shared" si="34"/>
        <v>0</v>
      </c>
      <c r="Q285" s="162"/>
      <c r="R285" s="19">
        <f t="shared" si="35"/>
        <v>0</v>
      </c>
      <c r="S285" s="162">
        <f t="shared" si="36"/>
        <v>0</v>
      </c>
      <c r="T285" s="20">
        <v>4</v>
      </c>
      <c r="U285" s="20"/>
      <c r="V285" s="15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8">
        <v>300064</v>
      </c>
      <c r="B286" s="151">
        <v>5002</v>
      </c>
      <c r="C286" s="219" t="s">
        <v>309</v>
      </c>
      <c r="D286" s="219" t="s">
        <v>91</v>
      </c>
      <c r="E286" s="164" t="s">
        <v>35</v>
      </c>
      <c r="F286" s="163"/>
      <c r="G286" s="162"/>
      <c r="H286" s="162"/>
      <c r="I286" s="162"/>
      <c r="J286" s="162"/>
      <c r="K286" s="162">
        <f t="shared" ref="K286:K362" si="38">G286*M286</f>
        <v>0</v>
      </c>
      <c r="L286" s="162">
        <f t="shared" ref="L286:L362" si="39">I286*M286</f>
        <v>0</v>
      </c>
      <c r="M286" s="162">
        <v>419.2</v>
      </c>
      <c r="N286" s="162">
        <f>+M286*1000/(51.9*1*110*60)*T286</f>
        <v>4.8951947217843168</v>
      </c>
      <c r="O286" s="162"/>
      <c r="P286" s="162">
        <f t="shared" ref="P286:P362" si="40">N286*I286+O286*U286</f>
        <v>0</v>
      </c>
      <c r="Q286" s="162"/>
      <c r="R286" s="19">
        <f t="shared" ref="R286:R362" si="41">Q286*U286</f>
        <v>0</v>
      </c>
      <c r="S286" s="162">
        <f t="shared" ref="S286:S362" si="42">R286-P286</f>
        <v>0</v>
      </c>
      <c r="T286" s="20">
        <v>4</v>
      </c>
      <c r="U286" s="20"/>
      <c r="V286" s="15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8">
        <v>300060</v>
      </c>
      <c r="B287" s="151" t="s">
        <v>87</v>
      </c>
      <c r="C287" s="219" t="s">
        <v>309</v>
      </c>
      <c r="D287" s="219" t="s">
        <v>91</v>
      </c>
      <c r="E287" s="164" t="s">
        <v>57</v>
      </c>
      <c r="F287" s="163"/>
      <c r="G287" s="162"/>
      <c r="H287" s="162"/>
      <c r="I287" s="162"/>
      <c r="J287" s="162"/>
      <c r="K287" s="162">
        <f t="shared" si="38"/>
        <v>0</v>
      </c>
      <c r="L287" s="162">
        <f t="shared" si="39"/>
        <v>0</v>
      </c>
      <c r="M287" s="162">
        <v>416.9</v>
      </c>
      <c r="N287" s="162">
        <f>+M287*1000/(51*1*110*60)*T287</f>
        <v>4.9542483660130721</v>
      </c>
      <c r="O287" s="162"/>
      <c r="P287" s="162">
        <f t="shared" si="40"/>
        <v>0</v>
      </c>
      <c r="Q287" s="162"/>
      <c r="R287" s="19">
        <f t="shared" si="41"/>
        <v>0</v>
      </c>
      <c r="S287" s="162">
        <f t="shared" si="42"/>
        <v>0</v>
      </c>
      <c r="T287" s="20">
        <v>4</v>
      </c>
      <c r="U287" s="20"/>
      <c r="V287" s="15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8">
        <v>300068</v>
      </c>
      <c r="B288" s="151" t="s">
        <v>87</v>
      </c>
      <c r="C288" s="219" t="s">
        <v>92</v>
      </c>
      <c r="D288" s="219" t="s">
        <v>93</v>
      </c>
      <c r="E288" s="164" t="s">
        <v>37</v>
      </c>
      <c r="F288" s="163"/>
      <c r="G288" s="162"/>
      <c r="H288" s="162"/>
      <c r="I288" s="162"/>
      <c r="J288" s="162"/>
      <c r="K288" s="162">
        <f t="shared" si="38"/>
        <v>0</v>
      </c>
      <c r="L288" s="162">
        <f t="shared" si="39"/>
        <v>0</v>
      </c>
      <c r="M288" s="162">
        <v>438.4</v>
      </c>
      <c r="N288" s="162">
        <f>+M288*1000/(50*1*120*60)*T288</f>
        <v>4.8711111111111114</v>
      </c>
      <c r="O288" s="162"/>
      <c r="P288" s="162">
        <f t="shared" si="40"/>
        <v>0</v>
      </c>
      <c r="Q288" s="162"/>
      <c r="R288" s="19">
        <f t="shared" si="41"/>
        <v>0</v>
      </c>
      <c r="S288" s="162">
        <f t="shared" si="42"/>
        <v>0</v>
      </c>
      <c r="T288" s="20">
        <v>4</v>
      </c>
      <c r="U288" s="20"/>
      <c r="V288" s="15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8">
        <v>300065</v>
      </c>
      <c r="B289" s="151" t="s">
        <v>87</v>
      </c>
      <c r="C289" s="219" t="s">
        <v>92</v>
      </c>
      <c r="D289" s="219" t="s">
        <v>93</v>
      </c>
      <c r="E289" s="164" t="s">
        <v>35</v>
      </c>
      <c r="F289" s="163"/>
      <c r="G289" s="162"/>
      <c r="H289" s="162"/>
      <c r="I289" s="162"/>
      <c r="J289" s="162"/>
      <c r="K289" s="162">
        <f t="shared" si="38"/>
        <v>0</v>
      </c>
      <c r="L289" s="162">
        <f t="shared" si="39"/>
        <v>0</v>
      </c>
      <c r="M289" s="162">
        <v>438.8</v>
      </c>
      <c r="N289" s="162">
        <f>+M289*1000/(50*1*120*60)*T289</f>
        <v>4.8755555555555556</v>
      </c>
      <c r="O289" s="162"/>
      <c r="P289" s="162">
        <f t="shared" si="40"/>
        <v>0</v>
      </c>
      <c r="Q289" s="162"/>
      <c r="R289" s="19">
        <f t="shared" si="41"/>
        <v>0</v>
      </c>
      <c r="S289" s="162">
        <f t="shared" si="42"/>
        <v>0</v>
      </c>
      <c r="T289" s="20">
        <v>4</v>
      </c>
      <c r="U289" s="158"/>
      <c r="V289" s="15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8">
        <v>300066</v>
      </c>
      <c r="B290" s="151" t="s">
        <v>87</v>
      </c>
      <c r="C290" s="219" t="s">
        <v>92</v>
      </c>
      <c r="D290" s="219" t="s">
        <v>93</v>
      </c>
      <c r="E290" s="164" t="s">
        <v>66</v>
      </c>
      <c r="F290" s="163"/>
      <c r="G290" s="162"/>
      <c r="H290" s="162"/>
      <c r="I290" s="162"/>
      <c r="J290" s="162"/>
      <c r="K290" s="162">
        <f t="shared" si="38"/>
        <v>0</v>
      </c>
      <c r="L290" s="162">
        <f t="shared" si="39"/>
        <v>0</v>
      </c>
      <c r="M290" s="162">
        <v>438.4</v>
      </c>
      <c r="N290" s="162">
        <f>+M290*1000/(50*1*120*60)*T290</f>
        <v>4.8711111111111114</v>
      </c>
      <c r="O290" s="162"/>
      <c r="P290" s="162">
        <f t="shared" si="40"/>
        <v>0</v>
      </c>
      <c r="Q290" s="162"/>
      <c r="R290" s="19">
        <f t="shared" si="41"/>
        <v>0</v>
      </c>
      <c r="S290" s="162">
        <f t="shared" si="42"/>
        <v>0</v>
      </c>
      <c r="T290" s="20">
        <v>4</v>
      </c>
      <c r="U290" s="158"/>
      <c r="V290" s="15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8">
        <v>300067</v>
      </c>
      <c r="B291" s="151" t="s">
        <v>87</v>
      </c>
      <c r="C291" s="219" t="s">
        <v>92</v>
      </c>
      <c r="D291" s="219" t="s">
        <v>93</v>
      </c>
      <c r="E291" s="164" t="s">
        <v>41</v>
      </c>
      <c r="F291" s="163"/>
      <c r="G291" s="162"/>
      <c r="H291" s="162"/>
      <c r="I291" s="162"/>
      <c r="J291" s="162"/>
      <c r="K291" s="162">
        <f t="shared" si="38"/>
        <v>0</v>
      </c>
      <c r="L291" s="162">
        <f t="shared" si="39"/>
        <v>0</v>
      </c>
      <c r="M291" s="162">
        <v>438.8</v>
      </c>
      <c r="N291" s="162">
        <f>+M291*1000/(50*1*120*60)*T291</f>
        <v>4.8755555555555556</v>
      </c>
      <c r="O291" s="162"/>
      <c r="P291" s="162">
        <f t="shared" si="40"/>
        <v>0</v>
      </c>
      <c r="Q291" s="162"/>
      <c r="R291" s="19">
        <f t="shared" si="41"/>
        <v>0</v>
      </c>
      <c r="S291" s="162">
        <f t="shared" si="42"/>
        <v>0</v>
      </c>
      <c r="T291" s="20">
        <v>4</v>
      </c>
      <c r="U291" s="20"/>
      <c r="V291" s="15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8">
        <v>300384</v>
      </c>
      <c r="B293" s="151" t="s">
        <v>87</v>
      </c>
      <c r="C293" s="219" t="s">
        <v>94</v>
      </c>
      <c r="D293" s="219" t="s">
        <v>95</v>
      </c>
      <c r="E293" s="164" t="s">
        <v>35</v>
      </c>
      <c r="F293" s="163"/>
      <c r="G293" s="162"/>
      <c r="H293" s="162"/>
      <c r="I293" s="162"/>
      <c r="J293" s="162"/>
      <c r="K293" s="162">
        <f t="shared" si="38"/>
        <v>0</v>
      </c>
      <c r="L293" s="162">
        <f t="shared" si="39"/>
        <v>0</v>
      </c>
      <c r="M293" s="162">
        <v>415.5</v>
      </c>
      <c r="N293" s="162">
        <f>+M293*1000/(51*1*110*60)*T293</f>
        <v>8.6408199643493759</v>
      </c>
      <c r="O293" s="162"/>
      <c r="P293" s="162">
        <f t="shared" si="40"/>
        <v>0</v>
      </c>
      <c r="Q293" s="162"/>
      <c r="R293" s="19">
        <f t="shared" si="41"/>
        <v>0</v>
      </c>
      <c r="S293" s="162">
        <f t="shared" si="42"/>
        <v>0</v>
      </c>
      <c r="T293" s="20">
        <v>7</v>
      </c>
      <c r="U293" s="20"/>
      <c r="V293" s="15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8">
        <v>300383</v>
      </c>
      <c r="B294" s="151" t="s">
        <v>87</v>
      </c>
      <c r="C294" s="219" t="s">
        <v>94</v>
      </c>
      <c r="D294" s="219" t="s">
        <v>96</v>
      </c>
      <c r="E294" s="164" t="s">
        <v>41</v>
      </c>
      <c r="F294" s="163"/>
      <c r="G294" s="162"/>
      <c r="H294" s="162"/>
      <c r="I294" s="162"/>
      <c r="J294" s="162"/>
      <c r="K294" s="162">
        <f t="shared" si="38"/>
        <v>0</v>
      </c>
      <c r="L294" s="162">
        <f t="shared" si="39"/>
        <v>0</v>
      </c>
      <c r="M294" s="162">
        <v>415.5</v>
      </c>
      <c r="N294" s="162">
        <f>+M294*1000/(51*1*110*60)*T294</f>
        <v>8.6408199643493759</v>
      </c>
      <c r="O294" s="162"/>
      <c r="P294" s="162">
        <f t="shared" si="40"/>
        <v>0</v>
      </c>
      <c r="Q294" s="162"/>
      <c r="R294" s="19">
        <f t="shared" si="41"/>
        <v>0</v>
      </c>
      <c r="S294" s="162">
        <f t="shared" si="42"/>
        <v>0</v>
      </c>
      <c r="T294" s="20">
        <v>7</v>
      </c>
      <c r="U294" s="20"/>
      <c r="V294" s="15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8">
        <v>300386</v>
      </c>
      <c r="B295" s="151" t="s">
        <v>87</v>
      </c>
      <c r="C295" s="219" t="s">
        <v>94</v>
      </c>
      <c r="D295" s="219" t="s">
        <v>97</v>
      </c>
      <c r="E295" s="164" t="s">
        <v>66</v>
      </c>
      <c r="F295" s="163"/>
      <c r="G295" s="162"/>
      <c r="H295" s="162"/>
      <c r="I295" s="162"/>
      <c r="J295" s="162"/>
      <c r="K295" s="162">
        <f t="shared" si="38"/>
        <v>0</v>
      </c>
      <c r="L295" s="162">
        <f t="shared" si="39"/>
        <v>0</v>
      </c>
      <c r="M295" s="162">
        <v>415.5</v>
      </c>
      <c r="N295" s="162">
        <f>+M295*1000/(51*1*110*60)*T295</f>
        <v>8.6408199643493759</v>
      </c>
      <c r="O295" s="162"/>
      <c r="P295" s="162">
        <f t="shared" si="40"/>
        <v>0</v>
      </c>
      <c r="Q295" s="162"/>
      <c r="R295" s="19">
        <f t="shared" si="41"/>
        <v>0</v>
      </c>
      <c r="S295" s="162">
        <f t="shared" si="42"/>
        <v>0</v>
      </c>
      <c r="T295" s="20">
        <v>7</v>
      </c>
      <c r="U295" s="20"/>
      <c r="V295" s="15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8">
        <v>300385</v>
      </c>
      <c r="B296" s="151" t="s">
        <v>87</v>
      </c>
      <c r="C296" s="219" t="s">
        <v>94</v>
      </c>
      <c r="D296" s="219" t="s">
        <v>98</v>
      </c>
      <c r="E296" s="164" t="s">
        <v>99</v>
      </c>
      <c r="F296" s="163"/>
      <c r="G296" s="162"/>
      <c r="H296" s="162"/>
      <c r="I296" s="162"/>
      <c r="J296" s="162"/>
      <c r="K296" s="162">
        <f t="shared" si="38"/>
        <v>0</v>
      </c>
      <c r="L296" s="162">
        <f t="shared" si="39"/>
        <v>0</v>
      </c>
      <c r="M296" s="162">
        <v>415.5</v>
      </c>
      <c r="N296" s="162">
        <f>+M296*1000/(51*1*110*60)*T296</f>
        <v>8.6408199643493759</v>
      </c>
      <c r="O296" s="162"/>
      <c r="P296" s="162">
        <f t="shared" si="40"/>
        <v>0</v>
      </c>
      <c r="Q296" s="162"/>
      <c r="R296" s="19">
        <f t="shared" si="41"/>
        <v>0</v>
      </c>
      <c r="S296" s="162">
        <f t="shared" si="42"/>
        <v>0</v>
      </c>
      <c r="T296" s="20">
        <v>7</v>
      </c>
      <c r="U296" s="20"/>
      <c r="V296" s="15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8">
        <v>300352</v>
      </c>
      <c r="B297" s="151" t="s">
        <v>87</v>
      </c>
      <c r="C297" s="219" t="s">
        <v>100</v>
      </c>
      <c r="D297" s="219" t="s">
        <v>95</v>
      </c>
      <c r="E297" s="164" t="s">
        <v>35</v>
      </c>
      <c r="F297" s="163"/>
      <c r="G297" s="162"/>
      <c r="H297" s="162"/>
      <c r="I297" s="162"/>
      <c r="J297" s="162"/>
      <c r="K297" s="162">
        <f t="shared" si="38"/>
        <v>0</v>
      </c>
      <c r="L297" s="162">
        <f t="shared" si="39"/>
        <v>0</v>
      </c>
      <c r="M297" s="162">
        <v>515.9</v>
      </c>
      <c r="N297" s="162">
        <f>+M297*1000/(80*1*110*60)*T297</f>
        <v>6.8395833333333336</v>
      </c>
      <c r="O297" s="162"/>
      <c r="P297" s="162">
        <f t="shared" si="40"/>
        <v>0</v>
      </c>
      <c r="Q297" s="162"/>
      <c r="R297" s="19">
        <f t="shared" si="41"/>
        <v>0</v>
      </c>
      <c r="S297" s="162">
        <f t="shared" si="42"/>
        <v>0</v>
      </c>
      <c r="T297" s="20">
        <v>7</v>
      </c>
      <c r="U297" s="20"/>
      <c r="V297" s="15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8">
        <v>300353</v>
      </c>
      <c r="B298" s="151" t="s">
        <v>87</v>
      </c>
      <c r="C298" s="219" t="s">
        <v>100</v>
      </c>
      <c r="D298" s="219" t="s">
        <v>95</v>
      </c>
      <c r="E298" s="164" t="s">
        <v>99</v>
      </c>
      <c r="F298" s="163"/>
      <c r="G298" s="162"/>
      <c r="H298" s="162"/>
      <c r="I298" s="162"/>
      <c r="J298" s="162"/>
      <c r="K298" s="162">
        <f t="shared" si="38"/>
        <v>0</v>
      </c>
      <c r="L298" s="162">
        <f t="shared" si="39"/>
        <v>0</v>
      </c>
      <c r="M298" s="162">
        <v>515.9</v>
      </c>
      <c r="N298" s="162">
        <f>+M298*1000/(80*1*110*60)*T298</f>
        <v>6.8395833333333336</v>
      </c>
      <c r="O298" s="162"/>
      <c r="P298" s="162">
        <f t="shared" si="40"/>
        <v>0</v>
      </c>
      <c r="Q298" s="162"/>
      <c r="R298" s="19">
        <f t="shared" si="41"/>
        <v>0</v>
      </c>
      <c r="S298" s="162">
        <f t="shared" si="42"/>
        <v>0</v>
      </c>
      <c r="T298" s="20">
        <v>7</v>
      </c>
      <c r="U298" s="20"/>
      <c r="V298" s="15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8">
        <v>300351</v>
      </c>
      <c r="B299" s="151" t="s">
        <v>87</v>
      </c>
      <c r="C299" s="219" t="s">
        <v>100</v>
      </c>
      <c r="D299" s="219" t="s">
        <v>95</v>
      </c>
      <c r="E299" s="164" t="s">
        <v>41</v>
      </c>
      <c r="F299" s="163"/>
      <c r="G299" s="162"/>
      <c r="H299" s="162"/>
      <c r="I299" s="162"/>
      <c r="J299" s="162"/>
      <c r="K299" s="162">
        <f t="shared" si="38"/>
        <v>0</v>
      </c>
      <c r="L299" s="162">
        <f t="shared" si="39"/>
        <v>0</v>
      </c>
      <c r="M299" s="162">
        <v>515.9</v>
      </c>
      <c r="N299" s="162">
        <f>+M299*1000/(80*1*110*60)*T299</f>
        <v>6.8395833333333336</v>
      </c>
      <c r="O299" s="162"/>
      <c r="P299" s="162">
        <f t="shared" si="40"/>
        <v>0</v>
      </c>
      <c r="Q299" s="162"/>
      <c r="R299" s="19">
        <f t="shared" si="41"/>
        <v>0</v>
      </c>
      <c r="S299" s="162">
        <f t="shared" si="42"/>
        <v>0</v>
      </c>
      <c r="T299" s="20">
        <v>7</v>
      </c>
      <c r="U299" s="20"/>
      <c r="V299" s="15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8">
        <v>300354</v>
      </c>
      <c r="B300" s="151" t="s">
        <v>87</v>
      </c>
      <c r="C300" s="219" t="s">
        <v>100</v>
      </c>
      <c r="D300" s="219" t="s">
        <v>95</v>
      </c>
      <c r="E300" s="164" t="s">
        <v>66</v>
      </c>
      <c r="F300" s="163"/>
      <c r="G300" s="162"/>
      <c r="H300" s="162"/>
      <c r="I300" s="162"/>
      <c r="J300" s="162"/>
      <c r="K300" s="162">
        <f t="shared" si="38"/>
        <v>0</v>
      </c>
      <c r="L300" s="162">
        <f t="shared" si="39"/>
        <v>0</v>
      </c>
      <c r="M300" s="162">
        <v>515.9</v>
      </c>
      <c r="N300" s="162">
        <f>+M300*1000/(80*1*110*60)*T300</f>
        <v>6.8395833333333336</v>
      </c>
      <c r="O300" s="162"/>
      <c r="P300" s="162">
        <f t="shared" si="40"/>
        <v>0</v>
      </c>
      <c r="Q300" s="162"/>
      <c r="R300" s="19">
        <f t="shared" si="41"/>
        <v>0</v>
      </c>
      <c r="S300" s="162">
        <f t="shared" si="42"/>
        <v>0</v>
      </c>
      <c r="T300" s="20">
        <v>7</v>
      </c>
      <c r="U300" s="20"/>
      <c r="V300" s="15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8">
        <v>300250</v>
      </c>
      <c r="B301" s="151" t="s">
        <v>87</v>
      </c>
      <c r="C301" s="219" t="s">
        <v>101</v>
      </c>
      <c r="D301" s="219" t="s">
        <v>95</v>
      </c>
      <c r="E301" s="164" t="s">
        <v>35</v>
      </c>
      <c r="F301" s="163"/>
      <c r="G301" s="162"/>
      <c r="H301" s="162"/>
      <c r="I301" s="162"/>
      <c r="J301" s="162"/>
      <c r="K301" s="162">
        <f t="shared" si="38"/>
        <v>0</v>
      </c>
      <c r="L301" s="162">
        <f t="shared" si="39"/>
        <v>0</v>
      </c>
      <c r="M301" s="162">
        <v>412.5</v>
      </c>
      <c r="N301" s="162">
        <f>+M301*1000/(84*1*110*60)*T301</f>
        <v>5.2083333333333339</v>
      </c>
      <c r="O301" s="162"/>
      <c r="P301" s="162">
        <f t="shared" si="40"/>
        <v>0</v>
      </c>
      <c r="Q301" s="162"/>
      <c r="R301" s="19">
        <f t="shared" si="41"/>
        <v>0</v>
      </c>
      <c r="S301" s="162">
        <f t="shared" si="42"/>
        <v>0</v>
      </c>
      <c r="T301" s="20">
        <v>7</v>
      </c>
      <c r="U301" s="20"/>
      <c r="V301" s="15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8">
        <v>300251</v>
      </c>
      <c r="B302" s="151" t="s">
        <v>87</v>
      </c>
      <c r="C302" s="219" t="s">
        <v>101</v>
      </c>
      <c r="D302" s="219" t="s">
        <v>95</v>
      </c>
      <c r="E302" s="164" t="s">
        <v>99</v>
      </c>
      <c r="F302" s="163"/>
      <c r="G302" s="162"/>
      <c r="H302" s="162"/>
      <c r="I302" s="162"/>
      <c r="J302" s="162"/>
      <c r="K302" s="162">
        <f t="shared" si="38"/>
        <v>0</v>
      </c>
      <c r="L302" s="162">
        <f t="shared" si="39"/>
        <v>0</v>
      </c>
      <c r="M302" s="162">
        <v>412.5</v>
      </c>
      <c r="N302" s="162">
        <f>+M302*1000/(84*1*110*60)*T302</f>
        <v>5.2083333333333339</v>
      </c>
      <c r="O302" s="162"/>
      <c r="P302" s="162">
        <f t="shared" si="40"/>
        <v>0</v>
      </c>
      <c r="Q302" s="162"/>
      <c r="R302" s="19">
        <f t="shared" si="41"/>
        <v>0</v>
      </c>
      <c r="S302" s="162">
        <f t="shared" si="42"/>
        <v>0</v>
      </c>
      <c r="T302" s="20">
        <v>7</v>
      </c>
      <c r="U302" s="20"/>
      <c r="V302" s="15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8">
        <v>300254</v>
      </c>
      <c r="B303" s="151" t="s">
        <v>87</v>
      </c>
      <c r="C303" s="219" t="s">
        <v>101</v>
      </c>
      <c r="D303" s="219" t="s">
        <v>95</v>
      </c>
      <c r="E303" s="164" t="s">
        <v>41</v>
      </c>
      <c r="F303" s="163"/>
      <c r="G303" s="162"/>
      <c r="H303" s="162"/>
      <c r="I303" s="162"/>
      <c r="J303" s="162"/>
      <c r="K303" s="162">
        <f t="shared" si="38"/>
        <v>0</v>
      </c>
      <c r="L303" s="162">
        <f t="shared" si="39"/>
        <v>0</v>
      </c>
      <c r="M303" s="162">
        <v>412.5</v>
      </c>
      <c r="N303" s="162">
        <f>+M303*1000/(84*1*110*60)*T303</f>
        <v>5.2083333333333339</v>
      </c>
      <c r="O303" s="162"/>
      <c r="P303" s="162">
        <f t="shared" si="40"/>
        <v>0</v>
      </c>
      <c r="Q303" s="162"/>
      <c r="R303" s="19">
        <f t="shared" si="41"/>
        <v>0</v>
      </c>
      <c r="S303" s="162">
        <f t="shared" si="42"/>
        <v>0</v>
      </c>
      <c r="T303" s="20">
        <v>7</v>
      </c>
      <c r="U303" s="20"/>
      <c r="V303" s="15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8">
        <v>300253</v>
      </c>
      <c r="B304" s="151" t="s">
        <v>87</v>
      </c>
      <c r="C304" s="219" t="s">
        <v>101</v>
      </c>
      <c r="D304" s="219" t="s">
        <v>95</v>
      </c>
      <c r="E304" s="164" t="s">
        <v>66</v>
      </c>
      <c r="F304" s="163"/>
      <c r="G304" s="162"/>
      <c r="H304" s="162"/>
      <c r="I304" s="162"/>
      <c r="J304" s="162"/>
      <c r="K304" s="162">
        <f t="shared" si="38"/>
        <v>0</v>
      </c>
      <c r="L304" s="162">
        <f t="shared" si="39"/>
        <v>0</v>
      </c>
      <c r="M304" s="162">
        <v>412.5</v>
      </c>
      <c r="N304" s="162">
        <f>+M304*1000/(84*1*110*60)*T304</f>
        <v>5.2083333333333339</v>
      </c>
      <c r="O304" s="162"/>
      <c r="P304" s="162">
        <f t="shared" si="40"/>
        <v>0</v>
      </c>
      <c r="Q304" s="162"/>
      <c r="R304" s="19">
        <f t="shared" si="41"/>
        <v>0</v>
      </c>
      <c r="S304" s="162">
        <f t="shared" si="42"/>
        <v>0</v>
      </c>
      <c r="T304" s="20">
        <v>7</v>
      </c>
      <c r="U304" s="20"/>
      <c r="V304" s="15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8">
        <v>300255</v>
      </c>
      <c r="B305" s="151" t="s">
        <v>87</v>
      </c>
      <c r="C305" s="219" t="s">
        <v>101</v>
      </c>
      <c r="D305" s="219" t="s">
        <v>95</v>
      </c>
      <c r="E305" s="164" t="s">
        <v>102</v>
      </c>
      <c r="F305" s="163"/>
      <c r="G305" s="162"/>
      <c r="H305" s="162"/>
      <c r="I305" s="162"/>
      <c r="J305" s="162"/>
      <c r="K305" s="162">
        <f t="shared" si="38"/>
        <v>0</v>
      </c>
      <c r="L305" s="162">
        <f t="shared" si="39"/>
        <v>0</v>
      </c>
      <c r="M305" s="162">
        <v>412.5</v>
      </c>
      <c r="N305" s="162">
        <f>+M305*1000/(84*1*110*60)*T305</f>
        <v>5.2083333333333339</v>
      </c>
      <c r="O305" s="162"/>
      <c r="P305" s="162">
        <f t="shared" si="40"/>
        <v>0</v>
      </c>
      <c r="Q305" s="162"/>
      <c r="R305" s="19">
        <f t="shared" si="41"/>
        <v>0</v>
      </c>
      <c r="S305" s="162">
        <f t="shared" si="42"/>
        <v>0</v>
      </c>
      <c r="T305" s="20">
        <v>7</v>
      </c>
      <c r="U305" s="20"/>
      <c r="V305" s="15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8">
        <v>300392</v>
      </c>
      <c r="B306" s="151" t="s">
        <v>87</v>
      </c>
      <c r="C306" s="230" t="s">
        <v>103</v>
      </c>
      <c r="D306" s="231"/>
      <c r="E306" s="164" t="s">
        <v>99</v>
      </c>
      <c r="F306" s="158"/>
      <c r="G306" s="162"/>
      <c r="H306" s="162"/>
      <c r="I306" s="162"/>
      <c r="J306" s="162"/>
      <c r="K306" s="162">
        <f t="shared" si="38"/>
        <v>0</v>
      </c>
      <c r="L306" s="162">
        <f t="shared" si="39"/>
        <v>0</v>
      </c>
      <c r="M306" s="162">
        <v>523</v>
      </c>
      <c r="N306" s="162">
        <f>+M306*1000/(98*1*80*60)*T306</f>
        <v>7.7827380952380958</v>
      </c>
      <c r="O306" s="162"/>
      <c r="P306" s="162">
        <f t="shared" si="40"/>
        <v>0</v>
      </c>
      <c r="Q306" s="162"/>
      <c r="R306" s="19">
        <f t="shared" si="41"/>
        <v>0</v>
      </c>
      <c r="S306" s="162">
        <f t="shared" si="42"/>
        <v>0</v>
      </c>
      <c r="T306" s="20">
        <v>7</v>
      </c>
      <c r="U306" s="20"/>
      <c r="V306" s="15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8">
        <v>300088</v>
      </c>
      <c r="B307" s="151" t="s">
        <v>87</v>
      </c>
      <c r="C307" s="219" t="s">
        <v>310</v>
      </c>
      <c r="D307" s="219" t="s">
        <v>91</v>
      </c>
      <c r="E307" s="164" t="s">
        <v>39</v>
      </c>
      <c r="F307" s="163"/>
      <c r="G307" s="162"/>
      <c r="H307" s="162"/>
      <c r="I307" s="162"/>
      <c r="J307" s="162"/>
      <c r="K307" s="162">
        <f t="shared" si="38"/>
        <v>0</v>
      </c>
      <c r="L307" s="162">
        <f t="shared" si="39"/>
        <v>0</v>
      </c>
      <c r="M307" s="162">
        <v>617.79999999999995</v>
      </c>
      <c r="N307" s="162">
        <f>+M307*1000/(123*1*80*60)*T307</f>
        <v>3.1392276422764223</v>
      </c>
      <c r="O307" s="162"/>
      <c r="P307" s="162">
        <f t="shared" si="40"/>
        <v>0</v>
      </c>
      <c r="Q307" s="162"/>
      <c r="R307" s="19">
        <f t="shared" si="41"/>
        <v>0</v>
      </c>
      <c r="S307" s="162">
        <f t="shared" si="42"/>
        <v>0</v>
      </c>
      <c r="T307" s="20">
        <v>3</v>
      </c>
      <c r="U307" s="20"/>
      <c r="V307" s="15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8">
        <v>300089</v>
      </c>
      <c r="B308" s="151" t="s">
        <v>87</v>
      </c>
      <c r="C308" s="219" t="s">
        <v>310</v>
      </c>
      <c r="D308" s="219" t="s">
        <v>91</v>
      </c>
      <c r="E308" s="164" t="s">
        <v>42</v>
      </c>
      <c r="F308" s="163"/>
      <c r="G308" s="162"/>
      <c r="H308" s="162"/>
      <c r="I308" s="162"/>
      <c r="J308" s="162"/>
      <c r="K308" s="162">
        <f t="shared" si="38"/>
        <v>0</v>
      </c>
      <c r="L308" s="162">
        <f t="shared" si="39"/>
        <v>0</v>
      </c>
      <c r="M308" s="162">
        <v>618.6</v>
      </c>
      <c r="N308" s="162">
        <f>+M308*1000/(124*1*80*60)*T308</f>
        <v>3.117943548387097</v>
      </c>
      <c r="O308" s="162"/>
      <c r="P308" s="162">
        <f t="shared" si="40"/>
        <v>0</v>
      </c>
      <c r="Q308" s="162"/>
      <c r="R308" s="19">
        <f t="shared" si="41"/>
        <v>0</v>
      </c>
      <c r="S308" s="162">
        <f t="shared" si="42"/>
        <v>0</v>
      </c>
      <c r="T308" s="20">
        <v>3</v>
      </c>
      <c r="U308" s="20"/>
      <c r="V308" s="15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8">
        <v>300128</v>
      </c>
      <c r="B309" s="151" t="s">
        <v>87</v>
      </c>
      <c r="C309" s="219" t="s">
        <v>104</v>
      </c>
      <c r="D309" s="219" t="s">
        <v>105</v>
      </c>
      <c r="E309" s="164" t="s">
        <v>35</v>
      </c>
      <c r="F309" s="163"/>
      <c r="G309" s="162"/>
      <c r="H309" s="162"/>
      <c r="I309" s="162"/>
      <c r="J309" s="162"/>
      <c r="K309" s="162">
        <f t="shared" si="38"/>
        <v>0</v>
      </c>
      <c r="L309" s="162">
        <f t="shared" si="39"/>
        <v>0</v>
      </c>
      <c r="M309" s="162">
        <v>621.29999999999995</v>
      </c>
      <c r="N309" s="162">
        <f t="shared" ref="N309:N314" si="43">+M309*1000/(130.5*1*80*60)*T309</f>
        <v>3.9674329501915708</v>
      </c>
      <c r="O309" s="162"/>
      <c r="P309" s="162">
        <f t="shared" si="40"/>
        <v>0</v>
      </c>
      <c r="Q309" s="162"/>
      <c r="R309" s="19">
        <f t="shared" si="41"/>
        <v>0</v>
      </c>
      <c r="S309" s="162">
        <f t="shared" si="42"/>
        <v>0</v>
      </c>
      <c r="T309" s="20">
        <v>4</v>
      </c>
      <c r="U309" s="20"/>
      <c r="V309" s="15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8">
        <v>300129</v>
      </c>
      <c r="B310" s="151" t="s">
        <v>87</v>
      </c>
      <c r="C310" s="219" t="s">
        <v>104</v>
      </c>
      <c r="D310" s="219" t="s">
        <v>105</v>
      </c>
      <c r="E310" s="164" t="s">
        <v>41</v>
      </c>
      <c r="F310" s="163"/>
      <c r="G310" s="162"/>
      <c r="H310" s="162"/>
      <c r="I310" s="162"/>
      <c r="J310" s="162"/>
      <c r="K310" s="162">
        <f t="shared" si="38"/>
        <v>0</v>
      </c>
      <c r="L310" s="162">
        <f t="shared" si="39"/>
        <v>0</v>
      </c>
      <c r="M310" s="162">
        <v>621.29999999999995</v>
      </c>
      <c r="N310" s="162">
        <f t="shared" si="43"/>
        <v>3.9674329501915708</v>
      </c>
      <c r="O310" s="162"/>
      <c r="P310" s="162">
        <f t="shared" si="40"/>
        <v>0</v>
      </c>
      <c r="Q310" s="162"/>
      <c r="R310" s="19">
        <f t="shared" si="41"/>
        <v>0</v>
      </c>
      <c r="S310" s="162">
        <f t="shared" si="42"/>
        <v>0</v>
      </c>
      <c r="T310" s="20">
        <v>4</v>
      </c>
      <c r="U310" s="20"/>
      <c r="V310" s="15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8">
        <v>300130</v>
      </c>
      <c r="B311" s="151" t="s">
        <v>87</v>
      </c>
      <c r="C311" s="219" t="s">
        <v>104</v>
      </c>
      <c r="D311" s="219" t="s">
        <v>105</v>
      </c>
      <c r="E311" s="164" t="s">
        <v>37</v>
      </c>
      <c r="F311" s="163"/>
      <c r="G311" s="162"/>
      <c r="H311" s="162"/>
      <c r="I311" s="162"/>
      <c r="J311" s="162"/>
      <c r="K311" s="162">
        <f t="shared" si="38"/>
        <v>0</v>
      </c>
      <c r="L311" s="162">
        <f t="shared" si="39"/>
        <v>0</v>
      </c>
      <c r="M311" s="162">
        <v>621.29999999999995</v>
      </c>
      <c r="N311" s="162">
        <f t="shared" si="43"/>
        <v>3.9674329501915708</v>
      </c>
      <c r="O311" s="162"/>
      <c r="P311" s="162">
        <f t="shared" si="40"/>
        <v>0</v>
      </c>
      <c r="Q311" s="162"/>
      <c r="R311" s="19">
        <f t="shared" si="41"/>
        <v>0</v>
      </c>
      <c r="S311" s="162">
        <f t="shared" si="42"/>
        <v>0</v>
      </c>
      <c r="T311" s="20">
        <v>4</v>
      </c>
      <c r="U311" s="20"/>
      <c r="V311" s="15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8">
        <v>300423</v>
      </c>
      <c r="B312" s="151" t="s">
        <v>292</v>
      </c>
      <c r="C312" s="230" t="s">
        <v>288</v>
      </c>
      <c r="D312" s="231"/>
      <c r="E312" s="164" t="s">
        <v>289</v>
      </c>
      <c r="F312" s="13"/>
      <c r="G312" s="110"/>
      <c r="H312" s="110"/>
      <c r="I312" s="110"/>
      <c r="J312" s="110"/>
      <c r="K312" s="162">
        <f t="shared" si="38"/>
        <v>0</v>
      </c>
      <c r="L312" s="162">
        <f t="shared" si="39"/>
        <v>0</v>
      </c>
      <c r="M312" s="162">
        <v>524.1</v>
      </c>
      <c r="N312" s="162">
        <f t="shared" si="43"/>
        <v>3.3467432950191571</v>
      </c>
      <c r="O312" s="162"/>
      <c r="P312" s="162">
        <f t="shared" si="40"/>
        <v>0</v>
      </c>
      <c r="Q312" s="162"/>
      <c r="R312" s="19">
        <f t="shared" si="41"/>
        <v>0</v>
      </c>
      <c r="S312" s="162">
        <f t="shared" si="42"/>
        <v>0</v>
      </c>
      <c r="T312" s="20">
        <v>4</v>
      </c>
      <c r="U312" s="20"/>
      <c r="V312" s="15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8">
        <v>300424</v>
      </c>
      <c r="B313" s="151" t="s">
        <v>292</v>
      </c>
      <c r="C313" s="230" t="s">
        <v>288</v>
      </c>
      <c r="D313" s="231"/>
      <c r="E313" s="164" t="s">
        <v>290</v>
      </c>
      <c r="F313" s="13"/>
      <c r="G313" s="110"/>
      <c r="H313" s="110"/>
      <c r="I313" s="110"/>
      <c r="J313" s="110"/>
      <c r="K313" s="162">
        <f t="shared" si="38"/>
        <v>0</v>
      </c>
      <c r="L313" s="162">
        <f t="shared" si="39"/>
        <v>0</v>
      </c>
      <c r="M313" s="162">
        <v>524.1</v>
      </c>
      <c r="N313" s="162">
        <f t="shared" si="43"/>
        <v>3.3467432950191571</v>
      </c>
      <c r="O313" s="162"/>
      <c r="P313" s="162">
        <f t="shared" si="40"/>
        <v>0</v>
      </c>
      <c r="Q313" s="162"/>
      <c r="R313" s="19">
        <f t="shared" si="41"/>
        <v>0</v>
      </c>
      <c r="S313" s="162">
        <f t="shared" si="42"/>
        <v>0</v>
      </c>
      <c r="T313" s="20">
        <v>4</v>
      </c>
      <c r="U313" s="20"/>
      <c r="V313" s="15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8">
        <v>300425</v>
      </c>
      <c r="B314" s="151" t="s">
        <v>292</v>
      </c>
      <c r="C314" s="230" t="s">
        <v>288</v>
      </c>
      <c r="D314" s="231"/>
      <c r="E314" s="164" t="s">
        <v>291</v>
      </c>
      <c r="F314" s="13"/>
      <c r="G314" s="110"/>
      <c r="H314" s="110"/>
      <c r="I314" s="110"/>
      <c r="J314" s="110"/>
      <c r="K314" s="162">
        <f t="shared" si="38"/>
        <v>0</v>
      </c>
      <c r="L314" s="162">
        <f t="shared" si="39"/>
        <v>0</v>
      </c>
      <c r="M314" s="162">
        <v>524.1</v>
      </c>
      <c r="N314" s="162">
        <f t="shared" si="43"/>
        <v>3.3467432950191571</v>
      </c>
      <c r="O314" s="162"/>
      <c r="P314" s="162">
        <f t="shared" si="40"/>
        <v>0</v>
      </c>
      <c r="Q314" s="162"/>
      <c r="R314" s="19">
        <f t="shared" si="41"/>
        <v>0</v>
      </c>
      <c r="S314" s="162">
        <f t="shared" si="42"/>
        <v>0</v>
      </c>
      <c r="T314" s="20">
        <v>4</v>
      </c>
      <c r="U314" s="20"/>
      <c r="V314" s="15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8">
        <v>300390</v>
      </c>
      <c r="B315" s="151" t="s">
        <v>287</v>
      </c>
      <c r="C315" s="230" t="s">
        <v>106</v>
      </c>
      <c r="D315" s="231"/>
      <c r="E315" s="164" t="s">
        <v>107</v>
      </c>
      <c r="F315" s="163"/>
      <c r="G315" s="162"/>
      <c r="H315" s="162"/>
      <c r="I315" s="162"/>
      <c r="J315" s="162"/>
      <c r="K315" s="162">
        <f t="shared" si="38"/>
        <v>0</v>
      </c>
      <c r="L315" s="162">
        <f t="shared" si="39"/>
        <v>0</v>
      </c>
      <c r="M315" s="162">
        <v>417.4</v>
      </c>
      <c r="N315" s="162">
        <f>+M315*1000/(87*1*80*60)*T315</f>
        <v>3.9980842911877397</v>
      </c>
      <c r="O315" s="162"/>
      <c r="P315" s="162">
        <f t="shared" si="40"/>
        <v>0</v>
      </c>
      <c r="Q315" s="162"/>
      <c r="R315" s="19">
        <f t="shared" si="41"/>
        <v>0</v>
      </c>
      <c r="S315" s="162">
        <f t="shared" si="42"/>
        <v>0</v>
      </c>
      <c r="T315" s="20">
        <v>4</v>
      </c>
      <c r="U315" s="20"/>
      <c r="V315" s="15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8">
        <v>300391</v>
      </c>
      <c r="B316" s="151" t="s">
        <v>108</v>
      </c>
      <c r="C316" s="230" t="s">
        <v>106</v>
      </c>
      <c r="D316" s="231"/>
      <c r="E316" s="164" t="s">
        <v>109</v>
      </c>
      <c r="F316" s="163"/>
      <c r="G316" s="162"/>
      <c r="H316" s="162"/>
      <c r="I316" s="162"/>
      <c r="J316" s="162"/>
      <c r="K316" s="162">
        <f t="shared" si="38"/>
        <v>0</v>
      </c>
      <c r="L316" s="162">
        <f t="shared" si="39"/>
        <v>0</v>
      </c>
      <c r="M316" s="162">
        <v>417.4</v>
      </c>
      <c r="N316" s="162">
        <f>+M316*1000/(87*1*80*60)*T316</f>
        <v>3.9980842911877397</v>
      </c>
      <c r="O316" s="162"/>
      <c r="P316" s="162">
        <f t="shared" si="40"/>
        <v>0</v>
      </c>
      <c r="Q316" s="162"/>
      <c r="R316" s="19">
        <f t="shared" si="41"/>
        <v>0</v>
      </c>
      <c r="S316" s="162">
        <f t="shared" si="42"/>
        <v>0</v>
      </c>
      <c r="T316" s="20">
        <v>4</v>
      </c>
      <c r="U316" s="20"/>
      <c r="V316" s="15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8">
        <v>300074</v>
      </c>
      <c r="B320" s="151" t="s">
        <v>110</v>
      </c>
      <c r="C320" s="219" t="s">
        <v>111</v>
      </c>
      <c r="D320" s="219" t="s">
        <v>112</v>
      </c>
      <c r="E320" s="164" t="s">
        <v>54</v>
      </c>
      <c r="F320" s="163"/>
      <c r="G320" s="162"/>
      <c r="H320" s="162"/>
      <c r="I320" s="162"/>
      <c r="J320" s="162"/>
      <c r="K320" s="162">
        <f t="shared" si="38"/>
        <v>0</v>
      </c>
      <c r="L320" s="162">
        <f t="shared" si="39"/>
        <v>0</v>
      </c>
      <c r="M320" s="162">
        <v>290.8</v>
      </c>
      <c r="N320" s="162">
        <f>+M320*1000/(88*4*13*60)*T320</f>
        <v>3.1774475524475525</v>
      </c>
      <c r="O320" s="162"/>
      <c r="P320" s="162">
        <f t="shared" si="40"/>
        <v>0</v>
      </c>
      <c r="Q320" s="162"/>
      <c r="R320" s="19">
        <f t="shared" si="41"/>
        <v>0</v>
      </c>
      <c r="S320" s="162">
        <f t="shared" si="42"/>
        <v>0</v>
      </c>
      <c r="T320" s="20">
        <v>3</v>
      </c>
      <c r="U320" s="20"/>
      <c r="V320" s="15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8">
        <v>300076</v>
      </c>
      <c r="B321" s="151" t="s">
        <v>110</v>
      </c>
      <c r="C321" s="219" t="s">
        <v>111</v>
      </c>
      <c r="D321" s="219" t="s">
        <v>112</v>
      </c>
      <c r="E321" s="164" t="s">
        <v>35</v>
      </c>
      <c r="F321" s="163"/>
      <c r="G321" s="162"/>
      <c r="H321" s="162"/>
      <c r="I321" s="162"/>
      <c r="J321" s="162"/>
      <c r="K321" s="162">
        <f t="shared" si="38"/>
        <v>0</v>
      </c>
      <c r="L321" s="162">
        <f t="shared" si="39"/>
        <v>0</v>
      </c>
      <c r="M321" s="162">
        <v>303.10000000000002</v>
      </c>
      <c r="N321" s="162">
        <f>+M321*1000/(88*4*12*60)*T321</f>
        <v>4.7837752525252526</v>
      </c>
      <c r="O321" s="162"/>
      <c r="P321" s="162">
        <f t="shared" si="40"/>
        <v>0</v>
      </c>
      <c r="Q321" s="162"/>
      <c r="R321" s="19">
        <f t="shared" si="41"/>
        <v>0</v>
      </c>
      <c r="S321" s="162">
        <f t="shared" si="42"/>
        <v>0</v>
      </c>
      <c r="T321" s="20">
        <v>4</v>
      </c>
      <c r="U321" s="20"/>
      <c r="V321" s="15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8">
        <v>300096</v>
      </c>
      <c r="B322" s="154">
        <v>6502</v>
      </c>
      <c r="C322" s="232" t="s">
        <v>113</v>
      </c>
      <c r="D322" s="232" t="s">
        <v>114</v>
      </c>
      <c r="E322" s="42" t="s">
        <v>37</v>
      </c>
      <c r="F322" s="163"/>
      <c r="G322" s="162"/>
      <c r="H322" s="162"/>
      <c r="I322" s="162"/>
      <c r="J322" s="162"/>
      <c r="K322" s="162">
        <f t="shared" si="38"/>
        <v>0</v>
      </c>
      <c r="L322" s="162">
        <f t="shared" si="39"/>
        <v>0</v>
      </c>
      <c r="M322" s="162">
        <v>480.13</v>
      </c>
      <c r="N322" s="162">
        <f>+M322*1000/(126.5*4*12*60)*T322</f>
        <v>2.6357597716293371</v>
      </c>
      <c r="O322" s="162"/>
      <c r="P322" s="162">
        <f t="shared" si="40"/>
        <v>0</v>
      </c>
      <c r="Q322" s="162"/>
      <c r="R322" s="19">
        <f t="shared" si="41"/>
        <v>0</v>
      </c>
      <c r="S322" s="162">
        <f t="shared" si="42"/>
        <v>0</v>
      </c>
      <c r="T322" s="20">
        <v>2</v>
      </c>
      <c r="U322" s="20"/>
      <c r="V322" s="15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8"/>
      <c r="B323" s="154" t="s">
        <v>110</v>
      </c>
      <c r="C323" s="232" t="s">
        <v>113</v>
      </c>
      <c r="D323" s="232" t="s">
        <v>114</v>
      </c>
      <c r="E323" s="42" t="s">
        <v>35</v>
      </c>
      <c r="F323" s="163"/>
      <c r="G323" s="162"/>
      <c r="H323" s="162"/>
      <c r="I323" s="162"/>
      <c r="J323" s="162"/>
      <c r="K323" s="162">
        <f t="shared" si="38"/>
        <v>0</v>
      </c>
      <c r="L323" s="162">
        <f t="shared" si="39"/>
        <v>0</v>
      </c>
      <c r="M323" s="162">
        <v>480.13</v>
      </c>
      <c r="N323" s="162">
        <f>+M323*1000/(126.5*4*12*60)*T323</f>
        <v>2.6357597716293371</v>
      </c>
      <c r="O323" s="162"/>
      <c r="P323" s="162">
        <f t="shared" si="40"/>
        <v>0</v>
      </c>
      <c r="Q323" s="162"/>
      <c r="R323" s="19">
        <f t="shared" si="41"/>
        <v>0</v>
      </c>
      <c r="S323" s="162">
        <f t="shared" si="42"/>
        <v>0</v>
      </c>
      <c r="T323" s="20">
        <v>2</v>
      </c>
      <c r="U323" s="20"/>
      <c r="V323" s="15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8">
        <v>300097</v>
      </c>
      <c r="B324" s="154">
        <v>6502</v>
      </c>
      <c r="C324" s="232" t="s">
        <v>113</v>
      </c>
      <c r="D324" s="232" t="s">
        <v>114</v>
      </c>
      <c r="E324" s="42" t="s">
        <v>63</v>
      </c>
      <c r="F324" s="163"/>
      <c r="G324" s="162"/>
      <c r="H324" s="162"/>
      <c r="I324" s="162"/>
      <c r="J324" s="162"/>
      <c r="K324" s="162">
        <f t="shared" si="38"/>
        <v>0</v>
      </c>
      <c r="L324" s="162">
        <f t="shared" si="39"/>
        <v>0</v>
      </c>
      <c r="M324" s="162">
        <v>480.13</v>
      </c>
      <c r="N324" s="162">
        <f>+M324*1000/(126.5*4*12*60)*T324</f>
        <v>2.6357597716293371</v>
      </c>
      <c r="O324" s="162"/>
      <c r="P324" s="162">
        <f t="shared" si="40"/>
        <v>0</v>
      </c>
      <c r="Q324" s="162"/>
      <c r="R324" s="19">
        <f t="shared" si="41"/>
        <v>0</v>
      </c>
      <c r="S324" s="162">
        <f t="shared" si="42"/>
        <v>0</v>
      </c>
      <c r="T324" s="20">
        <v>2</v>
      </c>
      <c r="U324" s="20"/>
      <c r="V324" s="15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1">
        <v>300294</v>
      </c>
      <c r="B325" s="151" t="s">
        <v>110</v>
      </c>
      <c r="C325" s="219" t="s">
        <v>115</v>
      </c>
      <c r="D325" s="219"/>
      <c r="E325" s="164" t="s">
        <v>41</v>
      </c>
      <c r="F325" s="163"/>
      <c r="G325" s="162"/>
      <c r="H325" s="162"/>
      <c r="I325" s="162"/>
      <c r="J325" s="162"/>
      <c r="K325" s="162">
        <f t="shared" si="38"/>
        <v>0</v>
      </c>
      <c r="L325" s="162">
        <f t="shared" si="39"/>
        <v>0</v>
      </c>
      <c r="M325" s="162">
        <v>373.14</v>
      </c>
      <c r="N325" s="162">
        <f t="shared" ref="N325:N334" si="44">+M325*1000/(90*4*14*60)*T325</f>
        <v>3.7017857142857142</v>
      </c>
      <c r="O325" s="162"/>
      <c r="P325" s="162">
        <f t="shared" si="40"/>
        <v>0</v>
      </c>
      <c r="Q325" s="162"/>
      <c r="R325" s="19">
        <f t="shared" si="41"/>
        <v>0</v>
      </c>
      <c r="S325" s="162">
        <f t="shared" si="42"/>
        <v>0</v>
      </c>
      <c r="T325" s="20">
        <v>3</v>
      </c>
      <c r="U325" s="20"/>
      <c r="V325" s="15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1">
        <v>300295</v>
      </c>
      <c r="B326" s="151" t="s">
        <v>116</v>
      </c>
      <c r="C326" s="219" t="s">
        <v>117</v>
      </c>
      <c r="D326" s="219"/>
      <c r="E326" s="164" t="s">
        <v>118</v>
      </c>
      <c r="F326" s="163"/>
      <c r="G326" s="162"/>
      <c r="H326" s="162"/>
      <c r="I326" s="162"/>
      <c r="J326" s="162"/>
      <c r="K326" s="162">
        <f t="shared" si="38"/>
        <v>0</v>
      </c>
      <c r="L326" s="162">
        <f t="shared" si="39"/>
        <v>0</v>
      </c>
      <c r="M326" s="162">
        <v>373.14</v>
      </c>
      <c r="N326" s="162">
        <f t="shared" si="44"/>
        <v>3.7017857142857142</v>
      </c>
      <c r="O326" s="162"/>
      <c r="P326" s="162">
        <f t="shared" si="40"/>
        <v>0</v>
      </c>
      <c r="Q326" s="162"/>
      <c r="R326" s="19">
        <f t="shared" si="41"/>
        <v>0</v>
      </c>
      <c r="S326" s="162">
        <f t="shared" si="42"/>
        <v>0</v>
      </c>
      <c r="T326" s="20">
        <v>3</v>
      </c>
      <c r="U326" s="20"/>
      <c r="V326" s="15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1">
        <v>300258</v>
      </c>
      <c r="B327" s="151" t="s">
        <v>110</v>
      </c>
      <c r="C327" s="219" t="s">
        <v>115</v>
      </c>
      <c r="D327" s="219"/>
      <c r="E327" s="164" t="s">
        <v>42</v>
      </c>
      <c r="F327" s="163"/>
      <c r="G327" s="162"/>
      <c r="H327" s="162"/>
      <c r="I327" s="162"/>
      <c r="J327" s="162"/>
      <c r="K327" s="162">
        <f t="shared" si="38"/>
        <v>0</v>
      </c>
      <c r="L327" s="162">
        <f t="shared" si="39"/>
        <v>0</v>
      </c>
      <c r="M327" s="162">
        <v>373.14</v>
      </c>
      <c r="N327" s="162">
        <f t="shared" si="44"/>
        <v>3.7017857142857142</v>
      </c>
      <c r="O327" s="162"/>
      <c r="P327" s="162">
        <f t="shared" si="40"/>
        <v>0</v>
      </c>
      <c r="Q327" s="162"/>
      <c r="R327" s="19">
        <f t="shared" si="41"/>
        <v>0</v>
      </c>
      <c r="S327" s="162">
        <f t="shared" si="42"/>
        <v>0</v>
      </c>
      <c r="T327" s="20">
        <v>3</v>
      </c>
      <c r="U327" s="20"/>
      <c r="V327" s="15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1">
        <v>300256</v>
      </c>
      <c r="B328" s="151" t="s">
        <v>110</v>
      </c>
      <c r="C328" s="219" t="s">
        <v>115</v>
      </c>
      <c r="D328" s="219"/>
      <c r="E328" s="164" t="s">
        <v>74</v>
      </c>
      <c r="F328" s="163"/>
      <c r="G328" s="162"/>
      <c r="H328" s="162"/>
      <c r="I328" s="162"/>
      <c r="J328" s="162"/>
      <c r="K328" s="162">
        <f t="shared" si="38"/>
        <v>0</v>
      </c>
      <c r="L328" s="162">
        <f t="shared" si="39"/>
        <v>0</v>
      </c>
      <c r="M328" s="162">
        <v>373.14</v>
      </c>
      <c r="N328" s="162">
        <f t="shared" si="44"/>
        <v>3.7017857142857142</v>
      </c>
      <c r="O328" s="162"/>
      <c r="P328" s="162">
        <f t="shared" si="40"/>
        <v>0</v>
      </c>
      <c r="Q328" s="162"/>
      <c r="R328" s="19">
        <f t="shared" si="41"/>
        <v>0</v>
      </c>
      <c r="S328" s="162">
        <f t="shared" si="42"/>
        <v>0</v>
      </c>
      <c r="T328" s="20">
        <v>3</v>
      </c>
      <c r="U328" s="20"/>
      <c r="V328" s="15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1">
        <v>300259</v>
      </c>
      <c r="B329" s="151" t="s">
        <v>110</v>
      </c>
      <c r="C329" s="219" t="s">
        <v>115</v>
      </c>
      <c r="D329" s="219"/>
      <c r="E329" s="164" t="s">
        <v>40</v>
      </c>
      <c r="F329" s="163"/>
      <c r="G329" s="162"/>
      <c r="H329" s="162"/>
      <c r="I329" s="162"/>
      <c r="J329" s="162"/>
      <c r="K329" s="162">
        <f t="shared" si="38"/>
        <v>0</v>
      </c>
      <c r="L329" s="162">
        <f t="shared" si="39"/>
        <v>0</v>
      </c>
      <c r="M329" s="162">
        <v>373.14</v>
      </c>
      <c r="N329" s="162">
        <f t="shared" si="44"/>
        <v>3.7017857142857142</v>
      </c>
      <c r="O329" s="162"/>
      <c r="P329" s="162">
        <f t="shared" si="40"/>
        <v>0</v>
      </c>
      <c r="Q329" s="162"/>
      <c r="R329" s="19">
        <f t="shared" si="41"/>
        <v>0</v>
      </c>
      <c r="S329" s="162">
        <f t="shared" si="42"/>
        <v>0</v>
      </c>
      <c r="T329" s="20">
        <v>3</v>
      </c>
      <c r="U329" s="20"/>
      <c r="V329" s="15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1">
        <v>300345</v>
      </c>
      <c r="B330" s="151" t="s">
        <v>110</v>
      </c>
      <c r="C330" s="219" t="s">
        <v>119</v>
      </c>
      <c r="D330" s="219"/>
      <c r="E330" s="164" t="s">
        <v>74</v>
      </c>
      <c r="F330" s="163"/>
      <c r="G330" s="41"/>
      <c r="H330" s="41"/>
      <c r="I330" s="41"/>
      <c r="J330" s="41"/>
      <c r="K330" s="162">
        <f t="shared" si="38"/>
        <v>0</v>
      </c>
      <c r="L330" s="162">
        <f t="shared" si="39"/>
        <v>0</v>
      </c>
      <c r="M330" s="162">
        <v>373.14</v>
      </c>
      <c r="N330" s="162">
        <f t="shared" si="44"/>
        <v>3.7017857142857142</v>
      </c>
      <c r="O330" s="41"/>
      <c r="P330" s="162">
        <f t="shared" si="40"/>
        <v>0</v>
      </c>
      <c r="Q330" s="41"/>
      <c r="R330" s="19">
        <f t="shared" si="41"/>
        <v>0</v>
      </c>
      <c r="S330" s="162">
        <f t="shared" si="42"/>
        <v>0</v>
      </c>
      <c r="T330" s="20">
        <v>3</v>
      </c>
      <c r="U330" s="41"/>
      <c r="V330" s="15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1">
        <v>300346</v>
      </c>
      <c r="B331" s="151" t="s">
        <v>110</v>
      </c>
      <c r="C331" s="219" t="s">
        <v>119</v>
      </c>
      <c r="D331" s="219"/>
      <c r="E331" s="164" t="s">
        <v>42</v>
      </c>
      <c r="F331" s="163"/>
      <c r="G331" s="41"/>
      <c r="H331" s="41"/>
      <c r="I331" s="41"/>
      <c r="J331" s="41"/>
      <c r="K331" s="162">
        <f t="shared" si="38"/>
        <v>0</v>
      </c>
      <c r="L331" s="162">
        <f t="shared" si="39"/>
        <v>0</v>
      </c>
      <c r="M331" s="162">
        <v>373.14</v>
      </c>
      <c r="N331" s="162">
        <f t="shared" si="44"/>
        <v>3.7017857142857142</v>
      </c>
      <c r="O331" s="41"/>
      <c r="P331" s="162">
        <f t="shared" si="40"/>
        <v>0</v>
      </c>
      <c r="Q331" s="41"/>
      <c r="R331" s="19">
        <f t="shared" si="41"/>
        <v>0</v>
      </c>
      <c r="S331" s="162">
        <f t="shared" si="42"/>
        <v>0</v>
      </c>
      <c r="T331" s="20">
        <v>3</v>
      </c>
      <c r="U331" s="41"/>
      <c r="V331" s="15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1">
        <v>300347</v>
      </c>
      <c r="B332" s="151" t="s">
        <v>110</v>
      </c>
      <c r="C332" s="219" t="s">
        <v>119</v>
      </c>
      <c r="D332" s="219"/>
      <c r="E332" s="164" t="s">
        <v>41</v>
      </c>
      <c r="F332" s="163"/>
      <c r="G332" s="41"/>
      <c r="H332" s="41"/>
      <c r="I332" s="41"/>
      <c r="J332" s="41"/>
      <c r="K332" s="162">
        <f t="shared" si="38"/>
        <v>0</v>
      </c>
      <c r="L332" s="162">
        <f t="shared" si="39"/>
        <v>0</v>
      </c>
      <c r="M332" s="162">
        <v>373.14</v>
      </c>
      <c r="N332" s="162">
        <f t="shared" si="44"/>
        <v>3.7017857142857142</v>
      </c>
      <c r="O332" s="41"/>
      <c r="P332" s="162">
        <f t="shared" si="40"/>
        <v>0</v>
      </c>
      <c r="Q332" s="41"/>
      <c r="R332" s="19">
        <f t="shared" si="41"/>
        <v>0</v>
      </c>
      <c r="S332" s="162">
        <f t="shared" si="42"/>
        <v>0</v>
      </c>
      <c r="T332" s="20">
        <v>3</v>
      </c>
      <c r="U332" s="41"/>
      <c r="V332" s="15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1">
        <v>300348</v>
      </c>
      <c r="B333" s="151" t="s">
        <v>110</v>
      </c>
      <c r="C333" s="219" t="s">
        <v>119</v>
      </c>
      <c r="D333" s="219"/>
      <c r="E333" s="164" t="s">
        <v>118</v>
      </c>
      <c r="F333" s="163"/>
      <c r="G333" s="41"/>
      <c r="H333" s="41"/>
      <c r="I333" s="41"/>
      <c r="J333" s="41"/>
      <c r="K333" s="162">
        <f t="shared" si="38"/>
        <v>0</v>
      </c>
      <c r="L333" s="162">
        <f t="shared" si="39"/>
        <v>0</v>
      </c>
      <c r="M333" s="162">
        <v>373.14</v>
      </c>
      <c r="N333" s="162">
        <f t="shared" si="44"/>
        <v>3.7017857142857142</v>
      </c>
      <c r="O333" s="41"/>
      <c r="P333" s="162">
        <f t="shared" si="40"/>
        <v>0</v>
      </c>
      <c r="Q333" s="41"/>
      <c r="R333" s="19">
        <f t="shared" si="41"/>
        <v>0</v>
      </c>
      <c r="S333" s="162">
        <f t="shared" si="42"/>
        <v>0</v>
      </c>
      <c r="T333" s="20">
        <v>3</v>
      </c>
      <c r="U333" s="41"/>
      <c r="V333" s="15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1">
        <v>300349</v>
      </c>
      <c r="B334" s="151" t="s">
        <v>110</v>
      </c>
      <c r="C334" s="219" t="s">
        <v>119</v>
      </c>
      <c r="D334" s="219"/>
      <c r="E334" s="164" t="s">
        <v>40</v>
      </c>
      <c r="F334" s="163"/>
      <c r="G334" s="41"/>
      <c r="H334" s="41"/>
      <c r="I334" s="41"/>
      <c r="J334" s="41"/>
      <c r="K334" s="162">
        <f t="shared" si="38"/>
        <v>0</v>
      </c>
      <c r="L334" s="162">
        <f t="shared" si="39"/>
        <v>0</v>
      </c>
      <c r="M334" s="162">
        <v>373.14</v>
      </c>
      <c r="N334" s="162">
        <f t="shared" si="44"/>
        <v>3.7017857142857142</v>
      </c>
      <c r="O334" s="41"/>
      <c r="P334" s="162">
        <f t="shared" si="40"/>
        <v>0</v>
      </c>
      <c r="Q334" s="41"/>
      <c r="R334" s="19">
        <f t="shared" si="41"/>
        <v>0</v>
      </c>
      <c r="S334" s="162">
        <f t="shared" si="42"/>
        <v>0</v>
      </c>
      <c r="T334" s="20">
        <v>3</v>
      </c>
      <c r="U334" s="41"/>
      <c r="V334" s="15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1">
        <v>300298</v>
      </c>
      <c r="B335" s="151" t="s">
        <v>110</v>
      </c>
      <c r="C335" s="219" t="s">
        <v>120</v>
      </c>
      <c r="D335" s="219"/>
      <c r="E335" s="164" t="s">
        <v>54</v>
      </c>
      <c r="F335" s="163"/>
      <c r="G335" s="162"/>
      <c r="H335" s="162"/>
      <c r="I335" s="162"/>
      <c r="J335" s="162"/>
      <c r="K335" s="162">
        <f t="shared" si="38"/>
        <v>0</v>
      </c>
      <c r="L335" s="162">
        <f t="shared" si="39"/>
        <v>0</v>
      </c>
      <c r="M335" s="162">
        <v>380.63</v>
      </c>
      <c r="N335" s="162">
        <f t="shared" ref="N335:N340" si="45">+M335*1000/(94.7*4*15*60)*T335</f>
        <v>4.4659157573624313</v>
      </c>
      <c r="O335" s="162"/>
      <c r="P335" s="162">
        <f t="shared" si="40"/>
        <v>0</v>
      </c>
      <c r="Q335" s="162"/>
      <c r="R335" s="19">
        <f t="shared" si="41"/>
        <v>0</v>
      </c>
      <c r="S335" s="162">
        <f t="shared" si="42"/>
        <v>0</v>
      </c>
      <c r="T335" s="20">
        <v>4</v>
      </c>
      <c r="U335" s="20"/>
      <c r="V335" s="15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1">
        <v>300299</v>
      </c>
      <c r="B336" s="151" t="s">
        <v>110</v>
      </c>
      <c r="C336" s="219" t="s">
        <v>120</v>
      </c>
      <c r="D336" s="219"/>
      <c r="E336" s="164" t="s">
        <v>39</v>
      </c>
      <c r="F336" s="163"/>
      <c r="G336" s="162"/>
      <c r="H336" s="162"/>
      <c r="I336" s="162"/>
      <c r="J336" s="162"/>
      <c r="K336" s="162">
        <f t="shared" si="38"/>
        <v>0</v>
      </c>
      <c r="L336" s="162">
        <f t="shared" si="39"/>
        <v>0</v>
      </c>
      <c r="M336" s="162">
        <v>380.63</v>
      </c>
      <c r="N336" s="162">
        <f t="shared" si="45"/>
        <v>4.4659157573624313</v>
      </c>
      <c r="O336" s="162"/>
      <c r="P336" s="162">
        <f t="shared" si="40"/>
        <v>0</v>
      </c>
      <c r="Q336" s="162"/>
      <c r="R336" s="19">
        <f t="shared" si="41"/>
        <v>0</v>
      </c>
      <c r="S336" s="162">
        <f t="shared" si="42"/>
        <v>0</v>
      </c>
      <c r="T336" s="20">
        <v>4</v>
      </c>
      <c r="U336" s="20"/>
      <c r="V336" s="15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1">
        <v>300296</v>
      </c>
      <c r="B337" s="151" t="s">
        <v>110</v>
      </c>
      <c r="C337" s="219" t="s">
        <v>120</v>
      </c>
      <c r="D337" s="219"/>
      <c r="E337" s="164" t="s">
        <v>41</v>
      </c>
      <c r="F337" s="163"/>
      <c r="G337" s="162"/>
      <c r="H337" s="162"/>
      <c r="I337" s="162"/>
      <c r="J337" s="162"/>
      <c r="K337" s="162">
        <f t="shared" si="38"/>
        <v>0</v>
      </c>
      <c r="L337" s="162">
        <f t="shared" si="39"/>
        <v>0</v>
      </c>
      <c r="M337" s="162">
        <v>380.63</v>
      </c>
      <c r="N337" s="162">
        <f t="shared" si="45"/>
        <v>4.4659157573624313</v>
      </c>
      <c r="O337" s="162"/>
      <c r="P337" s="162">
        <f t="shared" si="40"/>
        <v>0</v>
      </c>
      <c r="Q337" s="162"/>
      <c r="R337" s="19">
        <f t="shared" si="41"/>
        <v>0</v>
      </c>
      <c r="S337" s="162">
        <f t="shared" si="42"/>
        <v>0</v>
      </c>
      <c r="T337" s="20">
        <v>4</v>
      </c>
      <c r="U337" s="20"/>
      <c r="V337" s="15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1">
        <v>300297</v>
      </c>
      <c r="B338" s="151" t="s">
        <v>110</v>
      </c>
      <c r="C338" s="219" t="s">
        <v>120</v>
      </c>
      <c r="D338" s="219"/>
      <c r="E338" s="164" t="s">
        <v>37</v>
      </c>
      <c r="F338" s="163"/>
      <c r="G338" s="162"/>
      <c r="H338" s="162"/>
      <c r="I338" s="162"/>
      <c r="J338" s="162"/>
      <c r="K338" s="162">
        <f t="shared" si="38"/>
        <v>0</v>
      </c>
      <c r="L338" s="162">
        <f t="shared" si="39"/>
        <v>0</v>
      </c>
      <c r="M338" s="162">
        <v>380.63</v>
      </c>
      <c r="N338" s="162">
        <f t="shared" si="45"/>
        <v>4.4659157573624313</v>
      </c>
      <c r="O338" s="162"/>
      <c r="P338" s="162">
        <f t="shared" si="40"/>
        <v>0</v>
      </c>
      <c r="Q338" s="162"/>
      <c r="R338" s="19">
        <f t="shared" si="41"/>
        <v>0</v>
      </c>
      <c r="S338" s="162">
        <f t="shared" si="42"/>
        <v>0</v>
      </c>
      <c r="T338" s="20">
        <v>4</v>
      </c>
      <c r="U338" s="20"/>
      <c r="V338" s="15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1">
        <v>300340</v>
      </c>
      <c r="B339" s="151" t="s">
        <v>110</v>
      </c>
      <c r="C339" s="230" t="s">
        <v>121</v>
      </c>
      <c r="D339" s="231"/>
      <c r="E339" s="164" t="s">
        <v>41</v>
      </c>
      <c r="F339" s="163"/>
      <c r="G339" s="162"/>
      <c r="H339" s="162"/>
      <c r="I339" s="162"/>
      <c r="J339" s="162"/>
      <c r="K339" s="162">
        <f t="shared" si="38"/>
        <v>0</v>
      </c>
      <c r="L339" s="162">
        <f t="shared" si="39"/>
        <v>0</v>
      </c>
      <c r="M339" s="162">
        <v>325.60000000000002</v>
      </c>
      <c r="N339" s="162">
        <f t="shared" si="45"/>
        <v>3.8202510852986036</v>
      </c>
      <c r="O339" s="162"/>
      <c r="P339" s="162">
        <f t="shared" si="40"/>
        <v>0</v>
      </c>
      <c r="Q339" s="162"/>
      <c r="R339" s="19">
        <f t="shared" si="41"/>
        <v>0</v>
      </c>
      <c r="S339" s="162">
        <f t="shared" si="42"/>
        <v>0</v>
      </c>
      <c r="T339" s="20">
        <v>4</v>
      </c>
      <c r="U339" s="20"/>
      <c r="V339" s="15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1">
        <v>300339</v>
      </c>
      <c r="B340" s="151" t="s">
        <v>110</v>
      </c>
      <c r="C340" s="230" t="s">
        <v>121</v>
      </c>
      <c r="D340" s="231"/>
      <c r="E340" s="164" t="s">
        <v>39</v>
      </c>
      <c r="F340" s="163"/>
      <c r="G340" s="162"/>
      <c r="H340" s="162"/>
      <c r="I340" s="162"/>
      <c r="J340" s="162"/>
      <c r="K340" s="162">
        <f t="shared" si="38"/>
        <v>0</v>
      </c>
      <c r="L340" s="162">
        <f t="shared" si="39"/>
        <v>0</v>
      </c>
      <c r="M340" s="162">
        <v>325.60000000000002</v>
      </c>
      <c r="N340" s="162">
        <f t="shared" si="45"/>
        <v>3.8202510852986036</v>
      </c>
      <c r="O340" s="162"/>
      <c r="P340" s="162">
        <f t="shared" si="40"/>
        <v>0</v>
      </c>
      <c r="Q340" s="162"/>
      <c r="R340" s="19">
        <f t="shared" si="41"/>
        <v>0</v>
      </c>
      <c r="S340" s="162">
        <f t="shared" si="42"/>
        <v>0</v>
      </c>
      <c r="T340" s="20">
        <v>4</v>
      </c>
      <c r="U340" s="20"/>
      <c r="V340" s="15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1">
        <v>300303</v>
      </c>
      <c r="B341" s="151" t="s">
        <v>110</v>
      </c>
      <c r="C341" s="219" t="s">
        <v>122</v>
      </c>
      <c r="D341" s="219" t="s">
        <v>123</v>
      </c>
      <c r="E341" s="164" t="s">
        <v>57</v>
      </c>
      <c r="F341" s="163"/>
      <c r="G341" s="162"/>
      <c r="H341" s="162"/>
      <c r="I341" s="162"/>
      <c r="J341" s="162"/>
      <c r="K341" s="162">
        <f t="shared" si="38"/>
        <v>0</v>
      </c>
      <c r="L341" s="162">
        <f t="shared" si="39"/>
        <v>0</v>
      </c>
      <c r="M341" s="162">
        <v>396.92</v>
      </c>
      <c r="N341" s="162">
        <f>+M341*1000/(113.8*4*15*60)*T341</f>
        <v>4.8442686975200155</v>
      </c>
      <c r="O341" s="162"/>
      <c r="P341" s="162">
        <f t="shared" si="40"/>
        <v>0</v>
      </c>
      <c r="Q341" s="162"/>
      <c r="R341" s="19">
        <f t="shared" si="41"/>
        <v>0</v>
      </c>
      <c r="S341" s="162">
        <f t="shared" si="42"/>
        <v>0</v>
      </c>
      <c r="T341" s="20">
        <v>5</v>
      </c>
      <c r="U341" s="20"/>
      <c r="V341" s="15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1">
        <v>300302</v>
      </c>
      <c r="B342" s="151" t="s">
        <v>110</v>
      </c>
      <c r="C342" s="219" t="s">
        <v>122</v>
      </c>
      <c r="D342" s="219" t="s">
        <v>123</v>
      </c>
      <c r="E342" s="164" t="s">
        <v>109</v>
      </c>
      <c r="F342" s="163"/>
      <c r="G342" s="162"/>
      <c r="H342" s="162"/>
      <c r="I342" s="162"/>
      <c r="J342" s="162"/>
      <c r="K342" s="162">
        <f t="shared" si="38"/>
        <v>0</v>
      </c>
      <c r="L342" s="162">
        <f t="shared" si="39"/>
        <v>0</v>
      </c>
      <c r="M342" s="162">
        <v>396.06</v>
      </c>
      <c r="N342" s="162">
        <f>+M342*1000/(113.8*4*15*60)*T342</f>
        <v>4.8337727006444053</v>
      </c>
      <c r="O342" s="162"/>
      <c r="P342" s="162">
        <f t="shared" si="40"/>
        <v>0</v>
      </c>
      <c r="Q342" s="162"/>
      <c r="R342" s="19">
        <f t="shared" si="41"/>
        <v>0</v>
      </c>
      <c r="S342" s="162">
        <f t="shared" si="42"/>
        <v>0</v>
      </c>
      <c r="T342" s="20">
        <v>5</v>
      </c>
      <c r="U342" s="20"/>
      <c r="V342" s="15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1">
        <v>300301</v>
      </c>
      <c r="B343" s="151" t="s">
        <v>110</v>
      </c>
      <c r="C343" s="219" t="s">
        <v>122</v>
      </c>
      <c r="D343" s="219" t="s">
        <v>123</v>
      </c>
      <c r="E343" s="164" t="s">
        <v>124</v>
      </c>
      <c r="F343" s="163"/>
      <c r="G343" s="162"/>
      <c r="H343" s="162"/>
      <c r="I343" s="162"/>
      <c r="J343" s="162"/>
      <c r="K343" s="162">
        <f t="shared" si="38"/>
        <v>0</v>
      </c>
      <c r="L343" s="162">
        <f t="shared" si="39"/>
        <v>0</v>
      </c>
      <c r="M343" s="162">
        <v>401.25</v>
      </c>
      <c r="N343" s="162">
        <f>+M343*1000/(113.8*4*15*60)*T343</f>
        <v>4.8971148213239601</v>
      </c>
      <c r="O343" s="162"/>
      <c r="P343" s="162">
        <f t="shared" si="40"/>
        <v>0</v>
      </c>
      <c r="Q343" s="162"/>
      <c r="R343" s="19">
        <f t="shared" si="41"/>
        <v>0</v>
      </c>
      <c r="S343" s="162">
        <f t="shared" si="42"/>
        <v>0</v>
      </c>
      <c r="T343" s="20">
        <v>5</v>
      </c>
      <c r="U343" s="20"/>
      <c r="V343" s="15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8">
        <v>300304</v>
      </c>
      <c r="B344" s="151" t="s">
        <v>110</v>
      </c>
      <c r="C344" s="219" t="s">
        <v>122</v>
      </c>
      <c r="D344" s="219"/>
      <c r="E344" s="164" t="s">
        <v>125</v>
      </c>
      <c r="F344" s="163"/>
      <c r="G344" s="162"/>
      <c r="H344" s="162"/>
      <c r="I344" s="162"/>
      <c r="J344" s="162"/>
      <c r="K344" s="162">
        <f t="shared" si="38"/>
        <v>0</v>
      </c>
      <c r="L344" s="162">
        <f t="shared" si="39"/>
        <v>0</v>
      </c>
      <c r="M344" s="162">
        <v>401.25</v>
      </c>
      <c r="N344" s="162">
        <f>+M344*1000/(113.8*4*15*60)*T344</f>
        <v>4.8971148213239601</v>
      </c>
      <c r="O344" s="162"/>
      <c r="P344" s="162">
        <f t="shared" si="40"/>
        <v>0</v>
      </c>
      <c r="Q344" s="162"/>
      <c r="R344" s="19">
        <f t="shared" si="41"/>
        <v>0</v>
      </c>
      <c r="S344" s="162">
        <f t="shared" si="42"/>
        <v>0</v>
      </c>
      <c r="T344" s="20">
        <v>5</v>
      </c>
      <c r="U344" s="20"/>
      <c r="V344" s="15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8">
        <v>300300</v>
      </c>
      <c r="B345" s="151" t="s">
        <v>110</v>
      </c>
      <c r="C345" s="219" t="s">
        <v>122</v>
      </c>
      <c r="D345" s="219" t="s">
        <v>123</v>
      </c>
      <c r="E345" s="164" t="s">
        <v>54</v>
      </c>
      <c r="F345" s="163"/>
      <c r="G345" s="162"/>
      <c r="H345" s="162"/>
      <c r="I345" s="162"/>
      <c r="J345" s="162"/>
      <c r="K345" s="162">
        <f t="shared" si="38"/>
        <v>0</v>
      </c>
      <c r="L345" s="162">
        <f t="shared" si="39"/>
        <v>0</v>
      </c>
      <c r="M345" s="162">
        <v>399.07</v>
      </c>
      <c r="N345" s="162">
        <f>+M345*1000/(113.8*4*15*60)*T345</f>
        <v>4.8705086897090411</v>
      </c>
      <c r="O345" s="162"/>
      <c r="P345" s="162">
        <f t="shared" si="40"/>
        <v>0</v>
      </c>
      <c r="Q345" s="162"/>
      <c r="R345" s="19">
        <f t="shared" si="41"/>
        <v>0</v>
      </c>
      <c r="S345" s="162">
        <f t="shared" si="42"/>
        <v>0</v>
      </c>
      <c r="T345" s="20">
        <v>5</v>
      </c>
      <c r="U345" s="20"/>
      <c r="V345" s="15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8">
        <v>300085</v>
      </c>
      <c r="B346" s="151" t="s">
        <v>110</v>
      </c>
      <c r="C346" s="219" t="s">
        <v>126</v>
      </c>
      <c r="D346" s="219" t="s">
        <v>123</v>
      </c>
      <c r="E346" s="164" t="s">
        <v>127</v>
      </c>
      <c r="F346" s="163"/>
      <c r="G346" s="162"/>
      <c r="H346" s="162"/>
      <c r="I346" s="162"/>
      <c r="J346" s="162"/>
      <c r="K346" s="162">
        <f t="shared" si="38"/>
        <v>0</v>
      </c>
      <c r="L346" s="162">
        <f t="shared" si="39"/>
        <v>0</v>
      </c>
      <c r="M346" s="162">
        <v>394.3</v>
      </c>
      <c r="N346" s="162">
        <f>+M346*1000/(104.2*4*15*60)*T346</f>
        <v>6.3067818298144598</v>
      </c>
      <c r="O346" s="162"/>
      <c r="P346" s="162">
        <f t="shared" si="40"/>
        <v>0</v>
      </c>
      <c r="Q346" s="162"/>
      <c r="R346" s="19">
        <f t="shared" si="41"/>
        <v>0</v>
      </c>
      <c r="S346" s="162">
        <f t="shared" si="42"/>
        <v>0</v>
      </c>
      <c r="T346" s="20">
        <v>6</v>
      </c>
      <c r="U346" s="20"/>
      <c r="V346" s="15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8">
        <v>300087</v>
      </c>
      <c r="B347" s="151" t="s">
        <v>110</v>
      </c>
      <c r="C347" s="219" t="s">
        <v>126</v>
      </c>
      <c r="D347" s="219" t="s">
        <v>123</v>
      </c>
      <c r="E347" s="164" t="s">
        <v>80</v>
      </c>
      <c r="F347" s="163"/>
      <c r="G347" s="162"/>
      <c r="H347" s="162"/>
      <c r="I347" s="162"/>
      <c r="J347" s="162"/>
      <c r="K347" s="162">
        <f t="shared" si="38"/>
        <v>0</v>
      </c>
      <c r="L347" s="162">
        <f t="shared" si="39"/>
        <v>0</v>
      </c>
      <c r="M347" s="162">
        <v>380.1</v>
      </c>
      <c r="N347" s="162">
        <f>+M347*1000/(104.2*4*16*60)*T347</f>
        <v>4.7497300863723604</v>
      </c>
      <c r="O347" s="162"/>
      <c r="P347" s="162">
        <f t="shared" si="40"/>
        <v>0</v>
      </c>
      <c r="Q347" s="162"/>
      <c r="R347" s="19">
        <f t="shared" si="41"/>
        <v>0</v>
      </c>
      <c r="S347" s="162">
        <f t="shared" si="42"/>
        <v>0</v>
      </c>
      <c r="T347" s="20">
        <v>5</v>
      </c>
      <c r="U347" s="20"/>
      <c r="V347" s="15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8">
        <v>300387</v>
      </c>
      <c r="B348" s="151" t="s">
        <v>128</v>
      </c>
      <c r="C348" s="230" t="s">
        <v>129</v>
      </c>
      <c r="D348" s="231"/>
      <c r="E348" s="164" t="s">
        <v>57</v>
      </c>
      <c r="F348" s="163"/>
      <c r="G348" s="162"/>
      <c r="H348" s="162"/>
      <c r="I348" s="162"/>
      <c r="J348" s="162"/>
      <c r="K348" s="162">
        <f t="shared" si="38"/>
        <v>0</v>
      </c>
      <c r="L348" s="162">
        <f t="shared" si="39"/>
        <v>0</v>
      </c>
      <c r="M348" s="162">
        <v>352.29</v>
      </c>
      <c r="N348" s="162">
        <f>+M348*1000/(104.2*4*16*60)*T348</f>
        <v>4.4022162907869484</v>
      </c>
      <c r="O348" s="162"/>
      <c r="P348" s="162">
        <f t="shared" si="40"/>
        <v>0</v>
      </c>
      <c r="Q348" s="162"/>
      <c r="R348" s="19">
        <f t="shared" si="41"/>
        <v>0</v>
      </c>
      <c r="S348" s="162">
        <f t="shared" si="42"/>
        <v>0</v>
      </c>
      <c r="T348" s="20">
        <v>5</v>
      </c>
      <c r="U348" s="20"/>
      <c r="V348" s="15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8">
        <v>300388</v>
      </c>
      <c r="B349" s="151" t="s">
        <v>130</v>
      </c>
      <c r="C349" s="230" t="s">
        <v>129</v>
      </c>
      <c r="D349" s="231"/>
      <c r="E349" s="164" t="s">
        <v>109</v>
      </c>
      <c r="F349" s="163"/>
      <c r="G349" s="162"/>
      <c r="H349" s="162"/>
      <c r="I349" s="162"/>
      <c r="J349" s="162"/>
      <c r="K349" s="162">
        <f t="shared" si="38"/>
        <v>0</v>
      </c>
      <c r="L349" s="162">
        <f t="shared" si="39"/>
        <v>0</v>
      </c>
      <c r="M349" s="162">
        <v>352.29</v>
      </c>
      <c r="N349" s="162">
        <f>+M349*1000/(104.2*4*16*60)*T349</f>
        <v>4.4022162907869484</v>
      </c>
      <c r="O349" s="162"/>
      <c r="P349" s="162">
        <f t="shared" si="40"/>
        <v>0</v>
      </c>
      <c r="Q349" s="162"/>
      <c r="R349" s="19">
        <f t="shared" si="41"/>
        <v>0</v>
      </c>
      <c r="S349" s="162">
        <f t="shared" si="42"/>
        <v>0</v>
      </c>
      <c r="T349" s="20">
        <v>5</v>
      </c>
      <c r="U349" s="20"/>
      <c r="V349" s="15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8">
        <v>300123</v>
      </c>
      <c r="B350" s="151" t="s">
        <v>110</v>
      </c>
      <c r="C350" s="219" t="s">
        <v>131</v>
      </c>
      <c r="D350" s="219" t="s">
        <v>132</v>
      </c>
      <c r="E350" s="164" t="s">
        <v>127</v>
      </c>
      <c r="F350" s="163"/>
      <c r="G350" s="162"/>
      <c r="H350" s="162"/>
      <c r="I350" s="162"/>
      <c r="J350" s="162"/>
      <c r="K350" s="162">
        <f t="shared" si="38"/>
        <v>0</v>
      </c>
      <c r="L350" s="162">
        <f t="shared" si="39"/>
        <v>0</v>
      </c>
      <c r="M350" s="162">
        <v>557</v>
      </c>
      <c r="N350" s="162">
        <f>+M350*1000/(126.5*4*15*60)*T350</f>
        <v>6.1155028546332888</v>
      </c>
      <c r="O350" s="162"/>
      <c r="P350" s="162">
        <f t="shared" si="40"/>
        <v>0</v>
      </c>
      <c r="Q350" s="162"/>
      <c r="R350" s="19">
        <f t="shared" si="41"/>
        <v>0</v>
      </c>
      <c r="S350" s="162">
        <f t="shared" si="42"/>
        <v>0</v>
      </c>
      <c r="T350" s="20">
        <v>5</v>
      </c>
      <c r="U350" s="20"/>
      <c r="V350" s="15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8">
        <v>300270</v>
      </c>
      <c r="B351" s="151" t="s">
        <v>110</v>
      </c>
      <c r="C351" s="219" t="s">
        <v>133</v>
      </c>
      <c r="D351" s="219"/>
      <c r="E351" s="164" t="s">
        <v>134</v>
      </c>
      <c r="F351" s="163"/>
      <c r="G351" s="162"/>
      <c r="H351" s="162"/>
      <c r="I351" s="162"/>
      <c r="J351" s="162"/>
      <c r="K351" s="162">
        <f t="shared" si="38"/>
        <v>0</v>
      </c>
      <c r="L351" s="162">
        <f t="shared" si="39"/>
        <v>0</v>
      </c>
      <c r="M351" s="162">
        <v>485.7</v>
      </c>
      <c r="N351" s="162">
        <f>+M351*1000/(126.5*4*15*60)*T351</f>
        <v>4.2661396574440049</v>
      </c>
      <c r="O351" s="162"/>
      <c r="P351" s="162">
        <f t="shared" si="40"/>
        <v>0</v>
      </c>
      <c r="Q351" s="162"/>
      <c r="R351" s="19">
        <f t="shared" si="41"/>
        <v>0</v>
      </c>
      <c r="S351" s="162">
        <f t="shared" si="42"/>
        <v>0</v>
      </c>
      <c r="T351" s="20">
        <v>4</v>
      </c>
      <c r="U351" s="20"/>
      <c r="V351" s="15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8">
        <v>300336</v>
      </c>
      <c r="B352" s="151" t="s">
        <v>110</v>
      </c>
      <c r="C352" s="219" t="s">
        <v>135</v>
      </c>
      <c r="D352" s="219"/>
      <c r="E352" s="164" t="s">
        <v>84</v>
      </c>
      <c r="F352" s="163"/>
      <c r="G352" s="162"/>
      <c r="H352" s="162"/>
      <c r="I352" s="162"/>
      <c r="J352" s="162"/>
      <c r="K352" s="162">
        <f t="shared" si="38"/>
        <v>0</v>
      </c>
      <c r="L352" s="162">
        <f t="shared" si="39"/>
        <v>0</v>
      </c>
      <c r="M352" s="162">
        <v>411.4</v>
      </c>
      <c r="N352" s="162">
        <f>+M352*1000/(104.2*4*16*60)*T352</f>
        <v>2.0563419705694179</v>
      </c>
      <c r="O352" s="162"/>
      <c r="P352" s="162">
        <f t="shared" si="40"/>
        <v>0</v>
      </c>
      <c r="Q352" s="162"/>
      <c r="R352" s="19">
        <f t="shared" si="41"/>
        <v>0</v>
      </c>
      <c r="S352" s="162">
        <f t="shared" si="42"/>
        <v>0</v>
      </c>
      <c r="T352" s="20">
        <v>2</v>
      </c>
      <c r="U352" s="20"/>
      <c r="V352" s="15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8">
        <v>300337</v>
      </c>
      <c r="B353" s="151" t="s">
        <v>110</v>
      </c>
      <c r="C353" s="219" t="s">
        <v>135</v>
      </c>
      <c r="D353" s="219"/>
      <c r="E353" s="164" t="s">
        <v>49</v>
      </c>
      <c r="F353" s="163"/>
      <c r="G353" s="162"/>
      <c r="H353" s="162"/>
      <c r="I353" s="162"/>
      <c r="J353" s="162"/>
      <c r="K353" s="162">
        <f t="shared" si="38"/>
        <v>0</v>
      </c>
      <c r="L353" s="162">
        <f t="shared" si="39"/>
        <v>0</v>
      </c>
      <c r="M353" s="162">
        <v>411.4</v>
      </c>
      <c r="N353" s="162">
        <f>+M353*1000/(104.2*4*16*60)*T353</f>
        <v>2.0563419705694179</v>
      </c>
      <c r="O353" s="162"/>
      <c r="P353" s="162">
        <f t="shared" si="40"/>
        <v>0</v>
      </c>
      <c r="Q353" s="162"/>
      <c r="R353" s="19">
        <f t="shared" si="41"/>
        <v>0</v>
      </c>
      <c r="S353" s="162">
        <f t="shared" si="42"/>
        <v>0</v>
      </c>
      <c r="T353" s="20">
        <v>2</v>
      </c>
      <c r="U353" s="20"/>
      <c r="V353" s="15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8">
        <v>300338</v>
      </c>
      <c r="B354" s="151" t="s">
        <v>110</v>
      </c>
      <c r="C354" s="219" t="s">
        <v>135</v>
      </c>
      <c r="D354" s="219"/>
      <c r="E354" s="164" t="s">
        <v>85</v>
      </c>
      <c r="F354" s="163"/>
      <c r="G354" s="162"/>
      <c r="H354" s="162"/>
      <c r="I354" s="162"/>
      <c r="J354" s="162"/>
      <c r="K354" s="162">
        <f t="shared" si="38"/>
        <v>0</v>
      </c>
      <c r="L354" s="162">
        <f t="shared" si="39"/>
        <v>0</v>
      </c>
      <c r="M354" s="162">
        <v>411.4</v>
      </c>
      <c r="N354" s="162">
        <f>+M354*1000/(104.2*4*16*60)*T354</f>
        <v>2.0563419705694179</v>
      </c>
      <c r="O354" s="162"/>
      <c r="P354" s="162">
        <f t="shared" si="40"/>
        <v>0</v>
      </c>
      <c r="Q354" s="162"/>
      <c r="R354" s="19">
        <f t="shared" si="41"/>
        <v>0</v>
      </c>
      <c r="S354" s="162">
        <f t="shared" si="42"/>
        <v>0</v>
      </c>
      <c r="T354" s="20">
        <v>2</v>
      </c>
      <c r="U354" s="20"/>
      <c r="V354" s="15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8">
        <v>300309</v>
      </c>
      <c r="B355" s="151">
        <v>6504</v>
      </c>
      <c r="C355" s="219" t="s">
        <v>137</v>
      </c>
      <c r="D355" s="219"/>
      <c r="E355" s="164" t="s">
        <v>47</v>
      </c>
      <c r="F355" s="163"/>
      <c r="G355" s="162"/>
      <c r="H355" s="162"/>
      <c r="I355" s="162"/>
      <c r="J355" s="162"/>
      <c r="K355" s="162">
        <f t="shared" si="38"/>
        <v>0</v>
      </c>
      <c r="L355" s="162">
        <f t="shared" si="39"/>
        <v>0</v>
      </c>
      <c r="M355" s="162">
        <v>316.88</v>
      </c>
      <c r="N355" s="162">
        <f>+M355*1000/(75.2*4*16*60)*T355</f>
        <v>6.5841090425531918</v>
      </c>
      <c r="O355" s="162"/>
      <c r="P355" s="162">
        <f t="shared" si="40"/>
        <v>0</v>
      </c>
      <c r="Q355" s="162"/>
      <c r="R355" s="19">
        <f t="shared" si="41"/>
        <v>0</v>
      </c>
      <c r="S355" s="162">
        <f t="shared" si="42"/>
        <v>0</v>
      </c>
      <c r="T355" s="20">
        <v>6</v>
      </c>
      <c r="U355" s="20"/>
      <c r="V355" s="15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8">
        <v>300310</v>
      </c>
      <c r="B356" s="151">
        <v>6504</v>
      </c>
      <c r="C356" s="219" t="s">
        <v>137</v>
      </c>
      <c r="D356" s="219"/>
      <c r="E356" s="164" t="s">
        <v>138</v>
      </c>
      <c r="F356" s="163"/>
      <c r="G356" s="162"/>
      <c r="H356" s="162"/>
      <c r="I356" s="162"/>
      <c r="J356" s="162"/>
      <c r="K356" s="162">
        <f t="shared" si="38"/>
        <v>0</v>
      </c>
      <c r="L356" s="162">
        <f t="shared" si="39"/>
        <v>0</v>
      </c>
      <c r="M356" s="162">
        <v>316.88</v>
      </c>
      <c r="N356" s="162">
        <f>+M356*1000/(75.2*4*16*60)*T356</f>
        <v>6.5841090425531918</v>
      </c>
      <c r="O356" s="162"/>
      <c r="P356" s="162">
        <f t="shared" si="40"/>
        <v>0</v>
      </c>
      <c r="Q356" s="162"/>
      <c r="R356" s="19">
        <f t="shared" si="41"/>
        <v>0</v>
      </c>
      <c r="S356" s="162">
        <f t="shared" si="42"/>
        <v>0</v>
      </c>
      <c r="T356" s="20">
        <v>6</v>
      </c>
      <c r="U356" s="20"/>
      <c r="V356" s="15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8">
        <v>300312</v>
      </c>
      <c r="B357" s="151">
        <v>6504</v>
      </c>
      <c r="C357" s="219" t="s">
        <v>137</v>
      </c>
      <c r="D357" s="219"/>
      <c r="E357" s="164" t="s">
        <v>139</v>
      </c>
      <c r="F357" s="163"/>
      <c r="G357" s="162"/>
      <c r="H357" s="162"/>
      <c r="I357" s="162"/>
      <c r="J357" s="162"/>
      <c r="K357" s="162">
        <f t="shared" si="38"/>
        <v>0</v>
      </c>
      <c r="L357" s="162">
        <f t="shared" si="39"/>
        <v>0</v>
      </c>
      <c r="M357" s="162">
        <v>316.88</v>
      </c>
      <c r="N357" s="162">
        <f>+M357*1000/(75.2*4*16*60)*T357</f>
        <v>6.5841090425531918</v>
      </c>
      <c r="O357" s="162"/>
      <c r="P357" s="162">
        <f t="shared" si="40"/>
        <v>0</v>
      </c>
      <c r="Q357" s="162"/>
      <c r="R357" s="19">
        <f t="shared" si="41"/>
        <v>0</v>
      </c>
      <c r="S357" s="162">
        <f t="shared" si="42"/>
        <v>0</v>
      </c>
      <c r="T357" s="20">
        <v>6</v>
      </c>
      <c r="U357" s="20"/>
      <c r="V357" s="15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8">
        <v>300311</v>
      </c>
      <c r="B358" s="151">
        <v>6504</v>
      </c>
      <c r="C358" s="219" t="s">
        <v>137</v>
      </c>
      <c r="D358" s="219"/>
      <c r="E358" s="164" t="s">
        <v>74</v>
      </c>
      <c r="F358" s="163"/>
      <c r="G358" s="162"/>
      <c r="H358" s="162"/>
      <c r="I358" s="162"/>
      <c r="J358" s="162"/>
      <c r="K358" s="162">
        <f t="shared" si="38"/>
        <v>0</v>
      </c>
      <c r="L358" s="162">
        <f t="shared" si="39"/>
        <v>0</v>
      </c>
      <c r="M358" s="162">
        <v>316.88</v>
      </c>
      <c r="N358" s="162">
        <f>+M358*1000/(75.2*4*16*60)*T358</f>
        <v>6.5841090425531918</v>
      </c>
      <c r="O358" s="162"/>
      <c r="P358" s="162">
        <f t="shared" si="40"/>
        <v>0</v>
      </c>
      <c r="Q358" s="162"/>
      <c r="R358" s="19">
        <f t="shared" si="41"/>
        <v>0</v>
      </c>
      <c r="S358" s="162">
        <f t="shared" si="42"/>
        <v>0</v>
      </c>
      <c r="T358" s="20">
        <v>6</v>
      </c>
      <c r="U358" s="20"/>
      <c r="V358" s="15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8">
        <v>300399</v>
      </c>
      <c r="B359" s="151">
        <v>18501</v>
      </c>
      <c r="C359" s="230" t="s">
        <v>140</v>
      </c>
      <c r="D359" s="231"/>
      <c r="E359" s="164" t="s">
        <v>41</v>
      </c>
      <c r="F359" s="163"/>
      <c r="G359" s="162"/>
      <c r="H359" s="162"/>
      <c r="I359" s="162"/>
      <c r="J359" s="162"/>
      <c r="K359" s="162">
        <f t="shared" si="38"/>
        <v>0</v>
      </c>
      <c r="L359" s="162">
        <f t="shared" si="39"/>
        <v>0</v>
      </c>
      <c r="M359" s="162">
        <v>311.2</v>
      </c>
      <c r="N359" s="162">
        <f>+M359*1000/(100*4*16*60)*T359</f>
        <v>4.8624999999999998</v>
      </c>
      <c r="O359" s="162"/>
      <c r="P359" s="162">
        <f t="shared" si="40"/>
        <v>0</v>
      </c>
      <c r="Q359" s="162"/>
      <c r="R359" s="19">
        <f t="shared" si="41"/>
        <v>0</v>
      </c>
      <c r="S359" s="162">
        <f t="shared" si="42"/>
        <v>0</v>
      </c>
      <c r="T359" s="20">
        <v>6</v>
      </c>
      <c r="U359" s="20"/>
      <c r="V359" s="15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8">
        <v>300400</v>
      </c>
      <c r="B360" s="151">
        <v>18501</v>
      </c>
      <c r="C360" s="230" t="s">
        <v>140</v>
      </c>
      <c r="D360" s="231"/>
      <c r="E360" s="164" t="s">
        <v>66</v>
      </c>
      <c r="F360" s="163"/>
      <c r="G360" s="162"/>
      <c r="H360" s="162"/>
      <c r="I360" s="162"/>
      <c r="J360" s="162"/>
      <c r="K360" s="162">
        <f t="shared" si="38"/>
        <v>0</v>
      </c>
      <c r="L360" s="162">
        <f t="shared" si="39"/>
        <v>0</v>
      </c>
      <c r="M360" s="162">
        <v>311.2</v>
      </c>
      <c r="N360" s="162">
        <f>+M360*1000/(100*4*16*60)*T360</f>
        <v>4.8624999999999998</v>
      </c>
      <c r="O360" s="162"/>
      <c r="P360" s="162">
        <f t="shared" si="40"/>
        <v>0</v>
      </c>
      <c r="Q360" s="162"/>
      <c r="R360" s="19">
        <f t="shared" si="41"/>
        <v>0</v>
      </c>
      <c r="S360" s="162">
        <f t="shared" si="42"/>
        <v>0</v>
      </c>
      <c r="T360" s="20">
        <v>6</v>
      </c>
      <c r="U360" s="20"/>
      <c r="V360" s="15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8">
        <v>300401</v>
      </c>
      <c r="B361" s="151">
        <v>18501</v>
      </c>
      <c r="C361" s="230" t="s">
        <v>140</v>
      </c>
      <c r="D361" s="231"/>
      <c r="E361" s="164" t="s">
        <v>141</v>
      </c>
      <c r="F361" s="163"/>
      <c r="G361" s="162"/>
      <c r="H361" s="162"/>
      <c r="I361" s="162"/>
      <c r="J361" s="162"/>
      <c r="K361" s="162">
        <f t="shared" si="38"/>
        <v>0</v>
      </c>
      <c r="L361" s="162">
        <f t="shared" si="39"/>
        <v>0</v>
      </c>
      <c r="M361" s="162">
        <v>311.2</v>
      </c>
      <c r="N361" s="162">
        <f>+M361*1000/(100*4*16*60)*T361</f>
        <v>4.8624999999999998</v>
      </c>
      <c r="O361" s="162"/>
      <c r="P361" s="162">
        <f t="shared" si="40"/>
        <v>0</v>
      </c>
      <c r="Q361" s="162"/>
      <c r="R361" s="19">
        <f t="shared" si="41"/>
        <v>0</v>
      </c>
      <c r="S361" s="162">
        <f t="shared" si="42"/>
        <v>0</v>
      </c>
      <c r="T361" s="20">
        <v>6</v>
      </c>
      <c r="U361" s="20"/>
      <c r="V361" s="15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8">
        <v>300402</v>
      </c>
      <c r="B362" s="151">
        <v>18501</v>
      </c>
      <c r="C362" s="230" t="s">
        <v>142</v>
      </c>
      <c r="D362" s="231"/>
      <c r="E362" s="164" t="s">
        <v>143</v>
      </c>
      <c r="F362" s="163"/>
      <c r="G362" s="162"/>
      <c r="H362" s="162"/>
      <c r="I362" s="162"/>
      <c r="J362" s="162"/>
      <c r="K362" s="162">
        <f t="shared" si="38"/>
        <v>0</v>
      </c>
      <c r="L362" s="162">
        <f t="shared" si="39"/>
        <v>0</v>
      </c>
      <c r="M362" s="162">
        <v>465.3</v>
      </c>
      <c r="N362" s="162">
        <f>+M362*1000/(137*4*16*60)*T362</f>
        <v>5.3067974452554747</v>
      </c>
      <c r="O362" s="162"/>
      <c r="P362" s="162">
        <f t="shared" si="40"/>
        <v>0</v>
      </c>
      <c r="Q362" s="162"/>
      <c r="R362" s="19">
        <f t="shared" si="41"/>
        <v>0</v>
      </c>
      <c r="S362" s="162">
        <f t="shared" si="42"/>
        <v>0</v>
      </c>
      <c r="T362" s="20">
        <v>6</v>
      </c>
      <c r="U362" s="20"/>
      <c r="V362" s="15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8">
        <v>300403</v>
      </c>
      <c r="B363" s="151">
        <v>18501</v>
      </c>
      <c r="C363" s="230" t="s">
        <v>142</v>
      </c>
      <c r="D363" s="231"/>
      <c r="E363" s="164" t="s">
        <v>144</v>
      </c>
      <c r="F363" s="163"/>
      <c r="G363" s="162"/>
      <c r="H363" s="162"/>
      <c r="I363" s="162"/>
      <c r="J363" s="162"/>
      <c r="K363" s="162">
        <f t="shared" ref="K363:K399" si="46">G363*M363</f>
        <v>0</v>
      </c>
      <c r="L363" s="162">
        <f t="shared" ref="L363:L399" si="47">I363*M363</f>
        <v>0</v>
      </c>
      <c r="M363" s="162">
        <v>465.3</v>
      </c>
      <c r="N363" s="162">
        <f>+M363*1000/(137*4*16*60)*T363</f>
        <v>5.3067974452554747</v>
      </c>
      <c r="O363" s="162"/>
      <c r="P363" s="162">
        <f t="shared" ref="P363:P399" si="48">N363*I363+O363*U363</f>
        <v>0</v>
      </c>
      <c r="Q363" s="162"/>
      <c r="R363" s="19">
        <f t="shared" ref="R363:R399" si="49">Q363*U363</f>
        <v>0</v>
      </c>
      <c r="S363" s="162">
        <f t="shared" ref="S363:S399" si="50">R363-P363</f>
        <v>0</v>
      </c>
      <c r="T363" s="20">
        <v>6</v>
      </c>
      <c r="U363" s="20"/>
      <c r="V363" s="15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8">
        <v>300404</v>
      </c>
      <c r="B364" s="151">
        <v>18501</v>
      </c>
      <c r="C364" s="230" t="s">
        <v>142</v>
      </c>
      <c r="D364" s="231"/>
      <c r="E364" s="164" t="s">
        <v>70</v>
      </c>
      <c r="F364" s="163"/>
      <c r="G364" s="162"/>
      <c r="H364" s="162"/>
      <c r="I364" s="162"/>
      <c r="J364" s="162"/>
      <c r="K364" s="162">
        <f t="shared" si="46"/>
        <v>0</v>
      </c>
      <c r="L364" s="162">
        <f t="shared" si="47"/>
        <v>0</v>
      </c>
      <c r="M364" s="162">
        <v>465.3</v>
      </c>
      <c r="N364" s="162">
        <f>+M364*1000/(137*4*16*60)*T364</f>
        <v>5.3067974452554747</v>
      </c>
      <c r="O364" s="162"/>
      <c r="P364" s="162">
        <f t="shared" si="48"/>
        <v>0</v>
      </c>
      <c r="Q364" s="162"/>
      <c r="R364" s="19">
        <f t="shared" si="49"/>
        <v>0</v>
      </c>
      <c r="S364" s="162">
        <f t="shared" si="50"/>
        <v>0</v>
      </c>
      <c r="T364" s="20">
        <v>6</v>
      </c>
      <c r="U364" s="20"/>
      <c r="V364" s="15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8">
        <v>300405</v>
      </c>
      <c r="B365" s="151">
        <v>18501</v>
      </c>
      <c r="C365" s="230" t="s">
        <v>142</v>
      </c>
      <c r="D365" s="231"/>
      <c r="E365" s="164" t="s">
        <v>35</v>
      </c>
      <c r="F365" s="163"/>
      <c r="G365" s="162"/>
      <c r="H365" s="162"/>
      <c r="I365" s="162"/>
      <c r="J365" s="162"/>
      <c r="K365" s="162">
        <f t="shared" si="46"/>
        <v>0</v>
      </c>
      <c r="L365" s="162">
        <f t="shared" si="47"/>
        <v>0</v>
      </c>
      <c r="M365" s="162">
        <v>465.3</v>
      </c>
      <c r="N365" s="162">
        <f>+M365*1000/(137*4*16*60)*T365</f>
        <v>5.3067974452554747</v>
      </c>
      <c r="O365" s="162"/>
      <c r="P365" s="162">
        <f t="shared" si="48"/>
        <v>0</v>
      </c>
      <c r="Q365" s="162"/>
      <c r="R365" s="19">
        <f t="shared" si="49"/>
        <v>0</v>
      </c>
      <c r="S365" s="162">
        <f t="shared" si="50"/>
        <v>0</v>
      </c>
      <c r="T365" s="20">
        <v>6</v>
      </c>
      <c r="U365" s="20"/>
      <c r="V365" s="15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8">
        <v>300372</v>
      </c>
      <c r="B366" s="151">
        <v>18501</v>
      </c>
      <c r="C366" s="230" t="s">
        <v>145</v>
      </c>
      <c r="D366" s="231"/>
      <c r="E366" s="164" t="s">
        <v>47</v>
      </c>
      <c r="F366" s="163"/>
      <c r="G366" s="162"/>
      <c r="H366" s="162"/>
      <c r="I366" s="162"/>
      <c r="J366" s="162"/>
      <c r="K366" s="162">
        <f t="shared" si="46"/>
        <v>0</v>
      </c>
      <c r="L366" s="162">
        <f t="shared" si="47"/>
        <v>0</v>
      </c>
      <c r="M366" s="162">
        <v>420.58</v>
      </c>
      <c r="N366" s="162">
        <f>+M366*1000/(140*4*16*60)*T366</f>
        <v>4.6939732142857142</v>
      </c>
      <c r="O366" s="162"/>
      <c r="P366" s="162">
        <f t="shared" si="48"/>
        <v>0</v>
      </c>
      <c r="Q366" s="162"/>
      <c r="R366" s="19">
        <f t="shared" si="49"/>
        <v>0</v>
      </c>
      <c r="S366" s="162">
        <f t="shared" si="50"/>
        <v>0</v>
      </c>
      <c r="T366" s="20">
        <v>6</v>
      </c>
      <c r="U366" s="20"/>
      <c r="V366" s="15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8">
        <v>300373</v>
      </c>
      <c r="B367" s="151">
        <v>18501</v>
      </c>
      <c r="C367" s="230" t="s">
        <v>145</v>
      </c>
      <c r="D367" s="231"/>
      <c r="E367" s="164" t="s">
        <v>138</v>
      </c>
      <c r="F367" s="163"/>
      <c r="G367" s="162"/>
      <c r="H367" s="162"/>
      <c r="I367" s="162"/>
      <c r="J367" s="162"/>
      <c r="K367" s="162">
        <f t="shared" si="46"/>
        <v>0</v>
      </c>
      <c r="L367" s="162">
        <f t="shared" si="47"/>
        <v>0</v>
      </c>
      <c r="M367" s="162">
        <v>420.58</v>
      </c>
      <c r="N367" s="162">
        <f>+M367*1000/(140*4*16*60)*T367</f>
        <v>4.6939732142857142</v>
      </c>
      <c r="O367" s="162"/>
      <c r="P367" s="162">
        <f t="shared" si="48"/>
        <v>0</v>
      </c>
      <c r="Q367" s="162"/>
      <c r="R367" s="19">
        <f t="shared" si="49"/>
        <v>0</v>
      </c>
      <c r="S367" s="162">
        <f t="shared" si="50"/>
        <v>0</v>
      </c>
      <c r="T367" s="20">
        <v>6</v>
      </c>
      <c r="U367" s="20"/>
      <c r="V367" s="15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8">
        <v>300374</v>
      </c>
      <c r="B368" s="151">
        <v>18501</v>
      </c>
      <c r="C368" s="230" t="s">
        <v>145</v>
      </c>
      <c r="D368" s="231"/>
      <c r="E368" s="164" t="s">
        <v>139</v>
      </c>
      <c r="F368" s="163"/>
      <c r="G368" s="162"/>
      <c r="H368" s="162"/>
      <c r="I368" s="162"/>
      <c r="J368" s="162"/>
      <c r="K368" s="162">
        <f t="shared" si="46"/>
        <v>0</v>
      </c>
      <c r="L368" s="162">
        <f t="shared" si="47"/>
        <v>0</v>
      </c>
      <c r="M368" s="162">
        <v>420.58</v>
      </c>
      <c r="N368" s="162">
        <f>+M368*1000/(140*4*16*60)*T368</f>
        <v>4.6939732142857142</v>
      </c>
      <c r="O368" s="162"/>
      <c r="P368" s="162">
        <f t="shared" si="48"/>
        <v>0</v>
      </c>
      <c r="Q368" s="162"/>
      <c r="R368" s="19">
        <f t="shared" si="49"/>
        <v>0</v>
      </c>
      <c r="S368" s="162">
        <f t="shared" si="50"/>
        <v>0</v>
      </c>
      <c r="T368" s="20">
        <v>6</v>
      </c>
      <c r="U368" s="20"/>
      <c r="V368" s="15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8">
        <v>300375</v>
      </c>
      <c r="B369" s="151">
        <v>18501</v>
      </c>
      <c r="C369" s="230" t="s">
        <v>145</v>
      </c>
      <c r="D369" s="231"/>
      <c r="E369" s="164" t="s">
        <v>74</v>
      </c>
      <c r="F369" s="163"/>
      <c r="G369" s="162"/>
      <c r="H369" s="162"/>
      <c r="I369" s="162"/>
      <c r="J369" s="162"/>
      <c r="K369" s="162">
        <f t="shared" si="46"/>
        <v>0</v>
      </c>
      <c r="L369" s="162">
        <f t="shared" si="47"/>
        <v>0</v>
      </c>
      <c r="M369" s="162">
        <v>420.58</v>
      </c>
      <c r="N369" s="162">
        <f>+M369*1000/(140*4*16*60)*T369</f>
        <v>4.6939732142857142</v>
      </c>
      <c r="O369" s="162"/>
      <c r="P369" s="162">
        <f t="shared" si="48"/>
        <v>0</v>
      </c>
      <c r="Q369" s="162"/>
      <c r="R369" s="19">
        <f t="shared" si="49"/>
        <v>0</v>
      </c>
      <c r="S369" s="162">
        <f t="shared" si="50"/>
        <v>0</v>
      </c>
      <c r="T369" s="20">
        <v>6</v>
      </c>
      <c r="U369" s="20"/>
      <c r="V369" s="15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8">
        <v>300341</v>
      </c>
      <c r="B370" s="151">
        <v>18501</v>
      </c>
      <c r="C370" s="237" t="s">
        <v>146</v>
      </c>
      <c r="D370" s="238"/>
      <c r="E370" s="164" t="s">
        <v>39</v>
      </c>
      <c r="F370" s="163"/>
      <c r="G370" s="162"/>
      <c r="H370" s="162"/>
      <c r="I370" s="162"/>
      <c r="J370" s="162"/>
      <c r="K370" s="162">
        <f t="shared" si="46"/>
        <v>0</v>
      </c>
      <c r="L370" s="162">
        <f t="shared" si="47"/>
        <v>0</v>
      </c>
      <c r="M370" s="162">
        <v>439.3</v>
      </c>
      <c r="N370" s="162">
        <f>+M370*1000/(169.7*4*13*60)*T370</f>
        <v>4.1485351223123761</v>
      </c>
      <c r="O370" s="162"/>
      <c r="P370" s="162">
        <f t="shared" si="48"/>
        <v>0</v>
      </c>
      <c r="Q370" s="162"/>
      <c r="R370" s="19">
        <f t="shared" si="49"/>
        <v>0</v>
      </c>
      <c r="S370" s="162">
        <f t="shared" si="50"/>
        <v>0</v>
      </c>
      <c r="T370" s="20">
        <v>5</v>
      </c>
      <c r="U370" s="20"/>
      <c r="V370" s="15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8">
        <v>300342</v>
      </c>
      <c r="B371" s="151">
        <v>18501</v>
      </c>
      <c r="C371" s="237" t="s">
        <v>146</v>
      </c>
      <c r="D371" s="238"/>
      <c r="E371" s="164" t="s">
        <v>80</v>
      </c>
      <c r="F371" s="163"/>
      <c r="G371" s="162"/>
      <c r="H371" s="162"/>
      <c r="I371" s="162"/>
      <c r="J371" s="162"/>
      <c r="K371" s="162">
        <f t="shared" si="46"/>
        <v>0</v>
      </c>
      <c r="L371" s="162">
        <f t="shared" si="47"/>
        <v>0</v>
      </c>
      <c r="M371" s="162">
        <v>439.3</v>
      </c>
      <c r="N371" s="162">
        <f t="shared" ref="N371:N376" si="51">+M371*1000/(169.7*4*13*60)*T371</f>
        <v>4.1485351223123761</v>
      </c>
      <c r="O371" s="162"/>
      <c r="P371" s="162">
        <f t="shared" si="48"/>
        <v>0</v>
      </c>
      <c r="Q371" s="162"/>
      <c r="R371" s="19">
        <f t="shared" si="49"/>
        <v>0</v>
      </c>
      <c r="S371" s="162">
        <f t="shared" si="50"/>
        <v>0</v>
      </c>
      <c r="T371" s="20">
        <v>5</v>
      </c>
      <c r="U371" s="20"/>
      <c r="V371" s="15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8">
        <v>300343</v>
      </c>
      <c r="B372" s="151">
        <v>18501</v>
      </c>
      <c r="C372" s="237" t="s">
        <v>146</v>
      </c>
      <c r="D372" s="238"/>
      <c r="E372" s="164" t="s">
        <v>35</v>
      </c>
      <c r="F372" s="163"/>
      <c r="G372" s="162"/>
      <c r="H372" s="162"/>
      <c r="I372" s="162"/>
      <c r="J372" s="162"/>
      <c r="K372" s="162">
        <f t="shared" si="46"/>
        <v>0</v>
      </c>
      <c r="L372" s="162">
        <f t="shared" si="47"/>
        <v>0</v>
      </c>
      <c r="M372" s="162">
        <v>455.4</v>
      </c>
      <c r="N372" s="162">
        <f t="shared" si="51"/>
        <v>4.3005756765332483</v>
      </c>
      <c r="O372" s="162"/>
      <c r="P372" s="162">
        <f t="shared" si="48"/>
        <v>0</v>
      </c>
      <c r="Q372" s="162"/>
      <c r="R372" s="19">
        <f t="shared" si="49"/>
        <v>0</v>
      </c>
      <c r="S372" s="162">
        <f t="shared" si="50"/>
        <v>0</v>
      </c>
      <c r="T372" s="20">
        <v>5</v>
      </c>
      <c r="U372" s="20"/>
      <c r="V372" s="15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8">
        <v>300344</v>
      </c>
      <c r="B373" s="151">
        <v>18501</v>
      </c>
      <c r="C373" s="237" t="s">
        <v>146</v>
      </c>
      <c r="D373" s="238"/>
      <c r="E373" s="164" t="s">
        <v>40</v>
      </c>
      <c r="F373" s="163"/>
      <c r="G373" s="162"/>
      <c r="H373" s="162"/>
      <c r="I373" s="162"/>
      <c r="J373" s="162"/>
      <c r="K373" s="162">
        <f t="shared" si="46"/>
        <v>0</v>
      </c>
      <c r="L373" s="162">
        <f t="shared" si="47"/>
        <v>0</v>
      </c>
      <c r="M373" s="162">
        <v>455.4</v>
      </c>
      <c r="N373" s="162">
        <f t="shared" si="51"/>
        <v>4.3005756765332483</v>
      </c>
      <c r="O373" s="162"/>
      <c r="P373" s="162">
        <f t="shared" si="48"/>
        <v>0</v>
      </c>
      <c r="Q373" s="162"/>
      <c r="R373" s="19">
        <f t="shared" si="49"/>
        <v>0</v>
      </c>
      <c r="S373" s="162">
        <f t="shared" si="50"/>
        <v>0</v>
      </c>
      <c r="T373" s="20">
        <v>5</v>
      </c>
      <c r="U373" s="20"/>
      <c r="V373" s="15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8">
        <v>300396</v>
      </c>
      <c r="B374" s="151">
        <v>18501</v>
      </c>
      <c r="C374" s="237" t="s">
        <v>147</v>
      </c>
      <c r="D374" s="238"/>
      <c r="E374" s="164" t="s">
        <v>41</v>
      </c>
      <c r="F374" s="163"/>
      <c r="G374" s="162"/>
      <c r="H374" s="162"/>
      <c r="I374" s="162"/>
      <c r="J374" s="162"/>
      <c r="K374" s="162">
        <f t="shared" si="46"/>
        <v>0</v>
      </c>
      <c r="L374" s="162">
        <f t="shared" si="47"/>
        <v>0</v>
      </c>
      <c r="M374" s="162">
        <v>417.1</v>
      </c>
      <c r="N374" s="162">
        <f t="shared" si="51"/>
        <v>3.9388891407158937</v>
      </c>
      <c r="O374" s="162"/>
      <c r="P374" s="162">
        <f t="shared" si="48"/>
        <v>0</v>
      </c>
      <c r="Q374" s="162"/>
      <c r="R374" s="19">
        <f t="shared" si="49"/>
        <v>0</v>
      </c>
      <c r="S374" s="162">
        <f t="shared" si="50"/>
        <v>0</v>
      </c>
      <c r="T374" s="20">
        <v>5</v>
      </c>
      <c r="U374" s="20"/>
      <c r="V374" s="15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8">
        <v>300397</v>
      </c>
      <c r="B375" s="151">
        <v>18501</v>
      </c>
      <c r="C375" s="237" t="s">
        <v>147</v>
      </c>
      <c r="D375" s="238"/>
      <c r="E375" s="164" t="s">
        <v>66</v>
      </c>
      <c r="F375" s="163"/>
      <c r="G375" s="162"/>
      <c r="H375" s="162"/>
      <c r="I375" s="162"/>
      <c r="J375" s="162"/>
      <c r="K375" s="162">
        <f t="shared" si="46"/>
        <v>0</v>
      </c>
      <c r="L375" s="162">
        <f t="shared" si="47"/>
        <v>0</v>
      </c>
      <c r="M375" s="162">
        <v>417.1</v>
      </c>
      <c r="N375" s="162">
        <f t="shared" si="51"/>
        <v>3.9388891407158937</v>
      </c>
      <c r="O375" s="162"/>
      <c r="P375" s="162">
        <f t="shared" si="48"/>
        <v>0</v>
      </c>
      <c r="Q375" s="162"/>
      <c r="R375" s="19">
        <f t="shared" si="49"/>
        <v>0</v>
      </c>
      <c r="S375" s="162">
        <f t="shared" si="50"/>
        <v>0</v>
      </c>
      <c r="T375" s="20">
        <v>5</v>
      </c>
      <c r="U375" s="20"/>
      <c r="V375" s="15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8">
        <v>300398</v>
      </c>
      <c r="B376" s="151">
        <v>18501</v>
      </c>
      <c r="C376" s="237" t="s">
        <v>147</v>
      </c>
      <c r="D376" s="238"/>
      <c r="E376" s="164" t="s">
        <v>141</v>
      </c>
      <c r="F376" s="163"/>
      <c r="G376" s="162"/>
      <c r="H376" s="162"/>
      <c r="I376" s="162"/>
      <c r="J376" s="162"/>
      <c r="K376" s="162">
        <f t="shared" si="46"/>
        <v>0</v>
      </c>
      <c r="L376" s="162">
        <f t="shared" si="47"/>
        <v>0</v>
      </c>
      <c r="M376" s="162">
        <v>417.1</v>
      </c>
      <c r="N376" s="162">
        <f t="shared" si="51"/>
        <v>3.9388891407158937</v>
      </c>
      <c r="O376" s="162"/>
      <c r="P376" s="162">
        <f t="shared" si="48"/>
        <v>0</v>
      </c>
      <c r="Q376" s="162"/>
      <c r="R376" s="19">
        <f t="shared" si="49"/>
        <v>0</v>
      </c>
      <c r="S376" s="162">
        <f t="shared" si="50"/>
        <v>0</v>
      </c>
      <c r="T376" s="20">
        <v>5</v>
      </c>
      <c r="U376" s="20"/>
      <c r="V376" s="15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8">
        <v>300271</v>
      </c>
      <c r="B377" s="151">
        <v>18501</v>
      </c>
      <c r="C377" s="219" t="s">
        <v>148</v>
      </c>
      <c r="D377" s="219"/>
      <c r="E377" s="164" t="s">
        <v>134</v>
      </c>
      <c r="F377" s="163"/>
      <c r="G377" s="162"/>
      <c r="H377" s="162"/>
      <c r="I377" s="162"/>
      <c r="J377" s="162"/>
      <c r="K377" s="162">
        <f t="shared" si="46"/>
        <v>0</v>
      </c>
      <c r="L377" s="162">
        <f t="shared" si="47"/>
        <v>0</v>
      </c>
      <c r="M377" s="162">
        <v>580.1</v>
      </c>
      <c r="N377" s="162">
        <f>+M377*1000/(188*4*13*60)*T377</f>
        <v>4.9449331696672125</v>
      </c>
      <c r="O377" s="162"/>
      <c r="P377" s="162">
        <f t="shared" si="48"/>
        <v>0</v>
      </c>
      <c r="Q377" s="162"/>
      <c r="R377" s="19">
        <f t="shared" si="49"/>
        <v>0</v>
      </c>
      <c r="S377" s="162">
        <f t="shared" si="50"/>
        <v>0</v>
      </c>
      <c r="T377" s="20">
        <v>5</v>
      </c>
      <c r="U377" s="20"/>
      <c r="V377" s="15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8">
        <v>300009</v>
      </c>
      <c r="B378" s="151">
        <v>18501</v>
      </c>
      <c r="C378" s="219" t="s">
        <v>149</v>
      </c>
      <c r="D378" s="219" t="s">
        <v>150</v>
      </c>
      <c r="E378" s="164" t="s">
        <v>127</v>
      </c>
      <c r="F378" s="163"/>
      <c r="G378" s="162"/>
      <c r="H378" s="162"/>
      <c r="I378" s="162"/>
      <c r="J378" s="162"/>
      <c r="K378" s="162">
        <f t="shared" si="46"/>
        <v>0</v>
      </c>
      <c r="L378" s="162">
        <f t="shared" si="47"/>
        <v>0</v>
      </c>
      <c r="M378" s="15">
        <v>520.79999999999995</v>
      </c>
      <c r="N378" s="162">
        <f>+M378*1000/(188*4*13*60)*T378</f>
        <v>4.4394435351882153</v>
      </c>
      <c r="O378" s="162"/>
      <c r="P378" s="162">
        <f t="shared" si="48"/>
        <v>0</v>
      </c>
      <c r="Q378" s="162"/>
      <c r="R378" s="19">
        <f t="shared" si="49"/>
        <v>0</v>
      </c>
      <c r="S378" s="162">
        <f t="shared" si="50"/>
        <v>0</v>
      </c>
      <c r="T378" s="20">
        <v>5</v>
      </c>
      <c r="U378" s="20"/>
      <c r="V378" s="15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8">
        <v>300010</v>
      </c>
      <c r="B379" s="151">
        <v>18501</v>
      </c>
      <c r="C379" s="219" t="s">
        <v>149</v>
      </c>
      <c r="D379" s="219" t="s">
        <v>150</v>
      </c>
      <c r="E379" s="164" t="s">
        <v>80</v>
      </c>
      <c r="F379" s="163"/>
      <c r="G379" s="162"/>
      <c r="H379" s="162"/>
      <c r="I379" s="162"/>
      <c r="J379" s="115"/>
      <c r="K379" s="162">
        <f t="shared" si="46"/>
        <v>0</v>
      </c>
      <c r="L379" s="162">
        <f t="shared" si="47"/>
        <v>0</v>
      </c>
      <c r="M379" s="15">
        <v>530.9</v>
      </c>
      <c r="N379" s="162">
        <f>+M379*1000/(188*4*13*60)*T379</f>
        <v>4.5255387343153304</v>
      </c>
      <c r="O379" s="162"/>
      <c r="P379" s="162">
        <f t="shared" si="48"/>
        <v>0</v>
      </c>
      <c r="Q379" s="162"/>
      <c r="R379" s="19">
        <f t="shared" si="49"/>
        <v>0</v>
      </c>
      <c r="S379" s="162">
        <f t="shared" si="50"/>
        <v>0</v>
      </c>
      <c r="T379" s="20">
        <v>5</v>
      </c>
      <c r="U379" s="20"/>
      <c r="V379" s="15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8">
        <v>300305</v>
      </c>
      <c r="B380" s="151">
        <v>18501</v>
      </c>
      <c r="C380" s="219" t="s">
        <v>151</v>
      </c>
      <c r="D380" s="219" t="s">
        <v>152</v>
      </c>
      <c r="E380" s="164" t="s">
        <v>57</v>
      </c>
      <c r="F380" s="163"/>
      <c r="G380" s="162"/>
      <c r="H380" s="162"/>
      <c r="I380" s="162"/>
      <c r="J380" s="115"/>
      <c r="K380" s="162">
        <f t="shared" si="46"/>
        <v>0</v>
      </c>
      <c r="L380" s="162">
        <f t="shared" si="47"/>
        <v>0</v>
      </c>
      <c r="M380" s="162">
        <v>530.20000000000005</v>
      </c>
      <c r="N380" s="162">
        <f t="shared" ref="N380:N385" si="52">+M380*1000/(202*4*13*60)*T380</f>
        <v>4.2063340949479562</v>
      </c>
      <c r="O380" s="162"/>
      <c r="P380" s="162">
        <f t="shared" si="48"/>
        <v>0</v>
      </c>
      <c r="Q380" s="162"/>
      <c r="R380" s="19">
        <f t="shared" si="49"/>
        <v>0</v>
      </c>
      <c r="S380" s="162">
        <f t="shared" si="50"/>
        <v>0</v>
      </c>
      <c r="T380" s="20">
        <v>5</v>
      </c>
      <c r="U380" s="20"/>
      <c r="V380" s="15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8">
        <v>300306</v>
      </c>
      <c r="B381" s="151">
        <v>18501</v>
      </c>
      <c r="C381" s="219" t="s">
        <v>151</v>
      </c>
      <c r="D381" s="219" t="s">
        <v>152</v>
      </c>
      <c r="E381" s="164" t="s">
        <v>109</v>
      </c>
      <c r="F381" s="163"/>
      <c r="G381" s="162"/>
      <c r="H381" s="162"/>
      <c r="I381" s="162"/>
      <c r="J381" s="162"/>
      <c r="K381" s="162">
        <f t="shared" si="46"/>
        <v>0</v>
      </c>
      <c r="L381" s="162">
        <f t="shared" si="47"/>
        <v>0</v>
      </c>
      <c r="M381" s="162">
        <v>538.79999999999995</v>
      </c>
      <c r="N381" s="162">
        <f t="shared" si="52"/>
        <v>4.2745620715917747</v>
      </c>
      <c r="O381" s="162"/>
      <c r="P381" s="162">
        <f t="shared" si="48"/>
        <v>0</v>
      </c>
      <c r="Q381" s="162"/>
      <c r="R381" s="19">
        <f t="shared" si="49"/>
        <v>0</v>
      </c>
      <c r="S381" s="162">
        <f t="shared" si="50"/>
        <v>0</v>
      </c>
      <c r="T381" s="20">
        <v>5</v>
      </c>
      <c r="U381" s="20"/>
      <c r="V381" s="15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8">
        <v>300307</v>
      </c>
      <c r="B382" s="151">
        <v>18501</v>
      </c>
      <c r="C382" s="219" t="s">
        <v>151</v>
      </c>
      <c r="D382" s="219" t="s">
        <v>152</v>
      </c>
      <c r="E382" s="164" t="s">
        <v>125</v>
      </c>
      <c r="F382" s="163"/>
      <c r="G382" s="162"/>
      <c r="H382" s="162"/>
      <c r="I382" s="162"/>
      <c r="J382" s="162"/>
      <c r="K382" s="162">
        <f t="shared" si="46"/>
        <v>0</v>
      </c>
      <c r="L382" s="162">
        <f t="shared" si="47"/>
        <v>0</v>
      </c>
      <c r="M382" s="162">
        <v>569</v>
      </c>
      <c r="N382" s="162">
        <f t="shared" si="52"/>
        <v>4.5141533384107637</v>
      </c>
      <c r="O382" s="162"/>
      <c r="P382" s="162">
        <f t="shared" si="48"/>
        <v>0</v>
      </c>
      <c r="Q382" s="162"/>
      <c r="R382" s="19">
        <f t="shared" si="49"/>
        <v>0</v>
      </c>
      <c r="S382" s="162">
        <f t="shared" si="50"/>
        <v>0</v>
      </c>
      <c r="T382" s="20">
        <v>5</v>
      </c>
      <c r="U382" s="20"/>
      <c r="V382" s="15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8">
        <v>300308</v>
      </c>
      <c r="B383" s="151">
        <v>18501</v>
      </c>
      <c r="C383" s="219" t="s">
        <v>151</v>
      </c>
      <c r="D383" s="219" t="s">
        <v>152</v>
      </c>
      <c r="E383" s="164" t="s">
        <v>124</v>
      </c>
      <c r="F383" s="163"/>
      <c r="G383" s="162"/>
      <c r="H383" s="162"/>
      <c r="I383" s="162"/>
      <c r="J383" s="162"/>
      <c r="K383" s="162">
        <f t="shared" si="46"/>
        <v>0</v>
      </c>
      <c r="L383" s="162">
        <f t="shared" si="47"/>
        <v>0</v>
      </c>
      <c r="M383" s="162">
        <v>523.6</v>
      </c>
      <c r="N383" s="162">
        <f t="shared" si="52"/>
        <v>4.1539730896166542</v>
      </c>
      <c r="O383" s="162"/>
      <c r="P383" s="162">
        <f t="shared" si="48"/>
        <v>0</v>
      </c>
      <c r="Q383" s="162"/>
      <c r="R383" s="19">
        <f t="shared" si="49"/>
        <v>0</v>
      </c>
      <c r="S383" s="162">
        <f t="shared" si="50"/>
        <v>0</v>
      </c>
      <c r="T383" s="20">
        <v>5</v>
      </c>
      <c r="U383" s="20"/>
      <c r="V383" s="15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8">
        <v>300182</v>
      </c>
      <c r="B384" s="151">
        <v>18501</v>
      </c>
      <c r="C384" s="219" t="s">
        <v>153</v>
      </c>
      <c r="D384" s="219" t="s">
        <v>152</v>
      </c>
      <c r="E384" s="164" t="s">
        <v>80</v>
      </c>
      <c r="F384" s="163"/>
      <c r="G384" s="162"/>
      <c r="H384" s="162"/>
      <c r="I384" s="162"/>
      <c r="J384" s="162"/>
      <c r="K384" s="162">
        <f t="shared" si="46"/>
        <v>0</v>
      </c>
      <c r="L384" s="162">
        <f t="shared" si="47"/>
        <v>0</v>
      </c>
      <c r="M384" s="162">
        <v>649.1</v>
      </c>
      <c r="N384" s="162">
        <f t="shared" si="52"/>
        <v>5.1496255394770252</v>
      </c>
      <c r="O384" s="162"/>
      <c r="P384" s="162">
        <f t="shared" si="48"/>
        <v>0</v>
      </c>
      <c r="Q384" s="162"/>
      <c r="R384" s="19">
        <f t="shared" si="49"/>
        <v>0</v>
      </c>
      <c r="S384" s="162">
        <f t="shared" si="50"/>
        <v>0</v>
      </c>
      <c r="T384" s="20">
        <v>5</v>
      </c>
      <c r="U384" s="20"/>
      <c r="V384" s="15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8">
        <v>300185</v>
      </c>
      <c r="B385" s="151">
        <v>18501</v>
      </c>
      <c r="C385" s="219" t="s">
        <v>153</v>
      </c>
      <c r="D385" s="219" t="s">
        <v>152</v>
      </c>
      <c r="E385" s="164" t="s">
        <v>127</v>
      </c>
      <c r="F385" s="163"/>
      <c r="G385" s="162"/>
      <c r="H385" s="162"/>
      <c r="I385" s="162"/>
      <c r="J385" s="162"/>
      <c r="K385" s="162">
        <f t="shared" si="46"/>
        <v>0</v>
      </c>
      <c r="L385" s="162">
        <f t="shared" si="47"/>
        <v>0</v>
      </c>
      <c r="M385" s="162">
        <v>638</v>
      </c>
      <c r="N385" s="162">
        <f t="shared" si="52"/>
        <v>6.0738766184310737</v>
      </c>
      <c r="O385" s="162"/>
      <c r="P385" s="162">
        <f t="shared" si="48"/>
        <v>0</v>
      </c>
      <c r="Q385" s="162"/>
      <c r="R385" s="19">
        <f t="shared" si="49"/>
        <v>0</v>
      </c>
      <c r="S385" s="162">
        <f t="shared" si="50"/>
        <v>0</v>
      </c>
      <c r="T385" s="20">
        <v>6</v>
      </c>
      <c r="U385" s="20"/>
      <c r="V385" s="15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8">
        <v>300272</v>
      </c>
      <c r="B386" s="151">
        <v>18502</v>
      </c>
      <c r="C386" s="219" t="s">
        <v>154</v>
      </c>
      <c r="D386" s="219"/>
      <c r="E386" s="164" t="s">
        <v>42</v>
      </c>
      <c r="F386" s="163"/>
      <c r="G386" s="162"/>
      <c r="H386" s="162"/>
      <c r="I386" s="162"/>
      <c r="J386" s="162"/>
      <c r="K386" s="162">
        <f t="shared" si="46"/>
        <v>0</v>
      </c>
      <c r="L386" s="162">
        <f t="shared" si="47"/>
        <v>0</v>
      </c>
      <c r="M386" s="162">
        <v>523.9</v>
      </c>
      <c r="N386" s="162">
        <f>+M386*1000/(128*4*13*60)*T386</f>
        <v>5.247395833333333</v>
      </c>
      <c r="O386" s="162"/>
      <c r="P386" s="162">
        <f t="shared" si="48"/>
        <v>0</v>
      </c>
      <c r="Q386" s="162"/>
      <c r="R386" s="19">
        <f t="shared" si="49"/>
        <v>0</v>
      </c>
      <c r="S386" s="162">
        <f t="shared" si="50"/>
        <v>0</v>
      </c>
      <c r="T386" s="20">
        <v>4</v>
      </c>
      <c r="U386" s="20"/>
      <c r="V386" s="15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8">
        <v>300273</v>
      </c>
      <c r="B387" s="151">
        <v>18502</v>
      </c>
      <c r="C387" s="219" t="s">
        <v>154</v>
      </c>
      <c r="D387" s="219"/>
      <c r="E387" s="164" t="s">
        <v>155</v>
      </c>
      <c r="F387" s="163"/>
      <c r="G387" s="162"/>
      <c r="H387" s="162"/>
      <c r="I387" s="162"/>
      <c r="J387" s="162"/>
      <c r="K387" s="162">
        <f t="shared" si="46"/>
        <v>0</v>
      </c>
      <c r="L387" s="162">
        <f t="shared" si="47"/>
        <v>0</v>
      </c>
      <c r="M387" s="162">
        <v>523.9</v>
      </c>
      <c r="N387" s="162">
        <f>+M387*1000/(128*4*13*60)*T387</f>
        <v>6.5592447916666661</v>
      </c>
      <c r="O387" s="162"/>
      <c r="P387" s="162">
        <f t="shared" si="48"/>
        <v>0</v>
      </c>
      <c r="Q387" s="162"/>
      <c r="R387" s="19">
        <f t="shared" si="49"/>
        <v>0</v>
      </c>
      <c r="S387" s="162">
        <f t="shared" si="50"/>
        <v>0</v>
      </c>
      <c r="T387" s="20">
        <v>5</v>
      </c>
      <c r="U387" s="20"/>
      <c r="V387" s="15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8">
        <v>300274</v>
      </c>
      <c r="B388" s="151">
        <v>18502</v>
      </c>
      <c r="C388" s="219" t="s">
        <v>154</v>
      </c>
      <c r="D388" s="219"/>
      <c r="E388" s="164" t="s">
        <v>138</v>
      </c>
      <c r="F388" s="163"/>
      <c r="G388" s="162"/>
      <c r="H388" s="162"/>
      <c r="I388" s="162"/>
      <c r="J388" s="162"/>
      <c r="K388" s="162">
        <f t="shared" si="46"/>
        <v>0</v>
      </c>
      <c r="L388" s="162">
        <f t="shared" si="47"/>
        <v>0</v>
      </c>
      <c r="M388" s="162">
        <v>523.9</v>
      </c>
      <c r="N388" s="162">
        <f>+M388*1000/(128*4*13*60)*T388</f>
        <v>5.247395833333333</v>
      </c>
      <c r="O388" s="162"/>
      <c r="P388" s="162">
        <f t="shared" si="48"/>
        <v>0</v>
      </c>
      <c r="Q388" s="162"/>
      <c r="R388" s="19">
        <f t="shared" si="49"/>
        <v>0</v>
      </c>
      <c r="S388" s="162">
        <f t="shared" si="50"/>
        <v>0</v>
      </c>
      <c r="T388" s="20">
        <v>4</v>
      </c>
      <c r="U388" s="20"/>
      <c r="V388" s="15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8">
        <v>300275</v>
      </c>
      <c r="B389" s="151">
        <v>18502</v>
      </c>
      <c r="C389" s="219" t="s">
        <v>154</v>
      </c>
      <c r="D389" s="219"/>
      <c r="E389" s="164" t="s">
        <v>156</v>
      </c>
      <c r="F389" s="163"/>
      <c r="G389" s="162"/>
      <c r="H389" s="162"/>
      <c r="I389" s="162"/>
      <c r="J389" s="162"/>
      <c r="K389" s="162">
        <f t="shared" si="46"/>
        <v>0</v>
      </c>
      <c r="L389" s="162">
        <f t="shared" si="47"/>
        <v>0</v>
      </c>
      <c r="M389" s="162">
        <v>523.9</v>
      </c>
      <c r="N389" s="162">
        <f>+M389*1000/(128*4*13*60)*T389</f>
        <v>5.247395833333333</v>
      </c>
      <c r="O389" s="162"/>
      <c r="P389" s="162">
        <f t="shared" si="48"/>
        <v>0</v>
      </c>
      <c r="Q389" s="162"/>
      <c r="R389" s="19">
        <f t="shared" si="49"/>
        <v>0</v>
      </c>
      <c r="S389" s="162">
        <f t="shared" si="50"/>
        <v>0</v>
      </c>
      <c r="T389" s="20">
        <v>4</v>
      </c>
      <c r="U389" s="20"/>
      <c r="V389" s="15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8">
        <v>300285</v>
      </c>
      <c r="B390" s="151">
        <v>13001</v>
      </c>
      <c r="C390" s="219" t="s">
        <v>157</v>
      </c>
      <c r="D390" s="219"/>
      <c r="E390" s="164" t="s">
        <v>37</v>
      </c>
      <c r="F390" s="163"/>
      <c r="G390" s="162"/>
      <c r="H390" s="162"/>
      <c r="I390" s="162"/>
      <c r="J390" s="162"/>
      <c r="K390" s="162">
        <f t="shared" si="46"/>
        <v>0</v>
      </c>
      <c r="L390" s="162">
        <f t="shared" si="47"/>
        <v>0</v>
      </c>
      <c r="M390" s="162">
        <v>438.7</v>
      </c>
      <c r="N390" s="162">
        <f t="shared" ref="N390:N395" si="53">+M390*1000/(90*4*18*60)*T390</f>
        <v>5.6417181069958842</v>
      </c>
      <c r="O390" s="162"/>
      <c r="P390" s="162">
        <f t="shared" si="48"/>
        <v>0</v>
      </c>
      <c r="Q390" s="162"/>
      <c r="R390" s="19">
        <f t="shared" si="49"/>
        <v>0</v>
      </c>
      <c r="S390" s="162">
        <f t="shared" si="50"/>
        <v>0</v>
      </c>
      <c r="T390" s="20">
        <v>5</v>
      </c>
      <c r="U390" s="20"/>
      <c r="V390" s="15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8">
        <v>300287</v>
      </c>
      <c r="B391" s="151">
        <v>13001</v>
      </c>
      <c r="C391" s="219" t="s">
        <v>157</v>
      </c>
      <c r="D391" s="219"/>
      <c r="E391" s="164" t="s">
        <v>57</v>
      </c>
      <c r="F391" s="163"/>
      <c r="G391" s="162"/>
      <c r="H391" s="162"/>
      <c r="I391" s="162"/>
      <c r="J391" s="162"/>
      <c r="K391" s="162">
        <f t="shared" si="46"/>
        <v>0</v>
      </c>
      <c r="L391" s="162">
        <f t="shared" si="47"/>
        <v>0</v>
      </c>
      <c r="M391" s="162">
        <v>438.7</v>
      </c>
      <c r="N391" s="162">
        <f t="shared" si="53"/>
        <v>5.6417181069958842</v>
      </c>
      <c r="O391" s="162"/>
      <c r="P391" s="162">
        <f t="shared" si="48"/>
        <v>0</v>
      </c>
      <c r="Q391" s="162"/>
      <c r="R391" s="19">
        <f t="shared" si="49"/>
        <v>0</v>
      </c>
      <c r="S391" s="162">
        <f t="shared" si="50"/>
        <v>0</v>
      </c>
      <c r="T391" s="20">
        <v>5</v>
      </c>
      <c r="U391" s="20"/>
      <c r="V391" s="15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8">
        <v>300284</v>
      </c>
      <c r="B392" s="151">
        <v>13001</v>
      </c>
      <c r="C392" s="219" t="s">
        <v>157</v>
      </c>
      <c r="D392" s="219"/>
      <c r="E392" s="164" t="s">
        <v>41</v>
      </c>
      <c r="F392" s="163"/>
      <c r="G392" s="162"/>
      <c r="H392" s="162"/>
      <c r="I392" s="162"/>
      <c r="J392" s="162"/>
      <c r="K392" s="162">
        <f t="shared" si="46"/>
        <v>0</v>
      </c>
      <c r="L392" s="162">
        <f t="shared" si="47"/>
        <v>0</v>
      </c>
      <c r="M392" s="162">
        <v>438.7</v>
      </c>
      <c r="N392" s="162">
        <f t="shared" si="53"/>
        <v>5.6417181069958842</v>
      </c>
      <c r="O392" s="162"/>
      <c r="P392" s="162">
        <f t="shared" si="48"/>
        <v>0</v>
      </c>
      <c r="Q392" s="162"/>
      <c r="R392" s="19">
        <f t="shared" si="49"/>
        <v>0</v>
      </c>
      <c r="S392" s="162">
        <f t="shared" si="50"/>
        <v>0</v>
      </c>
      <c r="T392" s="20">
        <v>5</v>
      </c>
      <c r="U392" s="20"/>
      <c r="V392" s="15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8">
        <v>300283</v>
      </c>
      <c r="B393" s="151">
        <v>13001</v>
      </c>
      <c r="C393" s="219" t="s">
        <v>157</v>
      </c>
      <c r="D393" s="219"/>
      <c r="E393" s="164" t="s">
        <v>35</v>
      </c>
      <c r="F393" s="163"/>
      <c r="G393" s="162"/>
      <c r="H393" s="162"/>
      <c r="I393" s="162"/>
      <c r="J393" s="152"/>
      <c r="K393" s="152">
        <f t="shared" si="46"/>
        <v>0</v>
      </c>
      <c r="L393" s="152">
        <f t="shared" si="47"/>
        <v>0</v>
      </c>
      <c r="M393" s="162">
        <v>438.7</v>
      </c>
      <c r="N393" s="162">
        <f t="shared" si="53"/>
        <v>5.6417181069958842</v>
      </c>
      <c r="O393" s="152"/>
      <c r="P393" s="162">
        <f t="shared" si="48"/>
        <v>0</v>
      </c>
      <c r="Q393" s="162"/>
      <c r="R393" s="19">
        <f t="shared" si="49"/>
        <v>0</v>
      </c>
      <c r="S393" s="162">
        <f t="shared" si="50"/>
        <v>0</v>
      </c>
      <c r="T393" s="20">
        <v>5</v>
      </c>
      <c r="U393" s="20"/>
      <c r="V393" s="15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8">
        <v>300289</v>
      </c>
      <c r="B394" s="151">
        <v>13001</v>
      </c>
      <c r="C394" s="219" t="s">
        <v>157</v>
      </c>
      <c r="D394" s="219"/>
      <c r="E394" s="164" t="s">
        <v>66</v>
      </c>
      <c r="F394" s="163"/>
      <c r="G394" s="152"/>
      <c r="H394" s="152"/>
      <c r="I394" s="152"/>
      <c r="J394" s="116"/>
      <c r="K394" s="152">
        <f t="shared" si="46"/>
        <v>0</v>
      </c>
      <c r="L394" s="152">
        <f t="shared" si="47"/>
        <v>0</v>
      </c>
      <c r="M394" s="162">
        <v>438.7</v>
      </c>
      <c r="N394" s="162">
        <f t="shared" si="53"/>
        <v>5.6417181069958842</v>
      </c>
      <c r="O394" s="152"/>
      <c r="P394" s="162">
        <f t="shared" si="48"/>
        <v>0</v>
      </c>
      <c r="Q394" s="162"/>
      <c r="R394" s="19">
        <f t="shared" si="49"/>
        <v>0</v>
      </c>
      <c r="S394" s="162">
        <f t="shared" si="50"/>
        <v>0</v>
      </c>
      <c r="T394" s="20">
        <v>5</v>
      </c>
      <c r="U394" s="20"/>
      <c r="V394" s="15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8">
        <v>300288</v>
      </c>
      <c r="B395" s="151">
        <v>13001</v>
      </c>
      <c r="C395" s="219" t="s">
        <v>157</v>
      </c>
      <c r="D395" s="219"/>
      <c r="E395" s="164" t="s">
        <v>158</v>
      </c>
      <c r="F395" s="163"/>
      <c r="G395" s="157"/>
      <c r="H395" s="162"/>
      <c r="I395" s="162"/>
      <c r="J395" s="162"/>
      <c r="K395" s="162">
        <f t="shared" si="46"/>
        <v>0</v>
      </c>
      <c r="L395" s="162">
        <f t="shared" si="47"/>
        <v>0</v>
      </c>
      <c r="M395" s="162">
        <v>438.7</v>
      </c>
      <c r="N395" s="162">
        <f t="shared" si="53"/>
        <v>5.6417181069958842</v>
      </c>
      <c r="O395" s="162"/>
      <c r="P395" s="162">
        <f t="shared" si="48"/>
        <v>0</v>
      </c>
      <c r="Q395" s="162"/>
      <c r="R395" s="19">
        <f t="shared" si="49"/>
        <v>0</v>
      </c>
      <c r="S395" s="162">
        <f t="shared" si="50"/>
        <v>0</v>
      </c>
      <c r="T395" s="20">
        <v>5</v>
      </c>
      <c r="U395" s="20"/>
      <c r="V395" s="15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5">
        <v>300355</v>
      </c>
      <c r="B396" s="124">
        <v>13001</v>
      </c>
      <c r="C396" s="233" t="s">
        <v>160</v>
      </c>
      <c r="D396" s="234"/>
      <c r="E396" s="53" t="s">
        <v>35</v>
      </c>
      <c r="F396" s="163"/>
      <c r="G396" s="157"/>
      <c r="H396" s="162"/>
      <c r="I396" s="162"/>
      <c r="J396" s="162"/>
      <c r="K396" s="152">
        <f t="shared" si="46"/>
        <v>0</v>
      </c>
      <c r="L396" s="162">
        <f t="shared" si="47"/>
        <v>0</v>
      </c>
      <c r="M396" s="162">
        <v>438</v>
      </c>
      <c r="N396" s="162">
        <f>+M396*1000/(110*4*18*60)*T396</f>
        <v>4.6085858585858581</v>
      </c>
      <c r="O396" s="162"/>
      <c r="P396" s="162">
        <f t="shared" si="48"/>
        <v>0</v>
      </c>
      <c r="Q396" s="162"/>
      <c r="R396" s="19">
        <f t="shared" si="49"/>
        <v>0</v>
      </c>
      <c r="S396" s="162">
        <f t="shared" si="50"/>
        <v>0</v>
      </c>
      <c r="T396" s="20">
        <v>5</v>
      </c>
      <c r="U396" s="20"/>
      <c r="V396" s="15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5">
        <v>300356</v>
      </c>
      <c r="B397" s="124">
        <v>13001</v>
      </c>
      <c r="C397" s="233" t="s">
        <v>160</v>
      </c>
      <c r="D397" s="234"/>
      <c r="E397" s="54" t="s">
        <v>41</v>
      </c>
      <c r="F397" s="163"/>
      <c r="G397" s="157"/>
      <c r="H397" s="162"/>
      <c r="I397" s="162"/>
      <c r="J397" s="162"/>
      <c r="K397" s="152">
        <f t="shared" si="46"/>
        <v>0</v>
      </c>
      <c r="L397" s="162">
        <f t="shared" si="47"/>
        <v>0</v>
      </c>
      <c r="M397" s="162">
        <v>438</v>
      </c>
      <c r="N397" s="162">
        <f>+M397*1000/(110*4*18*60)*T397</f>
        <v>4.6085858585858581</v>
      </c>
      <c r="O397" s="162"/>
      <c r="P397" s="162">
        <f t="shared" si="48"/>
        <v>0</v>
      </c>
      <c r="Q397" s="162"/>
      <c r="R397" s="19">
        <f t="shared" si="49"/>
        <v>0</v>
      </c>
      <c r="S397" s="162">
        <f t="shared" si="50"/>
        <v>0</v>
      </c>
      <c r="T397" s="20">
        <v>5</v>
      </c>
      <c r="U397" s="20"/>
      <c r="V397" s="15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5">
        <v>300357</v>
      </c>
      <c r="B398" s="151" t="s">
        <v>162</v>
      </c>
      <c r="C398" s="230" t="s">
        <v>160</v>
      </c>
      <c r="D398" s="231"/>
      <c r="E398" s="166" t="s">
        <v>37</v>
      </c>
      <c r="F398" s="13"/>
      <c r="G398" s="157"/>
      <c r="H398" s="162"/>
      <c r="I398" s="162"/>
      <c r="J398" s="162"/>
      <c r="K398" s="152">
        <f t="shared" si="46"/>
        <v>0</v>
      </c>
      <c r="L398" s="162">
        <f t="shared" si="47"/>
        <v>0</v>
      </c>
      <c r="M398" s="162">
        <v>438</v>
      </c>
      <c r="N398" s="15">
        <f>+M398*1000/(110*4*18*60)*T398</f>
        <v>4.6085858585858581</v>
      </c>
      <c r="O398" s="162"/>
      <c r="P398" s="162">
        <f t="shared" si="48"/>
        <v>0</v>
      </c>
      <c r="Q398" s="162"/>
      <c r="R398" s="19">
        <f t="shared" si="49"/>
        <v>0</v>
      </c>
      <c r="S398" s="162">
        <f t="shared" si="50"/>
        <v>0</v>
      </c>
      <c r="T398" s="20">
        <v>5</v>
      </c>
      <c r="U398" s="20"/>
      <c r="V398" s="15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5">
        <v>300358</v>
      </c>
      <c r="B399" s="151" t="s">
        <v>163</v>
      </c>
      <c r="C399" s="230" t="s">
        <v>160</v>
      </c>
      <c r="D399" s="231"/>
      <c r="E399" s="166" t="s">
        <v>66</v>
      </c>
      <c r="F399" s="13"/>
      <c r="G399" s="157"/>
      <c r="H399" s="162"/>
      <c r="I399" s="162"/>
      <c r="J399" s="162"/>
      <c r="K399" s="152">
        <f t="shared" si="46"/>
        <v>0</v>
      </c>
      <c r="L399" s="162">
        <f t="shared" si="47"/>
        <v>0</v>
      </c>
      <c r="M399" s="162">
        <v>438</v>
      </c>
      <c r="N399" s="15">
        <f>+M399*1000/(110*4*18*60)*T399</f>
        <v>4.6085858585858581</v>
      </c>
      <c r="O399" s="162"/>
      <c r="P399" s="162">
        <f t="shared" si="48"/>
        <v>0</v>
      </c>
      <c r="Q399" s="162"/>
      <c r="R399" s="19">
        <f t="shared" si="49"/>
        <v>0</v>
      </c>
      <c r="S399" s="162">
        <f t="shared" si="50"/>
        <v>0</v>
      </c>
      <c r="T399" s="20">
        <v>5</v>
      </c>
      <c r="U399" s="20"/>
      <c r="V399" s="15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8">
        <v>300438</v>
      </c>
      <c r="B400" s="151" t="s">
        <v>87</v>
      </c>
      <c r="C400" s="219" t="s">
        <v>304</v>
      </c>
      <c r="D400" s="219" t="s">
        <v>89</v>
      </c>
      <c r="E400" s="164" t="s">
        <v>35</v>
      </c>
      <c r="F400" s="13"/>
      <c r="G400" s="110"/>
      <c r="H400" s="110"/>
      <c r="I400" s="110"/>
      <c r="J400" s="110"/>
      <c r="K400" s="162">
        <f t="shared" ref="K400:K407" si="54">G400*M400</f>
        <v>0</v>
      </c>
      <c r="L400" s="162">
        <f t="shared" ref="L400:L407" si="55">I400*M400</f>
        <v>0</v>
      </c>
      <c r="M400" s="162">
        <v>336.6</v>
      </c>
      <c r="N400" s="162">
        <f>+M400*1000/(45*10*18*60)*T400</f>
        <v>1.3851851851851851</v>
      </c>
      <c r="O400" s="162"/>
      <c r="P400" s="162">
        <f t="shared" ref="P400:P407" si="56">N400*I400+O400*U400</f>
        <v>0</v>
      </c>
      <c r="Q400" s="162"/>
      <c r="R400" s="19">
        <f t="shared" ref="R400:R407" si="57">Q400*U400</f>
        <v>0</v>
      </c>
      <c r="S400" s="162">
        <f t="shared" ref="S400:S407" si="58">R400-P400</f>
        <v>0</v>
      </c>
      <c r="T400" s="20">
        <v>2</v>
      </c>
      <c r="U400" s="20"/>
      <c r="V400" s="15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8">
        <v>300439</v>
      </c>
      <c r="B401" s="151" t="s">
        <v>87</v>
      </c>
      <c r="C401" s="219" t="s">
        <v>304</v>
      </c>
      <c r="D401" s="219" t="s">
        <v>89</v>
      </c>
      <c r="E401" s="164" t="s">
        <v>66</v>
      </c>
      <c r="F401" s="13"/>
      <c r="G401" s="110"/>
      <c r="H401" s="110"/>
      <c r="I401" s="110"/>
      <c r="J401" s="110"/>
      <c r="K401" s="162">
        <f t="shared" si="54"/>
        <v>0</v>
      </c>
      <c r="L401" s="162">
        <f t="shared" si="55"/>
        <v>0</v>
      </c>
      <c r="M401" s="162">
        <v>336.6</v>
      </c>
      <c r="N401" s="162">
        <f>+M401*1000/(45*10*18*60)*T401</f>
        <v>1.3851851851851851</v>
      </c>
      <c r="O401" s="162"/>
      <c r="P401" s="162">
        <f t="shared" si="56"/>
        <v>0</v>
      </c>
      <c r="Q401" s="162"/>
      <c r="R401" s="19">
        <f t="shared" si="57"/>
        <v>0</v>
      </c>
      <c r="S401" s="162">
        <f t="shared" si="58"/>
        <v>0</v>
      </c>
      <c r="T401" s="20">
        <v>2</v>
      </c>
      <c r="U401" s="20"/>
      <c r="V401" s="15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8">
        <v>300440</v>
      </c>
      <c r="B402" s="151" t="s">
        <v>87</v>
      </c>
      <c r="C402" s="219" t="s">
        <v>304</v>
      </c>
      <c r="D402" s="219" t="s">
        <v>89</v>
      </c>
      <c r="E402" s="164" t="s">
        <v>41</v>
      </c>
      <c r="F402" s="13"/>
      <c r="G402" s="110"/>
      <c r="H402" s="110"/>
      <c r="I402" s="110"/>
      <c r="J402" s="110"/>
      <c r="K402" s="162">
        <f t="shared" si="54"/>
        <v>0</v>
      </c>
      <c r="L402" s="162">
        <f t="shared" si="55"/>
        <v>0</v>
      </c>
      <c r="M402" s="162">
        <v>336.6</v>
      </c>
      <c r="N402" s="162">
        <f>+M402*1000/(45*10*18*60)*T402</f>
        <v>1.3851851851851851</v>
      </c>
      <c r="O402" s="162"/>
      <c r="P402" s="162">
        <f t="shared" si="56"/>
        <v>0</v>
      </c>
      <c r="Q402" s="162"/>
      <c r="R402" s="19">
        <f t="shared" si="57"/>
        <v>0</v>
      </c>
      <c r="S402" s="162">
        <f t="shared" si="58"/>
        <v>0</v>
      </c>
      <c r="T402" s="20">
        <v>2</v>
      </c>
      <c r="U402" s="20"/>
      <c r="V402" s="15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8">
        <v>300441</v>
      </c>
      <c r="B403" s="151" t="s">
        <v>87</v>
      </c>
      <c r="C403" s="219" t="s">
        <v>304</v>
      </c>
      <c r="D403" s="219" t="s">
        <v>89</v>
      </c>
      <c r="E403" s="164" t="s">
        <v>37</v>
      </c>
      <c r="F403" s="13"/>
      <c r="G403" s="110"/>
      <c r="H403" s="110"/>
      <c r="I403" s="110"/>
      <c r="J403" s="110"/>
      <c r="K403" s="162">
        <f t="shared" si="54"/>
        <v>0</v>
      </c>
      <c r="L403" s="162">
        <f t="shared" si="55"/>
        <v>0</v>
      </c>
      <c r="M403" s="162">
        <v>336.6</v>
      </c>
      <c r="N403" s="162">
        <f>+M403*1000/(45*10*18*60)*T403</f>
        <v>1.3851851851851851</v>
      </c>
      <c r="O403" s="162"/>
      <c r="P403" s="162">
        <f t="shared" si="56"/>
        <v>0</v>
      </c>
      <c r="Q403" s="162"/>
      <c r="R403" s="19">
        <f t="shared" si="57"/>
        <v>0</v>
      </c>
      <c r="S403" s="162">
        <f t="shared" si="58"/>
        <v>0</v>
      </c>
      <c r="T403" s="20">
        <v>2</v>
      </c>
      <c r="U403" s="20"/>
      <c r="V403" s="15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5">
        <v>300406</v>
      </c>
      <c r="B404" s="151" t="s">
        <v>163</v>
      </c>
      <c r="C404" s="230" t="s">
        <v>164</v>
      </c>
      <c r="D404" s="231"/>
      <c r="E404" s="166" t="s">
        <v>141</v>
      </c>
      <c r="F404" s="27"/>
      <c r="G404" s="157"/>
      <c r="H404" s="162"/>
      <c r="I404" s="162"/>
      <c r="J404" s="162"/>
      <c r="K404" s="152">
        <f t="shared" si="54"/>
        <v>0</v>
      </c>
      <c r="L404" s="162">
        <f t="shared" si="55"/>
        <v>0</v>
      </c>
      <c r="M404" s="162">
        <v>628.29999999999995</v>
      </c>
      <c r="N404" s="15">
        <f>+M404*1000/(132*4*18*60)*T404</f>
        <v>5.5090838945005611</v>
      </c>
      <c r="O404" s="162"/>
      <c r="P404" s="162">
        <f t="shared" si="56"/>
        <v>0</v>
      </c>
      <c r="Q404" s="162"/>
      <c r="R404" s="19">
        <f t="shared" si="57"/>
        <v>0</v>
      </c>
      <c r="S404" s="162">
        <f t="shared" si="58"/>
        <v>0</v>
      </c>
      <c r="T404" s="20">
        <v>5</v>
      </c>
      <c r="U404" s="20"/>
      <c r="V404" s="15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5">
        <v>300407</v>
      </c>
      <c r="B405" s="151" t="s">
        <v>163</v>
      </c>
      <c r="C405" s="230" t="s">
        <v>164</v>
      </c>
      <c r="D405" s="231"/>
      <c r="E405" s="166" t="s">
        <v>165</v>
      </c>
      <c r="F405" s="27"/>
      <c r="G405" s="157"/>
      <c r="H405" s="162"/>
      <c r="I405" s="162"/>
      <c r="J405" s="162"/>
      <c r="K405" s="152">
        <f t="shared" si="54"/>
        <v>0</v>
      </c>
      <c r="L405" s="162">
        <f t="shared" si="55"/>
        <v>0</v>
      </c>
      <c r="M405" s="162">
        <v>628.29999999999995</v>
      </c>
      <c r="N405" s="15">
        <f>+M405*1000/(132*4*18*60)*T405</f>
        <v>5.5090838945005611</v>
      </c>
      <c r="O405" s="162"/>
      <c r="P405" s="162">
        <f t="shared" si="56"/>
        <v>0</v>
      </c>
      <c r="Q405" s="162"/>
      <c r="R405" s="19">
        <f t="shared" si="57"/>
        <v>0</v>
      </c>
      <c r="S405" s="162">
        <f t="shared" si="58"/>
        <v>0</v>
      </c>
      <c r="T405" s="20">
        <v>5</v>
      </c>
      <c r="U405" s="20"/>
      <c r="V405" s="15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5">
        <v>300408</v>
      </c>
      <c r="B406" s="151" t="s">
        <v>163</v>
      </c>
      <c r="C406" s="230" t="s">
        <v>164</v>
      </c>
      <c r="D406" s="231"/>
      <c r="E406" s="166" t="s">
        <v>41</v>
      </c>
      <c r="F406" s="27"/>
      <c r="G406" s="157"/>
      <c r="H406" s="162"/>
      <c r="I406" s="162"/>
      <c r="J406" s="162"/>
      <c r="K406" s="152">
        <f t="shared" si="54"/>
        <v>0</v>
      </c>
      <c r="L406" s="162">
        <f t="shared" si="55"/>
        <v>0</v>
      </c>
      <c r="M406" s="162">
        <v>628.29999999999995</v>
      </c>
      <c r="N406" s="15">
        <f>+M406*1000/(132*4*18*60)*T406</f>
        <v>5.5090838945005611</v>
      </c>
      <c r="O406" s="162"/>
      <c r="P406" s="162">
        <f t="shared" si="56"/>
        <v>0</v>
      </c>
      <c r="Q406" s="162"/>
      <c r="R406" s="19">
        <f t="shared" si="57"/>
        <v>0</v>
      </c>
      <c r="S406" s="162">
        <f t="shared" si="58"/>
        <v>0</v>
      </c>
      <c r="T406" s="20">
        <v>5</v>
      </c>
      <c r="U406" s="20"/>
      <c r="V406" s="15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5">
        <v>300409</v>
      </c>
      <c r="B407" s="151" t="s">
        <v>163</v>
      </c>
      <c r="C407" s="230" t="s">
        <v>164</v>
      </c>
      <c r="D407" s="231"/>
      <c r="E407" s="166" t="s">
        <v>166</v>
      </c>
      <c r="F407" s="27"/>
      <c r="G407" s="157"/>
      <c r="H407" s="162"/>
      <c r="I407" s="162"/>
      <c r="J407" s="162"/>
      <c r="K407" s="152">
        <f t="shared" si="54"/>
        <v>0</v>
      </c>
      <c r="L407" s="162">
        <f t="shared" si="55"/>
        <v>0</v>
      </c>
      <c r="M407" s="162">
        <v>628.29999999999995</v>
      </c>
      <c r="N407" s="15">
        <f>+M407*1000/(132*4*18*60)*T407</f>
        <v>5.5090838945005611</v>
      </c>
      <c r="O407" s="162"/>
      <c r="P407" s="162">
        <f t="shared" si="56"/>
        <v>0</v>
      </c>
      <c r="Q407" s="162"/>
      <c r="R407" s="19">
        <f t="shared" si="57"/>
        <v>0</v>
      </c>
      <c r="S407" s="162">
        <f t="shared" si="58"/>
        <v>0</v>
      </c>
      <c r="T407" s="20">
        <v>5</v>
      </c>
      <c r="U407" s="20"/>
      <c r="V407" s="15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62">
        <f t="array" ref="G408">SUM(IF(ISERROR(G215:G407),“”,G215:G407))</f>
        <v>0</v>
      </c>
      <c r="H408" s="162">
        <f t="array" ref="H408">SUM(IF(ISERROR(H215:H407),“”,H215:H407))</f>
        <v>0</v>
      </c>
      <c r="I408" s="162">
        <f t="array" ref="I408">SUM(IF(ISERROR(I215:I407),“”,I215:I407))</f>
        <v>0</v>
      </c>
      <c r="J408" s="162">
        <f t="array" ref="J408">SUM(IF(ISERROR(J215:J407),“”,J215:J407))</f>
        <v>0</v>
      </c>
      <c r="K408" s="162">
        <f t="array" ref="K408">SUM(IF(ISERROR(K215:K407),“”,K215:K407))</f>
        <v>0</v>
      </c>
      <c r="L408" s="117">
        <f>SUM(L215:L399)</f>
        <v>0</v>
      </c>
      <c r="M408" s="162"/>
      <c r="N408" s="162"/>
      <c r="O408" s="162">
        <f t="array" ref="O408">SUM(IF(ISERROR(O215:O407),“”,O215:O407))</f>
        <v>0</v>
      </c>
      <c r="P408" s="56">
        <f>SUM((P215:P399),(W413:X418))</f>
        <v>0</v>
      </c>
      <c r="Q408" s="162"/>
      <c r="R408" s="56">
        <f>SUM((R215:R399),(Y413:Z418))</f>
        <v>0</v>
      </c>
      <c r="S408" s="162">
        <f t="array" ref="S408">SUM(IF(ISERROR(S215:S407),“”,S215:S407))</f>
        <v>0</v>
      </c>
      <c r="T408" s="162"/>
      <c r="U408" s="162"/>
      <c r="V408" s="159" t="str">
        <f t="array" ref="V408">IF(ISERROR(L408/K408),"",L408/K408)</f>
        <v/>
      </c>
      <c r="W408" s="162">
        <f t="array" ref="W408">SUM(IF(ISERROR(W215:W407),“”,W215:W407))</f>
        <v>0</v>
      </c>
      <c r="X408" s="162">
        <f t="array" ref="X408">SUM(IF(ISERROR(X215:X407),“”,X215:X407))</f>
        <v>0</v>
      </c>
      <c r="Y408" s="162">
        <f t="array" ref="Y408">SUM(IF(ISERROR(Y215:Y407),“”,Y215:Y407))</f>
        <v>0</v>
      </c>
      <c r="Z408" s="162">
        <f t="array" ref="Z408">SUM(IF(ISERROR(Z215:Z407),“”,Z215:Z407))</f>
        <v>0</v>
      </c>
      <c r="AA408" s="162">
        <f t="array" ref="AA408">SUM(IF(ISERROR(AA215:AA407),“”,AA215:AA407))</f>
        <v>0</v>
      </c>
      <c r="AB408" s="162">
        <f t="array" ref="AB408">SUM(IF(ISERROR(AB215:AB407),“”,AB215:AB407))</f>
        <v>0</v>
      </c>
      <c r="AC408" s="16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5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60">S413*9</f>
        <v>0</v>
      </c>
      <c r="X413" s="254"/>
      <c r="Y413" s="254">
        <f t="shared" ref="Y413:Y419" si="61">U413*9</f>
        <v>0</v>
      </c>
      <c r="Z413" s="254"/>
      <c r="AA413" s="254">
        <f t="shared" si="5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60"/>
        <v>0</v>
      </c>
      <c r="X414" s="254"/>
      <c r="Y414" s="254">
        <f t="shared" si="61"/>
        <v>0</v>
      </c>
      <c r="Z414" s="254"/>
      <c r="AA414" s="254">
        <f t="shared" si="5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6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60"/>
        <v>0</v>
      </c>
      <c r="X415" s="254"/>
      <c r="Y415" s="254">
        <f t="shared" si="61"/>
        <v>0</v>
      </c>
      <c r="Z415" s="254"/>
      <c r="AA415" s="254">
        <f t="shared" si="5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6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60"/>
        <v>0</v>
      </c>
      <c r="X416" s="254"/>
      <c r="Y416" s="254">
        <f t="shared" si="61"/>
        <v>0</v>
      </c>
      <c r="Z416" s="254"/>
      <c r="AA416" s="254">
        <f t="shared" si="5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6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60"/>
        <v>0</v>
      </c>
      <c r="X417" s="254"/>
      <c r="Y417" s="254">
        <f t="shared" si="61"/>
        <v>0</v>
      </c>
      <c r="Z417" s="254"/>
      <c r="AA417" s="254">
        <f t="shared" si="5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60"/>
        <v>0</v>
      </c>
      <c r="X418" s="254"/>
      <c r="Y418" s="254">
        <f t="shared" si="61"/>
        <v>0</v>
      </c>
      <c r="Z418" s="254"/>
      <c r="AA418" s="254">
        <f t="shared" si="5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60"/>
        <v>0</v>
      </c>
      <c r="X419" s="254"/>
      <c r="Y419" s="254">
        <f t="shared" si="61"/>
        <v>0</v>
      </c>
      <c r="Z419" s="254"/>
      <c r="AA419" s="254">
        <f t="shared" si="5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51" t="s">
        <v>252</v>
      </c>
      <c r="D436" s="151" t="s">
        <v>253</v>
      </c>
      <c r="E436" s="151" t="s">
        <v>254</v>
      </c>
      <c r="F436" s="151" t="s">
        <v>255</v>
      </c>
      <c r="G436" s="151" t="s">
        <v>256</v>
      </c>
      <c r="H436" s="152" t="s">
        <v>257</v>
      </c>
      <c r="I436" s="152" t="s">
        <v>258</v>
      </c>
      <c r="J436" s="152" t="s">
        <v>259</v>
      </c>
      <c r="K436" s="152" t="s">
        <v>260</v>
      </c>
      <c r="L436" s="152" t="s">
        <v>261</v>
      </c>
      <c r="M436" s="152" t="s">
        <v>262</v>
      </c>
      <c r="N436" s="152" t="s">
        <v>263</v>
      </c>
      <c r="O436" s="152" t="s">
        <v>264</v>
      </c>
      <c r="P436" s="167" t="s">
        <v>265</v>
      </c>
      <c r="Q436" s="152" t="s">
        <v>266</v>
      </c>
      <c r="R436" s="156" t="s">
        <v>181</v>
      </c>
      <c r="S436" s="151" t="s">
        <v>267</v>
      </c>
      <c r="T436" s="153" t="s">
        <v>268</v>
      </c>
      <c r="U436" s="15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62">SUM(D437:F437)-O437-P437-G437</f>
        <v>0</v>
      </c>
      <c r="D437" s="151"/>
      <c r="E437" s="151"/>
      <c r="F437" s="151"/>
      <c r="G437" s="151"/>
      <c r="H437" s="152"/>
      <c r="I437" s="152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62"/>
        <v>0</v>
      </c>
      <c r="D438" s="151"/>
      <c r="E438" s="151"/>
      <c r="F438" s="151"/>
      <c r="G438" s="151"/>
      <c r="H438" s="152"/>
      <c r="I438" s="152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6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62"/>
        <v>0</v>
      </c>
      <c r="D439" s="151"/>
      <c r="E439" s="151"/>
      <c r="F439" s="151"/>
      <c r="G439" s="151"/>
      <c r="H439" s="152"/>
      <c r="I439" s="152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6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62"/>
        <v>0</v>
      </c>
      <c r="D440" s="151"/>
      <c r="E440" s="151"/>
      <c r="F440" s="151"/>
      <c r="G440" s="151"/>
      <c r="H440" s="152"/>
      <c r="I440" s="152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6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62"/>
        <v>0</v>
      </c>
      <c r="D441" s="151"/>
      <c r="E441" s="151"/>
      <c r="F441" s="151"/>
      <c r="G441" s="151"/>
      <c r="H441" s="152"/>
      <c r="I441" s="152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6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6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6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6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6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6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6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6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6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66"/>
        <v>0</v>
      </c>
      <c r="D451" s="151"/>
      <c r="E451" s="151"/>
      <c r="F451" s="151"/>
      <c r="G451" s="151"/>
      <c r="H451" s="152"/>
      <c r="I451" s="83"/>
      <c r="J451" s="83">
        <f t="shared" si="63"/>
        <v>0</v>
      </c>
      <c r="K451" s="152"/>
      <c r="L451" s="152"/>
      <c r="M451" s="152"/>
      <c r="N451" s="152"/>
      <c r="O451" s="152"/>
      <c r="P451" s="167"/>
      <c r="Q451" s="83">
        <f t="shared" si="64"/>
        <v>0</v>
      </c>
      <c r="R451" s="15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4"/>
  <dimension ref="A1:AC454"/>
  <sheetViews>
    <sheetView workbookViewId="0">
      <pane xSplit="5" ySplit="5" topLeftCell="F319" activePane="bottomRight" state="frozen"/>
      <selection pane="topRight" activeCell="F1" sqref="F1"/>
      <selection pane="bottomLeft" activeCell="A6" sqref="A6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2.25" bestFit="1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s="2" customFormat="1" ht="21.95" customHeight="1">
      <c r="A6" s="178">
        <v>300320</v>
      </c>
      <c r="B6" s="171" t="s">
        <v>33</v>
      </c>
      <c r="C6" s="219" t="s">
        <v>34</v>
      </c>
      <c r="D6" s="219"/>
      <c r="E6" s="184" t="s">
        <v>35</v>
      </c>
      <c r="F6" s="183" t="s">
        <v>312</v>
      </c>
      <c r="G6" s="133">
        <v>5.17</v>
      </c>
      <c r="H6" s="133">
        <v>0.75</v>
      </c>
      <c r="I6" s="133">
        <f>5+H6-J6/600</f>
        <v>5.166666666666667</v>
      </c>
      <c r="J6" s="133">
        <v>350</v>
      </c>
      <c r="K6" s="182">
        <f t="shared" ref="K6:K76" si="0">G6*M6</f>
        <v>3275.712</v>
      </c>
      <c r="L6" s="182">
        <f t="shared" ref="L6:L76" si="1">I6*M6</f>
        <v>3273.6000000000004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24.098939929328619</v>
      </c>
      <c r="Q6" s="182">
        <v>11</v>
      </c>
      <c r="R6" s="19">
        <f t="shared" ref="R6:R76" si="3">Q6*U6</f>
        <v>22</v>
      </c>
      <c r="S6" s="182">
        <f t="shared" ref="S6:S76" si="4">R6-P6</f>
        <v>-2.0989399293286191</v>
      </c>
      <c r="T6" s="20">
        <v>5</v>
      </c>
      <c r="U6" s="20">
        <v>2</v>
      </c>
      <c r="V6" s="179">
        <f t="array" ref="V6">IF(ISERROR(L6/K6),"",L6/K6)</f>
        <v>0.99935525467440367</v>
      </c>
      <c r="W6" s="20"/>
      <c r="X6" s="195">
        <f>100/60*1</f>
        <v>1.6666666666666667</v>
      </c>
      <c r="Y6" s="171"/>
      <c r="Z6" s="183"/>
      <c r="AA6" s="20"/>
      <c r="AB6" s="20"/>
      <c r="AC6" s="20"/>
    </row>
    <row r="7" spans="1:29" s="2" customFormat="1" ht="21.95" hidden="1" customHeight="1">
      <c r="A7" s="178">
        <v>300318</v>
      </c>
      <c r="B7" s="171" t="s">
        <v>33</v>
      </c>
      <c r="C7" s="219" t="s">
        <v>34</v>
      </c>
      <c r="D7" s="219"/>
      <c r="E7" s="184" t="s">
        <v>36</v>
      </c>
      <c r="F7" s="183"/>
      <c r="G7" s="133"/>
      <c r="H7" s="133"/>
      <c r="I7" s="133"/>
      <c r="J7" s="133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95"/>
      <c r="Y7" s="171"/>
      <c r="Z7" s="183"/>
      <c r="AA7" s="20"/>
      <c r="AB7" s="20"/>
      <c r="AC7" s="20"/>
    </row>
    <row r="8" spans="1:29" s="2" customFormat="1" ht="21.95" hidden="1" customHeight="1">
      <c r="A8" s="178">
        <v>300319</v>
      </c>
      <c r="B8" s="171" t="s">
        <v>33</v>
      </c>
      <c r="C8" s="219" t="s">
        <v>34</v>
      </c>
      <c r="D8" s="219"/>
      <c r="E8" s="184" t="s">
        <v>37</v>
      </c>
      <c r="F8" s="183"/>
      <c r="G8" s="133"/>
      <c r="H8" s="133"/>
      <c r="I8" s="133"/>
      <c r="J8" s="133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95"/>
      <c r="Y8" s="171"/>
      <c r="Z8" s="183"/>
      <c r="AA8" s="20"/>
      <c r="AB8" s="20"/>
      <c r="AC8" s="20"/>
    </row>
    <row r="9" spans="1:29" s="2" customFormat="1" ht="21.95" hidden="1" customHeight="1">
      <c r="A9" s="178">
        <v>300316</v>
      </c>
      <c r="B9" s="171" t="s">
        <v>33</v>
      </c>
      <c r="C9" s="219" t="s">
        <v>34</v>
      </c>
      <c r="D9" s="219"/>
      <c r="E9" s="184" t="s">
        <v>38</v>
      </c>
      <c r="F9" s="183"/>
      <c r="G9" s="133"/>
      <c r="H9" s="133"/>
      <c r="I9" s="133"/>
      <c r="J9" s="133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95"/>
      <c r="Y9" s="171"/>
      <c r="Z9" s="183"/>
      <c r="AA9" s="20"/>
      <c r="AB9" s="20"/>
      <c r="AC9" s="20"/>
    </row>
    <row r="10" spans="1:29" s="2" customFormat="1" ht="21.95" hidden="1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83"/>
      <c r="G10" s="133"/>
      <c r="H10" s="133"/>
      <c r="I10" s="133"/>
      <c r="J10" s="133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95"/>
      <c r="Y10" s="171"/>
      <c r="Z10" s="183"/>
      <c r="AA10" s="20"/>
      <c r="AB10" s="20"/>
      <c r="AC10" s="20"/>
    </row>
    <row r="11" spans="1:29" s="2" customFormat="1" ht="21.95" hidden="1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83"/>
      <c r="G11" s="133"/>
      <c r="H11" s="133"/>
      <c r="I11" s="133"/>
      <c r="J11" s="133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95"/>
      <c r="Y11" s="171"/>
      <c r="Z11" s="183"/>
      <c r="AA11" s="20"/>
      <c r="AB11" s="20"/>
      <c r="AC11" s="20"/>
    </row>
    <row r="12" spans="1:29" s="2" customFormat="1" ht="21.95" hidden="1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83"/>
      <c r="G12" s="133"/>
      <c r="H12" s="133"/>
      <c r="I12" s="133"/>
      <c r="J12" s="133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95"/>
      <c r="Y12" s="171"/>
      <c r="Z12" s="183"/>
      <c r="AA12" s="20"/>
      <c r="AB12" s="20"/>
      <c r="AC12" s="20"/>
    </row>
    <row r="13" spans="1:29" s="2" customFormat="1" ht="21.95" hidden="1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83"/>
      <c r="G13" s="133"/>
      <c r="H13" s="133"/>
      <c r="I13" s="133"/>
      <c r="J13" s="133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95"/>
      <c r="Y13" s="171"/>
      <c r="Z13" s="183"/>
      <c r="AA13" s="20"/>
      <c r="AB13" s="20"/>
      <c r="AC13" s="20"/>
    </row>
    <row r="14" spans="1:29" s="2" customFormat="1" ht="21.95" hidden="1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83"/>
      <c r="G14" s="133"/>
      <c r="H14" s="133"/>
      <c r="I14" s="133"/>
      <c r="J14" s="133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95"/>
      <c r="Y14" s="171"/>
      <c r="Z14" s="183"/>
      <c r="AA14" s="20"/>
      <c r="AB14" s="20"/>
      <c r="AC14" s="20"/>
    </row>
    <row r="15" spans="1:29" s="2" customFormat="1" ht="21.95" hidden="1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83"/>
      <c r="G15" s="133"/>
      <c r="H15" s="133"/>
      <c r="I15" s="133"/>
      <c r="J15" s="133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95"/>
      <c r="Y15" s="171"/>
      <c r="Z15" s="183"/>
      <c r="AA15" s="20"/>
      <c r="AB15" s="20"/>
      <c r="AC15" s="20"/>
    </row>
    <row r="16" spans="1:29" s="2" customFormat="1" ht="21" hidden="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83"/>
      <c r="G16" s="133"/>
      <c r="H16" s="133"/>
      <c r="I16" s="133"/>
      <c r="J16" s="133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196"/>
      <c r="Y16" s="20"/>
      <c r="Z16" s="20"/>
      <c r="AA16" s="20"/>
      <c r="AB16" s="20"/>
      <c r="AC16" s="20"/>
    </row>
    <row r="17" spans="1:29" s="2" customFormat="1" ht="21.95" hidden="1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83"/>
      <c r="G17" s="133"/>
      <c r="H17" s="133"/>
      <c r="I17" s="133"/>
      <c r="J17" s="133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196"/>
      <c r="Y17" s="20"/>
      <c r="Z17" s="20"/>
      <c r="AA17" s="20"/>
      <c r="AB17" s="20"/>
      <c r="AC17" s="20"/>
    </row>
    <row r="18" spans="1:29" s="2" customFormat="1" ht="21.95" hidden="1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83"/>
      <c r="G18" s="133"/>
      <c r="H18" s="133"/>
      <c r="I18" s="133"/>
      <c r="J18" s="133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196"/>
      <c r="Y18" s="20"/>
      <c r="Z18" s="20"/>
      <c r="AA18" s="20"/>
      <c r="AB18" s="20"/>
      <c r="AC18" s="20"/>
    </row>
    <row r="19" spans="1:29" s="2" customFormat="1" ht="21.95" hidden="1" customHeight="1">
      <c r="A19" s="178">
        <v>300269</v>
      </c>
      <c r="B19" s="171" t="s">
        <v>43</v>
      </c>
      <c r="C19" s="219" t="s">
        <v>45</v>
      </c>
      <c r="D19" s="219"/>
      <c r="E19" s="184"/>
      <c r="F19" s="183"/>
      <c r="G19" s="133"/>
      <c r="H19" s="133"/>
      <c r="I19" s="133"/>
      <c r="J19" s="133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196"/>
      <c r="Y19" s="20"/>
      <c r="Z19" s="20"/>
      <c r="AA19" s="20"/>
      <c r="AB19" s="20"/>
      <c r="AC19" s="20"/>
    </row>
    <row r="20" spans="1:29" s="2" customFormat="1" ht="21.95" hidden="1" customHeight="1">
      <c r="A20" s="178"/>
      <c r="B20" s="171"/>
      <c r="C20" s="219" t="s">
        <v>46</v>
      </c>
      <c r="D20" s="219"/>
      <c r="E20" s="184" t="s">
        <v>47</v>
      </c>
      <c r="F20" s="183"/>
      <c r="G20" s="133"/>
      <c r="H20" s="133"/>
      <c r="I20" s="133"/>
      <c r="J20" s="133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196"/>
      <c r="Y20" s="20"/>
      <c r="Z20" s="20"/>
      <c r="AA20" s="20"/>
      <c r="AB20" s="20"/>
      <c r="AC20" s="20"/>
    </row>
    <row r="21" spans="1:29" s="2" customFormat="1" ht="21.95" hidden="1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83"/>
      <c r="G21" s="133"/>
      <c r="H21" s="133"/>
      <c r="I21" s="133"/>
      <c r="J21" s="133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196"/>
      <c r="Y21" s="20"/>
      <c r="Z21" s="20"/>
      <c r="AA21" s="20"/>
      <c r="AB21" s="20"/>
      <c r="AC21" s="20"/>
    </row>
    <row r="22" spans="1:29" s="2" customFormat="1" ht="21.95" hidden="1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83"/>
      <c r="G22" s="133"/>
      <c r="H22" s="133"/>
      <c r="I22" s="133"/>
      <c r="J22" s="133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196"/>
      <c r="Y22" s="20"/>
      <c r="Z22" s="20"/>
      <c r="AA22" s="20"/>
      <c r="AB22" s="20"/>
      <c r="AC22" s="20"/>
    </row>
    <row r="23" spans="1:29" s="2" customFormat="1" ht="21.95" hidden="1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83"/>
      <c r="G23" s="133"/>
      <c r="H23" s="133"/>
      <c r="I23" s="133"/>
      <c r="J23" s="133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196"/>
      <c r="Y23" s="20"/>
      <c r="Z23" s="20"/>
      <c r="AA23" s="20"/>
      <c r="AB23" s="20"/>
      <c r="AC23" s="20"/>
    </row>
    <row r="24" spans="1:29" s="2" customFormat="1" ht="21.95" hidden="1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83"/>
      <c r="G24" s="133"/>
      <c r="H24" s="133"/>
      <c r="I24" s="133"/>
      <c r="J24" s="133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196"/>
      <c r="Y24" s="20"/>
      <c r="Z24" s="20"/>
      <c r="AA24" s="20"/>
      <c r="AB24" s="20"/>
      <c r="AC24" s="20"/>
    </row>
    <row r="25" spans="1:29" s="2" customFormat="1" ht="21.95" hidden="1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83"/>
      <c r="G25" s="133"/>
      <c r="H25" s="133"/>
      <c r="I25" s="133"/>
      <c r="J25" s="133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196"/>
      <c r="Y25" s="20"/>
      <c r="Z25" s="20"/>
      <c r="AA25" s="20"/>
      <c r="AB25" s="20"/>
      <c r="AC25" s="20"/>
    </row>
    <row r="26" spans="1:29" s="2" customFormat="1" ht="21.95" hidden="1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83"/>
      <c r="G26" s="133"/>
      <c r="H26" s="133"/>
      <c r="I26" s="133"/>
      <c r="J26" s="133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196"/>
      <c r="Y26" s="20"/>
      <c r="Z26" s="20"/>
      <c r="AA26" s="20"/>
      <c r="AB26" s="20"/>
      <c r="AC26" s="20"/>
    </row>
    <row r="27" spans="1:29" s="2" customFormat="1" ht="21.95" hidden="1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83"/>
      <c r="G27" s="133"/>
      <c r="H27" s="133"/>
      <c r="I27" s="133"/>
      <c r="J27" s="133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196"/>
      <c r="Y27" s="20"/>
      <c r="Z27" s="20"/>
      <c r="AA27" s="20"/>
      <c r="AB27" s="20"/>
      <c r="AC27" s="20"/>
    </row>
    <row r="28" spans="1:29" s="2" customFormat="1" ht="21" hidden="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83"/>
      <c r="G28" s="133"/>
      <c r="H28" s="133"/>
      <c r="I28" s="133"/>
      <c r="J28" s="133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196"/>
      <c r="Y28" s="20"/>
      <c r="Z28" s="20"/>
      <c r="AA28" s="20"/>
      <c r="AB28" s="20"/>
      <c r="AC28" s="20"/>
    </row>
    <row r="29" spans="1:29" s="2" customFormat="1" ht="21" hidden="1" customHeight="1">
      <c r="A29" s="178">
        <v>3000435</v>
      </c>
      <c r="B29" s="171" t="s">
        <v>43</v>
      </c>
      <c r="C29" s="219" t="s">
        <v>51</v>
      </c>
      <c r="D29" s="219"/>
      <c r="E29" s="184" t="s">
        <v>301</v>
      </c>
      <c r="F29" s="183"/>
      <c r="G29" s="133"/>
      <c r="H29" s="133"/>
      <c r="I29" s="133"/>
      <c r="J29" s="133"/>
      <c r="K29" s="182">
        <f t="shared" si="0"/>
        <v>0</v>
      </c>
      <c r="L29" s="182">
        <f t="shared" si="1"/>
        <v>0</v>
      </c>
      <c r="M29" s="182">
        <v>524.6</v>
      </c>
      <c r="N29" s="182">
        <f>+M29*1000/(25.4*20*15*60)*T29</f>
        <v>3.4422572178477688</v>
      </c>
      <c r="O29" s="182"/>
      <c r="P29" s="182">
        <f t="shared" si="2"/>
        <v>0</v>
      </c>
      <c r="Q29" s="182"/>
      <c r="R29" s="19">
        <f t="shared" si="3"/>
        <v>0</v>
      </c>
      <c r="S29" s="182">
        <f t="shared" si="4"/>
        <v>0</v>
      </c>
      <c r="T29" s="20">
        <v>3</v>
      </c>
      <c r="U29" s="20"/>
      <c r="V29" s="179"/>
      <c r="W29" s="20"/>
      <c r="X29" s="196"/>
      <c r="Y29" s="20"/>
      <c r="Z29" s="20"/>
      <c r="AA29" s="20"/>
      <c r="AB29" s="20"/>
      <c r="AC29" s="20"/>
    </row>
    <row r="30" spans="1:29" s="2" customFormat="1" ht="21.95" hidden="1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83"/>
      <c r="G30" s="133"/>
      <c r="H30" s="133"/>
      <c r="I30" s="133"/>
      <c r="J30" s="133"/>
      <c r="K30" s="182">
        <f t="shared" si="0"/>
        <v>0</v>
      </c>
      <c r="L30" s="182">
        <f t="shared" si="1"/>
        <v>0</v>
      </c>
      <c r="M30" s="182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196"/>
      <c r="Y30" s="20"/>
      <c r="Z30" s="20"/>
      <c r="AA30" s="20"/>
      <c r="AB30" s="20"/>
      <c r="AC30" s="20"/>
    </row>
    <row r="31" spans="1:29" s="2" customFormat="1" ht="21.95" hidden="1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83"/>
      <c r="G31" s="133"/>
      <c r="H31" s="133"/>
      <c r="I31" s="133"/>
      <c r="J31" s="133"/>
      <c r="K31" s="182">
        <f t="shared" si="0"/>
        <v>0</v>
      </c>
      <c r="L31" s="182">
        <f t="shared" si="1"/>
        <v>0</v>
      </c>
      <c r="M31" s="182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196"/>
      <c r="Y31" s="20"/>
      <c r="Z31" s="20"/>
      <c r="AA31" s="20"/>
      <c r="AB31" s="20"/>
      <c r="AC31" s="20"/>
    </row>
    <row r="32" spans="1:29" s="2" customFormat="1" ht="21.95" hidden="1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83"/>
      <c r="G32" s="133"/>
      <c r="H32" s="133"/>
      <c r="I32" s="133"/>
      <c r="J32" s="133"/>
      <c r="K32" s="182">
        <f t="shared" si="0"/>
        <v>0</v>
      </c>
      <c r="L32" s="182">
        <f t="shared" si="1"/>
        <v>0</v>
      </c>
      <c r="M32" s="182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196"/>
      <c r="Y32" s="20"/>
      <c r="Z32" s="20"/>
      <c r="AA32" s="20"/>
      <c r="AB32" s="20"/>
      <c r="AC32" s="20"/>
    </row>
    <row r="33" spans="1:29" s="2" customFormat="1" ht="21.95" customHeight="1">
      <c r="A33" s="178">
        <v>300027</v>
      </c>
      <c r="B33" s="171" t="s">
        <v>314</v>
      </c>
      <c r="C33" s="219" t="s">
        <v>56</v>
      </c>
      <c r="D33" s="219"/>
      <c r="E33" s="184" t="s">
        <v>54</v>
      </c>
      <c r="F33" s="183">
        <v>2025</v>
      </c>
      <c r="G33" s="133">
        <v>6</v>
      </c>
      <c r="H33" s="133"/>
      <c r="I33" s="133">
        <f>6-J33/500</f>
        <v>5</v>
      </c>
      <c r="J33" s="133">
        <v>500</v>
      </c>
      <c r="K33" s="182">
        <f t="shared" si="0"/>
        <v>3302.3999999999996</v>
      </c>
      <c r="L33" s="182">
        <f t="shared" si="1"/>
        <v>2752</v>
      </c>
      <c r="M33" s="182">
        <v>550.4</v>
      </c>
      <c r="N33" s="182">
        <f>+M33*1000/(31*20*15*60)*T33</f>
        <v>2.9591397849462364</v>
      </c>
      <c r="O33" s="182">
        <v>0.5</v>
      </c>
      <c r="P33" s="182">
        <f t="shared" si="2"/>
        <v>15.795698924731182</v>
      </c>
      <c r="Q33" s="182">
        <v>9</v>
      </c>
      <c r="R33" s="19">
        <f t="shared" si="3"/>
        <v>18</v>
      </c>
      <c r="S33" s="182">
        <f t="shared" si="4"/>
        <v>2.2043010752688179</v>
      </c>
      <c r="T33" s="20">
        <v>3</v>
      </c>
      <c r="U33" s="20">
        <v>2</v>
      </c>
      <c r="V33" s="179">
        <f t="array" ref="V33">IF(ISERROR(L33/K33),"",L33/K33)</f>
        <v>0.83333333333333337</v>
      </c>
      <c r="W33" s="196">
        <f>40/60*2</f>
        <v>1.3333333333333333</v>
      </c>
      <c r="X33" s="196">
        <f>226/60*2</f>
        <v>7.5333333333333332</v>
      </c>
      <c r="Y33" s="20"/>
      <c r="Z33" s="20"/>
      <c r="AA33" s="20"/>
      <c r="AB33" s="20"/>
      <c r="AC33" s="20"/>
    </row>
    <row r="34" spans="1:29" s="2" customFormat="1" ht="21.95" hidden="1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83"/>
      <c r="G34" s="133"/>
      <c r="H34" s="133"/>
      <c r="I34" s="133"/>
      <c r="J34" s="133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196"/>
      <c r="Y34" s="20"/>
      <c r="Z34" s="20"/>
      <c r="AA34" s="20"/>
      <c r="AB34" s="20"/>
      <c r="AC34" s="20"/>
    </row>
    <row r="35" spans="1:29" s="2" customFormat="1" ht="21.95" hidden="1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83"/>
      <c r="G35" s="133"/>
      <c r="H35" s="133"/>
      <c r="I35" s="133"/>
      <c r="J35" s="133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196"/>
      <c r="Y35" s="20"/>
      <c r="Z35" s="20"/>
      <c r="AA35" s="20"/>
      <c r="AB35" s="20"/>
      <c r="AC35" s="20"/>
    </row>
    <row r="36" spans="1:29" s="2" customFormat="1" ht="21.95" customHeight="1">
      <c r="A36" s="178">
        <v>300026</v>
      </c>
      <c r="B36" s="171" t="s">
        <v>314</v>
      </c>
      <c r="C36" s="219" t="s">
        <v>56</v>
      </c>
      <c r="D36" s="219"/>
      <c r="E36" s="184" t="s">
        <v>37</v>
      </c>
      <c r="F36" s="183">
        <v>1994</v>
      </c>
      <c r="G36" s="133">
        <v>8.6999999999999993</v>
      </c>
      <c r="H36" s="133">
        <v>0.7</v>
      </c>
      <c r="I36" s="133">
        <f>8+H36</f>
        <v>8.6999999999999993</v>
      </c>
      <c r="J36" s="133"/>
      <c r="K36" s="182">
        <f t="shared" si="0"/>
        <v>4788.4799999999996</v>
      </c>
      <c r="L36" s="182">
        <f t="shared" si="1"/>
        <v>4788.4799999999996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25.744516129032256</v>
      </c>
      <c r="Q36" s="182">
        <v>13</v>
      </c>
      <c r="R36" s="19">
        <f t="shared" si="3"/>
        <v>26</v>
      </c>
      <c r="S36" s="182">
        <f t="shared" si="4"/>
        <v>0.25548387096774405</v>
      </c>
      <c r="T36" s="20">
        <v>3</v>
      </c>
      <c r="U36" s="20">
        <v>2</v>
      </c>
      <c r="V36" s="179">
        <f t="array" ref="V36">IF(ISERROR(L36/K36),"",L36/K36)</f>
        <v>1</v>
      </c>
      <c r="W36" s="20"/>
      <c r="X36" s="196"/>
      <c r="Y36" s="20"/>
      <c r="Z36" s="20"/>
      <c r="AA36" s="20"/>
      <c r="AB36" s="20"/>
      <c r="AC36" s="20"/>
    </row>
    <row r="37" spans="1:29" s="2" customFormat="1" ht="21.95" hidden="1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83"/>
      <c r="G37" s="133"/>
      <c r="H37" s="133"/>
      <c r="I37" s="133"/>
      <c r="J37" s="133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196"/>
      <c r="Y37" s="20"/>
      <c r="Z37" s="20"/>
      <c r="AA37" s="20"/>
      <c r="AB37" s="20"/>
      <c r="AC37" s="20"/>
    </row>
    <row r="38" spans="1:29" s="2" customFormat="1" ht="21.95" hidden="1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83"/>
      <c r="G38" s="133"/>
      <c r="H38" s="133"/>
      <c r="I38" s="133"/>
      <c r="J38" s="133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196"/>
      <c r="Y38" s="20"/>
      <c r="Z38" s="20"/>
      <c r="AA38" s="20"/>
      <c r="AB38" s="20"/>
      <c r="AC38" s="20"/>
    </row>
    <row r="39" spans="1:29" s="2" customFormat="1" ht="21.95" hidden="1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83"/>
      <c r="G39" s="133"/>
      <c r="H39" s="133"/>
      <c r="I39" s="133"/>
      <c r="J39" s="133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196"/>
      <c r="Y39" s="20"/>
      <c r="Z39" s="20"/>
      <c r="AA39" s="20"/>
      <c r="AB39" s="20"/>
      <c r="AC39" s="20"/>
    </row>
    <row r="40" spans="1:29" s="2" customFormat="1" ht="21.95" hidden="1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83"/>
      <c r="G40" s="133"/>
      <c r="H40" s="133"/>
      <c r="I40" s="133"/>
      <c r="J40" s="133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196"/>
      <c r="Y40" s="20"/>
      <c r="Z40" s="20"/>
      <c r="AA40" s="20"/>
      <c r="AB40" s="20"/>
      <c r="AC40" s="20"/>
    </row>
    <row r="41" spans="1:29" s="2" customFormat="1" ht="21.95" hidden="1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83"/>
      <c r="G41" s="133"/>
      <c r="H41" s="133"/>
      <c r="I41" s="133"/>
      <c r="J41" s="133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196"/>
      <c r="Y41" s="20"/>
      <c r="Z41" s="20"/>
      <c r="AA41" s="20"/>
      <c r="AB41" s="20"/>
      <c r="AC41" s="20"/>
    </row>
    <row r="42" spans="1:29" s="2" customFormat="1" ht="21.95" hidden="1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83"/>
      <c r="G42" s="133"/>
      <c r="H42" s="133"/>
      <c r="I42" s="133"/>
      <c r="J42" s="133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196"/>
      <c r="Y42" s="20"/>
      <c r="Z42" s="20"/>
      <c r="AA42" s="20"/>
      <c r="AB42" s="20"/>
      <c r="AC42" s="20"/>
    </row>
    <row r="43" spans="1:29" s="2" customFormat="1" ht="21.95" hidden="1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83"/>
      <c r="G43" s="133"/>
      <c r="H43" s="133"/>
      <c r="I43" s="133"/>
      <c r="J43" s="133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196"/>
      <c r="Y43" s="20"/>
      <c r="Z43" s="20"/>
      <c r="AA43" s="20"/>
      <c r="AB43" s="20"/>
      <c r="AC43" s="20"/>
    </row>
    <row r="44" spans="1:29" s="2" customFormat="1" ht="21.95" hidden="1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83"/>
      <c r="G44" s="133"/>
      <c r="H44" s="133"/>
      <c r="I44" s="133"/>
      <c r="J44" s="133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196"/>
      <c r="Y44" s="20"/>
      <c r="Z44" s="20"/>
      <c r="AA44" s="20"/>
      <c r="AB44" s="20"/>
      <c r="AC44" s="20"/>
    </row>
    <row r="45" spans="1:29" s="2" customFormat="1" ht="21.95" hidden="1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83"/>
      <c r="G45" s="133"/>
      <c r="H45" s="133"/>
      <c r="I45" s="133"/>
      <c r="J45" s="133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196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33"/>
      <c r="H46" s="133"/>
      <c r="I46" s="133"/>
      <c r="J46" s="133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196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33"/>
      <c r="H47" s="133"/>
      <c r="I47" s="133"/>
      <c r="J47" s="133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196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33"/>
      <c r="H48" s="133"/>
      <c r="I48" s="133"/>
      <c r="J48" s="133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196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33"/>
      <c r="H49" s="133"/>
      <c r="I49" s="133"/>
      <c r="J49" s="133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196"/>
      <c r="Y49" s="20"/>
      <c r="Z49" s="20"/>
      <c r="AA49" s="20"/>
      <c r="AB49" s="20"/>
      <c r="AC49" s="20"/>
    </row>
    <row r="50" spans="1:29" s="2" customFormat="1" ht="21.95" hidden="1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83"/>
      <c r="G50" s="133"/>
      <c r="H50" s="133"/>
      <c r="I50" s="133"/>
      <c r="J50" s="133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196"/>
      <c r="Y50" s="20"/>
      <c r="Z50" s="20"/>
      <c r="AA50" s="20"/>
      <c r="AB50" s="20"/>
      <c r="AC50" s="20"/>
    </row>
    <row r="51" spans="1:29" s="2" customFormat="1" ht="21.95" hidden="1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83"/>
      <c r="G51" s="133"/>
      <c r="H51" s="133"/>
      <c r="I51" s="133"/>
      <c r="J51" s="133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196"/>
      <c r="Y51" s="20"/>
      <c r="Z51" s="20"/>
      <c r="AA51" s="20"/>
      <c r="AB51" s="20"/>
      <c r="AC51" s="20"/>
    </row>
    <row r="52" spans="1:29" s="2" customFormat="1" ht="21.95" hidden="1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83"/>
      <c r="G52" s="133"/>
      <c r="H52" s="133"/>
      <c r="I52" s="133"/>
      <c r="J52" s="133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196"/>
      <c r="Y52" s="20"/>
      <c r="Z52" s="20"/>
      <c r="AA52" s="20"/>
      <c r="AB52" s="20"/>
      <c r="AC52" s="20"/>
    </row>
    <row r="53" spans="1:29" s="2" customFormat="1" ht="21.95" hidden="1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83"/>
      <c r="G53" s="133"/>
      <c r="H53" s="133"/>
      <c r="I53" s="133"/>
      <c r="J53" s="133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196"/>
      <c r="Y53" s="20"/>
      <c r="Z53" s="20"/>
      <c r="AA53" s="20"/>
      <c r="AB53" s="20"/>
      <c r="AC53" s="20"/>
    </row>
    <row r="54" spans="1:29" s="2" customFormat="1" ht="21.95" hidden="1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83"/>
      <c r="G54" s="133"/>
      <c r="H54" s="133"/>
      <c r="I54" s="133"/>
      <c r="J54" s="133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196"/>
      <c r="Y54" s="20"/>
      <c r="Z54" s="20"/>
      <c r="AA54" s="20"/>
      <c r="AB54" s="20"/>
      <c r="AC54" s="20"/>
    </row>
    <row r="55" spans="1:29" s="2" customFormat="1" ht="21.95" hidden="1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83"/>
      <c r="G55" s="133"/>
      <c r="H55" s="133"/>
      <c r="I55" s="133"/>
      <c r="J55" s="133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196"/>
      <c r="Y55" s="20"/>
      <c r="Z55" s="20"/>
      <c r="AA55" s="20"/>
      <c r="AB55" s="20"/>
      <c r="AC55" s="20"/>
    </row>
    <row r="56" spans="1:29" s="2" customFormat="1" ht="21.95" hidden="1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83"/>
      <c r="G56" s="133"/>
      <c r="H56" s="133"/>
      <c r="I56" s="133"/>
      <c r="J56" s="133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196"/>
      <c r="Y56" s="20"/>
      <c r="Z56" s="20"/>
      <c r="AA56" s="20"/>
      <c r="AB56" s="20"/>
      <c r="AC56" s="20"/>
    </row>
    <row r="57" spans="1:29" s="2" customFormat="1" ht="21.95" hidden="1" customHeight="1">
      <c r="A57" s="178">
        <v>300436</v>
      </c>
      <c r="B57" s="171" t="s">
        <v>67</v>
      </c>
      <c r="C57" s="219" t="s">
        <v>75</v>
      </c>
      <c r="D57" s="219" t="s">
        <v>76</v>
      </c>
      <c r="E57" s="184" t="s">
        <v>301</v>
      </c>
      <c r="F57" s="183"/>
      <c r="G57" s="133"/>
      <c r="H57" s="133"/>
      <c r="I57" s="133"/>
      <c r="J57" s="133"/>
      <c r="K57" s="182">
        <f t="shared" si="0"/>
        <v>0</v>
      </c>
      <c r="L57" s="182">
        <f t="shared" si="1"/>
        <v>0</v>
      </c>
      <c r="M57" s="182">
        <v>545.9</v>
      </c>
      <c r="N57" s="182">
        <f>+M57*1000/(41.5*10*16*60)*T57</f>
        <v>2.7404618473895583</v>
      </c>
      <c r="O57" s="182"/>
      <c r="P57" s="182">
        <f t="shared" si="2"/>
        <v>0</v>
      </c>
      <c r="Q57" s="182"/>
      <c r="R57" s="19">
        <f t="shared" si="3"/>
        <v>0</v>
      </c>
      <c r="S57" s="182">
        <f t="shared" si="4"/>
        <v>0</v>
      </c>
      <c r="T57" s="20">
        <v>2</v>
      </c>
      <c r="U57" s="20"/>
      <c r="V57" s="179"/>
      <c r="W57" s="20"/>
      <c r="X57" s="196"/>
      <c r="Y57" s="20"/>
      <c r="Z57" s="20"/>
      <c r="AA57" s="20"/>
      <c r="AB57" s="20"/>
      <c r="AC57" s="20"/>
    </row>
    <row r="58" spans="1:29" s="2" customFormat="1" ht="21.95" customHeight="1">
      <c r="A58" s="178">
        <v>300050</v>
      </c>
      <c r="B58" s="171">
        <v>4503</v>
      </c>
      <c r="C58" s="219" t="s">
        <v>77</v>
      </c>
      <c r="D58" s="219" t="s">
        <v>78</v>
      </c>
      <c r="E58" s="184" t="s">
        <v>79</v>
      </c>
      <c r="F58" s="183">
        <v>2044</v>
      </c>
      <c r="G58" s="133">
        <v>5</v>
      </c>
      <c r="H58" s="133"/>
      <c r="I58" s="133">
        <f>5-J58/350</f>
        <v>4.8571428571428568</v>
      </c>
      <c r="J58" s="133">
        <v>50</v>
      </c>
      <c r="K58" s="182">
        <f t="shared" si="0"/>
        <v>2137.5</v>
      </c>
      <c r="L58" s="182">
        <f t="shared" si="1"/>
        <v>2076.4285714285711</v>
      </c>
      <c r="M58" s="182">
        <v>427.5</v>
      </c>
      <c r="N58" s="182">
        <f>+M58*1000/(45*10*14*60)*T58</f>
        <v>5.6547619047619051</v>
      </c>
      <c r="O58" s="182">
        <v>0.5</v>
      </c>
      <c r="P58" s="182">
        <f t="shared" si="2"/>
        <v>29.965986394557824</v>
      </c>
      <c r="Q58" s="182">
        <v>6</v>
      </c>
      <c r="R58" s="19">
        <f t="shared" si="3"/>
        <v>30</v>
      </c>
      <c r="S58" s="182">
        <f t="shared" si="4"/>
        <v>3.4013605442176242E-2</v>
      </c>
      <c r="T58" s="20">
        <v>5</v>
      </c>
      <c r="U58" s="20">
        <v>5</v>
      </c>
      <c r="V58" s="179">
        <f t="array" ref="V58">IF(ISERROR(L58/K58),"",L58/K58)</f>
        <v>0.97142857142857131</v>
      </c>
      <c r="W58" s="20"/>
      <c r="X58" s="196"/>
      <c r="Y58" s="20"/>
      <c r="Z58" s="20"/>
      <c r="AA58" s="20"/>
      <c r="AB58" s="20"/>
      <c r="AC58" s="20"/>
    </row>
    <row r="59" spans="1:29" s="2" customFormat="1" ht="21.95" hidden="1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83"/>
      <c r="G59" s="133"/>
      <c r="H59" s="133"/>
      <c r="I59" s="133"/>
      <c r="J59" s="133"/>
      <c r="K59" s="182">
        <f t="shared" si="0"/>
        <v>0</v>
      </c>
      <c r="L59" s="182">
        <f t="shared" si="1"/>
        <v>0</v>
      </c>
      <c r="M59" s="182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196"/>
      <c r="Y59" s="20"/>
      <c r="Z59" s="20"/>
      <c r="AA59" s="20"/>
      <c r="AB59" s="20"/>
      <c r="AC59" s="20"/>
    </row>
    <row r="60" spans="1:29" s="2" customFormat="1" ht="21.95" hidden="1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83"/>
      <c r="G60" s="133"/>
      <c r="H60" s="133"/>
      <c r="I60" s="133"/>
      <c r="J60" s="133"/>
      <c r="K60" s="182">
        <f t="shared" si="0"/>
        <v>0</v>
      </c>
      <c r="L60" s="182">
        <f t="shared" si="1"/>
        <v>0</v>
      </c>
      <c r="M60" s="182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 t="str">
        <f t="array" ref="V60">IF(ISERROR(L60/K60),"",L60/K60)</f>
        <v/>
      </c>
      <c r="W60" s="20"/>
      <c r="X60" s="196"/>
      <c r="Y60" s="20"/>
      <c r="Z60" s="20"/>
      <c r="AA60" s="20"/>
      <c r="AB60" s="20"/>
      <c r="AC60" s="20"/>
    </row>
    <row r="61" spans="1:29" s="2" customFormat="1" ht="21.95" customHeight="1">
      <c r="A61" s="178">
        <v>300421</v>
      </c>
      <c r="B61" s="171">
        <v>4503</v>
      </c>
      <c r="C61" s="230" t="s">
        <v>293</v>
      </c>
      <c r="D61" s="231"/>
      <c r="E61" s="184" t="s">
        <v>80</v>
      </c>
      <c r="F61" s="183">
        <v>2038</v>
      </c>
      <c r="G61" s="133">
        <v>1.86</v>
      </c>
      <c r="H61" s="133">
        <v>0.8571428571428571</v>
      </c>
      <c r="I61" s="133">
        <f>1+H61</f>
        <v>1.8571428571428572</v>
      </c>
      <c r="J61" s="133"/>
      <c r="K61" s="182">
        <f t="shared" si="0"/>
        <v>799.42800000000011</v>
      </c>
      <c r="L61" s="182">
        <f t="shared" si="1"/>
        <v>798.2</v>
      </c>
      <c r="M61" s="182">
        <v>429.8</v>
      </c>
      <c r="N61" s="182">
        <f>+M61*1000/(45*10*13*60)*T61</f>
        <v>3.6735042735042738</v>
      </c>
      <c r="O61" s="182"/>
      <c r="P61" s="182">
        <f t="shared" si="2"/>
        <v>6.8222222222222229</v>
      </c>
      <c r="Q61" s="182">
        <v>5</v>
      </c>
      <c r="R61" s="19">
        <f t="shared" si="3"/>
        <v>25</v>
      </c>
      <c r="S61" s="182">
        <f t="shared" si="4"/>
        <v>18.177777777777777</v>
      </c>
      <c r="T61" s="20">
        <v>3</v>
      </c>
      <c r="U61" s="20">
        <v>5</v>
      </c>
      <c r="V61" s="179">
        <f t="array" ref="V61">IF(ISERROR(L61/K61),"",L61/K61)</f>
        <v>0.99846390168970811</v>
      </c>
      <c r="W61" s="20"/>
      <c r="X61" s="196">
        <f>65/60*5</f>
        <v>5.4166666666666661</v>
      </c>
      <c r="Y61" s="20"/>
      <c r="Z61" s="20"/>
      <c r="AA61" s="20"/>
      <c r="AB61" s="20"/>
      <c r="AC61" s="20"/>
    </row>
    <row r="62" spans="1:29" s="2" customFormat="1" ht="21.95" hidden="1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83"/>
      <c r="G62" s="133"/>
      <c r="H62" s="133"/>
      <c r="I62" s="133"/>
      <c r="J62" s="133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83"/>
      <c r="G63" s="133"/>
      <c r="H63" s="133"/>
      <c r="I63" s="133"/>
      <c r="J63" s="133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83"/>
      <c r="G64" s="133"/>
      <c r="H64" s="133"/>
      <c r="I64" s="133"/>
      <c r="J64" s="133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83"/>
      <c r="G65" s="133"/>
      <c r="H65" s="133"/>
      <c r="I65" s="133"/>
      <c r="J65" s="133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83"/>
      <c r="G66" s="133"/>
      <c r="H66" s="133"/>
      <c r="I66" s="133"/>
      <c r="J66" s="133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83"/>
      <c r="G67" s="133"/>
      <c r="H67" s="133"/>
      <c r="I67" s="133"/>
      <c r="J67" s="133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83"/>
      <c r="G68" s="133"/>
      <c r="H68" s="133"/>
      <c r="I68" s="133"/>
      <c r="J68" s="133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83"/>
      <c r="G69" s="133"/>
      <c r="H69" s="133"/>
      <c r="I69" s="133"/>
      <c r="J69" s="133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83"/>
      <c r="G70" s="133"/>
      <c r="H70" s="133"/>
      <c r="I70" s="133"/>
      <c r="J70" s="133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83"/>
      <c r="G71" s="133"/>
      <c r="H71" s="133"/>
      <c r="I71" s="133"/>
      <c r="J71" s="133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83"/>
      <c r="G72" s="133"/>
      <c r="H72" s="133"/>
      <c r="I72" s="133"/>
      <c r="J72" s="133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83"/>
      <c r="G73" s="133"/>
      <c r="H73" s="133"/>
      <c r="I73" s="133"/>
      <c r="J73" s="133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178">
        <v>300389</v>
      </c>
      <c r="B74" s="171" t="s">
        <v>87</v>
      </c>
      <c r="C74" s="219" t="s">
        <v>308</v>
      </c>
      <c r="D74" s="219" t="s">
        <v>89</v>
      </c>
      <c r="E74" s="184" t="s">
        <v>35</v>
      </c>
      <c r="F74" s="183"/>
      <c r="G74" s="133"/>
      <c r="H74" s="133"/>
      <c r="I74" s="133"/>
      <c r="J74" s="133"/>
      <c r="K74" s="182">
        <f t="shared" si="0"/>
        <v>0</v>
      </c>
      <c r="L74" s="182">
        <f t="shared" si="1"/>
        <v>0</v>
      </c>
      <c r="M74" s="182">
        <v>429.4</v>
      </c>
      <c r="N74" s="182">
        <f>+M74*1000/(47*1*110*60)*T74</f>
        <v>5.5370728562217923</v>
      </c>
      <c r="O74" s="182"/>
      <c r="P74" s="182">
        <f t="shared" si="2"/>
        <v>0</v>
      </c>
      <c r="Q74" s="182"/>
      <c r="R74" s="19">
        <f t="shared" si="3"/>
        <v>0</v>
      </c>
      <c r="S74" s="182">
        <f t="shared" si="4"/>
        <v>0</v>
      </c>
      <c r="T74" s="20">
        <v>4</v>
      </c>
      <c r="U74" s="20"/>
      <c r="V74" s="179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83"/>
      <c r="G75" s="133"/>
      <c r="H75" s="133"/>
      <c r="I75" s="133"/>
      <c r="J75" s="133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83"/>
      <c r="G76" s="133"/>
      <c r="H76" s="133"/>
      <c r="I76" s="133"/>
      <c r="J76" s="133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83"/>
      <c r="G77" s="133"/>
      <c r="H77" s="133"/>
      <c r="I77" s="133"/>
      <c r="J77" s="133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83"/>
      <c r="G78" s="133"/>
      <c r="H78" s="133"/>
      <c r="I78" s="133"/>
      <c r="J78" s="133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83"/>
      <c r="G79" s="133"/>
      <c r="H79" s="133"/>
      <c r="I79" s="133"/>
      <c r="J79" s="133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83"/>
      <c r="G80" s="133"/>
      <c r="H80" s="133"/>
      <c r="I80" s="133"/>
      <c r="J80" s="133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83"/>
      <c r="G81" s="133"/>
      <c r="H81" s="133"/>
      <c r="I81" s="133"/>
      <c r="J81" s="133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83"/>
      <c r="G82" s="133"/>
      <c r="H82" s="133"/>
      <c r="I82" s="133"/>
      <c r="J82" s="133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78">
        <v>300437</v>
      </c>
      <c r="B83" s="171" t="s">
        <v>87</v>
      </c>
      <c r="C83" s="219" t="s">
        <v>92</v>
      </c>
      <c r="D83" s="219" t="s">
        <v>93</v>
      </c>
      <c r="E83" s="184" t="s">
        <v>302</v>
      </c>
      <c r="F83" s="183"/>
      <c r="G83" s="133"/>
      <c r="H83" s="133"/>
      <c r="I83" s="133"/>
      <c r="J83" s="133"/>
      <c r="K83" s="182">
        <f t="shared" si="7"/>
        <v>0</v>
      </c>
      <c r="L83" s="182">
        <f t="shared" si="8"/>
        <v>0</v>
      </c>
      <c r="M83" s="182">
        <v>438.8</v>
      </c>
      <c r="N83" s="182">
        <f>+M83*1000/(50*1*120*60)*T83</f>
        <v>4.8755555555555556</v>
      </c>
      <c r="O83" s="182"/>
      <c r="P83" s="182">
        <f t="shared" si="9"/>
        <v>0</v>
      </c>
      <c r="Q83" s="182"/>
      <c r="R83" s="19">
        <f t="shared" si="10"/>
        <v>0</v>
      </c>
      <c r="S83" s="182">
        <f t="shared" si="11"/>
        <v>0</v>
      </c>
      <c r="T83" s="20">
        <v>4</v>
      </c>
      <c r="U83" s="20"/>
      <c r="V83" s="179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33"/>
      <c r="H84" s="133"/>
      <c r="I84" s="133"/>
      <c r="J84" s="133"/>
      <c r="K84" s="182">
        <f t="shared" si="7"/>
        <v>0</v>
      </c>
      <c r="L84" s="182">
        <f t="shared" si="8"/>
        <v>0</v>
      </c>
      <c r="M84" s="182">
        <v>415.5</v>
      </c>
      <c r="N84" s="182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33"/>
      <c r="H85" s="133"/>
      <c r="I85" s="133"/>
      <c r="J85" s="133"/>
      <c r="K85" s="182">
        <f t="shared" si="7"/>
        <v>0</v>
      </c>
      <c r="L85" s="182">
        <f t="shared" si="8"/>
        <v>0</v>
      </c>
      <c r="M85" s="182">
        <v>415.5</v>
      </c>
      <c r="N85" s="182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33"/>
      <c r="H86" s="133"/>
      <c r="I86" s="133"/>
      <c r="J86" s="133"/>
      <c r="K86" s="182">
        <f t="shared" si="7"/>
        <v>0</v>
      </c>
      <c r="L86" s="182">
        <f t="shared" si="8"/>
        <v>0</v>
      </c>
      <c r="M86" s="182">
        <v>415.5</v>
      </c>
      <c r="N86" s="182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33"/>
      <c r="H87" s="133"/>
      <c r="I87" s="133"/>
      <c r="J87" s="133"/>
      <c r="K87" s="182">
        <f t="shared" si="7"/>
        <v>0</v>
      </c>
      <c r="L87" s="182">
        <f t="shared" si="8"/>
        <v>0</v>
      </c>
      <c r="M87" s="182">
        <v>415.5</v>
      </c>
      <c r="N87" s="182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83"/>
      <c r="G88" s="133"/>
      <c r="H88" s="133"/>
      <c r="I88" s="133"/>
      <c r="J88" s="133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83"/>
      <c r="G89" s="133"/>
      <c r="H89" s="133"/>
      <c r="I89" s="133"/>
      <c r="J89" s="133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83"/>
      <c r="G90" s="133"/>
      <c r="H90" s="133"/>
      <c r="I90" s="133"/>
      <c r="J90" s="133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83"/>
      <c r="G91" s="133"/>
      <c r="H91" s="133"/>
      <c r="I91" s="133"/>
      <c r="J91" s="133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83"/>
      <c r="G92" s="133"/>
      <c r="H92" s="133"/>
      <c r="I92" s="133"/>
      <c r="J92" s="133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83"/>
      <c r="G93" s="133"/>
      <c r="H93" s="133"/>
      <c r="I93" s="133"/>
      <c r="J93" s="133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83"/>
      <c r="G94" s="133"/>
      <c r="H94" s="133"/>
      <c r="I94" s="133"/>
      <c r="J94" s="133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83"/>
      <c r="G95" s="133"/>
      <c r="H95" s="133"/>
      <c r="I95" s="133"/>
      <c r="J95" s="133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83"/>
      <c r="G96" s="133"/>
      <c r="H96" s="133"/>
      <c r="I96" s="133"/>
      <c r="J96" s="133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78">
        <v>300392</v>
      </c>
      <c r="B97" s="171" t="s">
        <v>87</v>
      </c>
      <c r="C97" s="230" t="s">
        <v>103</v>
      </c>
      <c r="D97" s="231"/>
      <c r="E97" s="184" t="s">
        <v>99</v>
      </c>
      <c r="F97" s="178"/>
      <c r="G97" s="133"/>
      <c r="H97" s="133"/>
      <c r="I97" s="133"/>
      <c r="J97" s="133"/>
      <c r="K97" s="182">
        <f t="shared" si="7"/>
        <v>0</v>
      </c>
      <c r="L97" s="182">
        <f t="shared" si="8"/>
        <v>0</v>
      </c>
      <c r="M97" s="182">
        <v>523</v>
      </c>
      <c r="N97" s="182">
        <f>+M97*1000/(98*1*80*60)*T97</f>
        <v>7.7827380952380958</v>
      </c>
      <c r="O97" s="182"/>
      <c r="P97" s="182">
        <f t="shared" si="9"/>
        <v>0</v>
      </c>
      <c r="Q97" s="182"/>
      <c r="R97" s="19">
        <f t="shared" si="10"/>
        <v>0</v>
      </c>
      <c r="S97" s="182">
        <f t="shared" si="11"/>
        <v>0</v>
      </c>
      <c r="T97" s="20">
        <v>7</v>
      </c>
      <c r="U97" s="20"/>
      <c r="V97" s="179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83"/>
      <c r="G98" s="133"/>
      <c r="H98" s="133"/>
      <c r="I98" s="133"/>
      <c r="J98" s="133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83"/>
      <c r="G99" s="133"/>
      <c r="H99" s="133"/>
      <c r="I99" s="133"/>
      <c r="J99" s="133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83"/>
      <c r="G100" s="133"/>
      <c r="H100" s="133"/>
      <c r="I100" s="133"/>
      <c r="J100" s="133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83"/>
      <c r="G101" s="133"/>
      <c r="H101" s="133"/>
      <c r="I101" s="133"/>
      <c r="J101" s="133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83"/>
      <c r="G102" s="133"/>
      <c r="H102" s="133"/>
      <c r="I102" s="133"/>
      <c r="J102" s="133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83"/>
      <c r="G103" s="133"/>
      <c r="H103" s="133"/>
      <c r="I103" s="133"/>
      <c r="J103" s="133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83"/>
      <c r="G104" s="133"/>
      <c r="H104" s="133"/>
      <c r="I104" s="133"/>
      <c r="J104" s="133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83"/>
      <c r="G105" s="133"/>
      <c r="H105" s="133"/>
      <c r="I105" s="133"/>
      <c r="J105" s="133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178">
        <v>300390</v>
      </c>
      <c r="B106" s="171" t="s">
        <v>292</v>
      </c>
      <c r="C106" s="230" t="s">
        <v>106</v>
      </c>
      <c r="D106" s="231"/>
      <c r="E106" s="184" t="s">
        <v>107</v>
      </c>
      <c r="F106" s="183"/>
      <c r="G106" s="133"/>
      <c r="H106" s="133"/>
      <c r="I106" s="133"/>
      <c r="J106" s="133"/>
      <c r="K106" s="182">
        <f t="shared" si="7"/>
        <v>0</v>
      </c>
      <c r="L106" s="182">
        <f t="shared" si="8"/>
        <v>0</v>
      </c>
      <c r="M106" s="182">
        <v>417.4</v>
      </c>
      <c r="N106" s="182">
        <f>+M106*1000/(87*1*80*60)*T106</f>
        <v>3.9980842911877397</v>
      </c>
      <c r="O106" s="182"/>
      <c r="P106" s="182">
        <f t="shared" si="9"/>
        <v>0</v>
      </c>
      <c r="Q106" s="182"/>
      <c r="R106" s="19">
        <f t="shared" si="10"/>
        <v>0</v>
      </c>
      <c r="S106" s="182">
        <f t="shared" si="11"/>
        <v>0</v>
      </c>
      <c r="T106" s="20">
        <v>4</v>
      </c>
      <c r="U106" s="20"/>
      <c r="V106" s="179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hidden="1" customHeight="1">
      <c r="A107" s="178">
        <v>300391</v>
      </c>
      <c r="B107" s="171" t="s">
        <v>292</v>
      </c>
      <c r="C107" s="230" t="s">
        <v>106</v>
      </c>
      <c r="D107" s="231"/>
      <c r="E107" s="184" t="s">
        <v>109</v>
      </c>
      <c r="F107" s="183"/>
      <c r="G107" s="133"/>
      <c r="H107" s="133"/>
      <c r="I107" s="133"/>
      <c r="J107" s="133"/>
      <c r="K107" s="182">
        <f t="shared" si="7"/>
        <v>0</v>
      </c>
      <c r="L107" s="182">
        <f t="shared" si="8"/>
        <v>0</v>
      </c>
      <c r="M107" s="182">
        <v>417.4</v>
      </c>
      <c r="N107" s="182">
        <f>+M107*1000/(87*1*80*60)*T107</f>
        <v>3.9980842911877397</v>
      </c>
      <c r="O107" s="182"/>
      <c r="P107" s="182">
        <f t="shared" si="9"/>
        <v>0</v>
      </c>
      <c r="Q107" s="182"/>
      <c r="R107" s="19">
        <f t="shared" si="10"/>
        <v>0</v>
      </c>
      <c r="S107" s="182">
        <f t="shared" si="11"/>
        <v>0</v>
      </c>
      <c r="T107" s="20">
        <v>4</v>
      </c>
      <c r="U107" s="20"/>
      <c r="V107" s="179" t="str">
        <f t="array" ref="V107">IF(ISERROR(L107/K107),"",L107/K107)</f>
        <v/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customHeight="1">
      <c r="A108" s="178">
        <v>300431</v>
      </c>
      <c r="B108" s="171">
        <v>5001</v>
      </c>
      <c r="C108" s="230" t="s">
        <v>297</v>
      </c>
      <c r="D108" s="231"/>
      <c r="E108" s="184" t="s">
        <v>298</v>
      </c>
      <c r="F108" s="183">
        <v>1997</v>
      </c>
      <c r="G108" s="133">
        <v>4.67</v>
      </c>
      <c r="H108" s="133">
        <v>0.66666666666666663</v>
      </c>
      <c r="I108" s="133">
        <f>4+H108</f>
        <v>4.666666666666667</v>
      </c>
      <c r="J108" s="133"/>
      <c r="K108" s="182">
        <f t="shared" si="7"/>
        <v>2936.4959999999996</v>
      </c>
      <c r="L108" s="182">
        <f t="shared" si="8"/>
        <v>2934.4</v>
      </c>
      <c r="M108" s="182">
        <v>628.79999999999995</v>
      </c>
      <c r="N108" s="182">
        <f>+M108*1000/(87*1*80*60)*T108</f>
        <v>6.0229885057471266</v>
      </c>
      <c r="O108" s="182"/>
      <c r="P108" s="182">
        <f t="shared" si="9"/>
        <v>28.107279693486593</v>
      </c>
      <c r="Q108" s="182">
        <v>7.5</v>
      </c>
      <c r="R108" s="19">
        <f t="shared" si="10"/>
        <v>37.5</v>
      </c>
      <c r="S108" s="182">
        <f t="shared" si="11"/>
        <v>9.3927203065134073</v>
      </c>
      <c r="T108" s="20">
        <v>4</v>
      </c>
      <c r="U108" s="20">
        <v>5</v>
      </c>
      <c r="V108" s="179">
        <f t="array" ref="V108">IF(ISERROR(L108/K108),"",L108/K108)</f>
        <v>0.99928622412562473</v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hidden="1" customHeight="1">
      <c r="A109" s="178">
        <v>300432</v>
      </c>
      <c r="B109" s="171" t="s">
        <v>292</v>
      </c>
      <c r="C109" s="230" t="s">
        <v>297</v>
      </c>
      <c r="D109" s="231"/>
      <c r="E109" s="184" t="s">
        <v>299</v>
      </c>
      <c r="F109" s="183"/>
      <c r="G109" s="133"/>
      <c r="H109" s="133"/>
      <c r="I109" s="133"/>
      <c r="J109" s="133"/>
      <c r="K109" s="182">
        <f t="shared" si="7"/>
        <v>0</v>
      </c>
      <c r="L109" s="182">
        <f t="shared" si="8"/>
        <v>0</v>
      </c>
      <c r="M109" s="182">
        <v>628.79999999999995</v>
      </c>
      <c r="N109" s="182">
        <f>+M109*1000/(87*1*80*60)*T109</f>
        <v>6.0229885057471266</v>
      </c>
      <c r="O109" s="182"/>
      <c r="P109" s="182">
        <f t="shared" si="9"/>
        <v>0</v>
      </c>
      <c r="Q109" s="182"/>
      <c r="R109" s="19">
        <f t="shared" si="10"/>
        <v>0</v>
      </c>
      <c r="S109" s="182">
        <f t="shared" si="11"/>
        <v>0</v>
      </c>
      <c r="T109" s="20">
        <v>4</v>
      </c>
      <c r="U109" s="20"/>
      <c r="V109" s="179" t="str">
        <f t="array" ref="V109">IF(ISERROR(L109/K109),"",L109/K109)</f>
        <v/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customHeight="1">
      <c r="A110" s="178">
        <v>300433</v>
      </c>
      <c r="B110" s="171">
        <v>5001</v>
      </c>
      <c r="C110" s="230" t="s">
        <v>297</v>
      </c>
      <c r="D110" s="231"/>
      <c r="E110" s="134" t="s">
        <v>300</v>
      </c>
      <c r="F110" s="183">
        <v>2032</v>
      </c>
      <c r="G110" s="133">
        <v>2</v>
      </c>
      <c r="H110" s="133"/>
      <c r="I110" s="133">
        <f>2-J110/600</f>
        <v>1.6666666666666667</v>
      </c>
      <c r="J110" s="133">
        <v>200</v>
      </c>
      <c r="K110" s="182">
        <f t="shared" si="7"/>
        <v>1257.5999999999999</v>
      </c>
      <c r="L110" s="182">
        <f t="shared" si="8"/>
        <v>1048</v>
      </c>
      <c r="M110" s="182">
        <v>628.79999999999995</v>
      </c>
      <c r="N110" s="182">
        <f>+M110*1000/(87*1*80*60)*T110</f>
        <v>6.0229885057471266</v>
      </c>
      <c r="O110" s="182">
        <v>0.5</v>
      </c>
      <c r="P110" s="182">
        <f t="shared" si="9"/>
        <v>12.538314176245212</v>
      </c>
      <c r="Q110" s="182">
        <v>3.5</v>
      </c>
      <c r="R110" s="19">
        <f t="shared" si="10"/>
        <v>17.5</v>
      </c>
      <c r="S110" s="182">
        <f t="shared" si="11"/>
        <v>4.9616858237547881</v>
      </c>
      <c r="T110" s="20">
        <v>4</v>
      </c>
      <c r="U110" s="20">
        <v>5</v>
      </c>
      <c r="V110" s="179">
        <f t="array" ref="V110">IF(ISERROR(L110/K110),"",L110/K110)</f>
        <v>0.83333333333333337</v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hidden="1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83"/>
      <c r="G111" s="133"/>
      <c r="H111" s="133"/>
      <c r="I111" s="133"/>
      <c r="J111" s="133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hidden="1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83"/>
      <c r="G112" s="133"/>
      <c r="H112" s="133"/>
      <c r="I112" s="133"/>
      <c r="J112" s="133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customHeight="1">
      <c r="A113" s="178">
        <v>300096</v>
      </c>
      <c r="B113" s="171">
        <v>6502</v>
      </c>
      <c r="C113" s="219" t="s">
        <v>113</v>
      </c>
      <c r="D113" s="219" t="s">
        <v>114</v>
      </c>
      <c r="E113" s="184" t="s">
        <v>37</v>
      </c>
      <c r="F113" s="183" t="s">
        <v>315</v>
      </c>
      <c r="G113" s="133">
        <v>10.23</v>
      </c>
      <c r="H113" s="133">
        <v>0.1</v>
      </c>
      <c r="I113" s="133">
        <f>11+H113-J113/300</f>
        <v>10.233333333333333</v>
      </c>
      <c r="J113" s="133">
        <v>260</v>
      </c>
      <c r="K113" s="182">
        <f t="shared" si="7"/>
        <v>4911.7299000000003</v>
      </c>
      <c r="L113" s="182">
        <f t="shared" si="8"/>
        <v>4913.3303333333333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26.972608329673548</v>
      </c>
      <c r="Q113" s="182">
        <v>11</v>
      </c>
      <c r="R113" s="19">
        <f t="shared" si="10"/>
        <v>22</v>
      </c>
      <c r="S113" s="182">
        <f t="shared" si="11"/>
        <v>-4.9726083296735482</v>
      </c>
      <c r="T113" s="20">
        <v>2</v>
      </c>
      <c r="U113" s="20">
        <v>2</v>
      </c>
      <c r="V113" s="179">
        <f t="array" ref="V113">IF(ISERROR(L113/K113),"",L113/K113)</f>
        <v>1.0003258390355163</v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83"/>
      <c r="G114" s="133"/>
      <c r="H114" s="133"/>
      <c r="I114" s="133"/>
      <c r="J114" s="133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2.5" hidden="1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83"/>
      <c r="G115" s="133"/>
      <c r="H115" s="133"/>
      <c r="I115" s="133"/>
      <c r="J115" s="133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183"/>
      <c r="G116" s="133"/>
      <c r="H116" s="133"/>
      <c r="I116" s="133"/>
      <c r="J116" s="133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183"/>
      <c r="G117" s="133"/>
      <c r="H117" s="133"/>
      <c r="I117" s="133"/>
      <c r="J117" s="133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183"/>
      <c r="G118" s="133"/>
      <c r="H118" s="133"/>
      <c r="I118" s="133"/>
      <c r="J118" s="133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183"/>
      <c r="G119" s="133"/>
      <c r="H119" s="133"/>
      <c r="I119" s="133"/>
      <c r="J119" s="133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183"/>
      <c r="G120" s="133"/>
      <c r="H120" s="133"/>
      <c r="I120" s="133"/>
      <c r="J120" s="133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183"/>
      <c r="G121" s="133"/>
      <c r="H121" s="133"/>
      <c r="I121" s="133"/>
      <c r="J121" s="133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183"/>
      <c r="G122" s="133"/>
      <c r="H122" s="133"/>
      <c r="I122" s="133"/>
      <c r="J122" s="133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183"/>
      <c r="G123" s="133"/>
      <c r="H123" s="133"/>
      <c r="I123" s="133"/>
      <c r="J123" s="133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183"/>
      <c r="G124" s="133"/>
      <c r="H124" s="133"/>
      <c r="I124" s="133"/>
      <c r="J124" s="133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183"/>
      <c r="G125" s="133"/>
      <c r="H125" s="133"/>
      <c r="I125" s="133"/>
      <c r="J125" s="133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183"/>
      <c r="G126" s="133"/>
      <c r="H126" s="133"/>
      <c r="I126" s="133"/>
      <c r="J126" s="133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183"/>
      <c r="G127" s="133"/>
      <c r="H127" s="133"/>
      <c r="I127" s="133"/>
      <c r="J127" s="133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183"/>
      <c r="G128" s="133"/>
      <c r="H128" s="133"/>
      <c r="I128" s="133"/>
      <c r="J128" s="133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183"/>
      <c r="G129" s="133"/>
      <c r="H129" s="133"/>
      <c r="I129" s="133"/>
      <c r="J129" s="133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183"/>
      <c r="G130" s="133"/>
      <c r="H130" s="133"/>
      <c r="I130" s="133"/>
      <c r="J130" s="133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183"/>
      <c r="G131" s="133"/>
      <c r="H131" s="133"/>
      <c r="I131" s="133"/>
      <c r="J131" s="133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183"/>
      <c r="G132" s="133"/>
      <c r="H132" s="133"/>
      <c r="I132" s="133"/>
      <c r="J132" s="133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183"/>
      <c r="G133" s="133"/>
      <c r="H133" s="133"/>
      <c r="I133" s="133"/>
      <c r="J133" s="133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183"/>
      <c r="G134" s="133"/>
      <c r="H134" s="133"/>
      <c r="I134" s="133"/>
      <c r="J134" s="133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183"/>
      <c r="G135" s="133"/>
      <c r="H135" s="133"/>
      <c r="I135" s="133"/>
      <c r="J135" s="133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183"/>
      <c r="G136" s="133"/>
      <c r="H136" s="133"/>
      <c r="I136" s="133"/>
      <c r="J136" s="133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183"/>
      <c r="G137" s="133"/>
      <c r="H137" s="133"/>
      <c r="I137" s="133"/>
      <c r="J137" s="133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183"/>
      <c r="G138" s="133"/>
      <c r="H138" s="133"/>
      <c r="I138" s="133"/>
      <c r="J138" s="133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183"/>
      <c r="G139" s="133"/>
      <c r="H139" s="133"/>
      <c r="I139" s="133"/>
      <c r="J139" s="133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183"/>
      <c r="G140" s="133"/>
      <c r="H140" s="133"/>
      <c r="I140" s="133"/>
      <c r="J140" s="133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>
        <v>6503</v>
      </c>
      <c r="C141" s="219" t="s">
        <v>131</v>
      </c>
      <c r="D141" s="219" t="s">
        <v>132</v>
      </c>
      <c r="E141" s="184" t="s">
        <v>127</v>
      </c>
      <c r="F141" s="183" t="s">
        <v>316</v>
      </c>
      <c r="G141" s="133">
        <v>7.05</v>
      </c>
      <c r="H141" s="133">
        <v>0.125</v>
      </c>
      <c r="I141" s="133">
        <f>7+H141-J141/400</f>
        <v>7.05</v>
      </c>
      <c r="J141" s="133">
        <v>30</v>
      </c>
      <c r="K141" s="182">
        <f t="shared" si="7"/>
        <v>3926.85</v>
      </c>
      <c r="L141" s="182">
        <f t="shared" si="8"/>
        <v>3926.85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43.114295125164688</v>
      </c>
      <c r="Q141" s="182">
        <v>11</v>
      </c>
      <c r="R141" s="19">
        <f t="shared" si="10"/>
        <v>66</v>
      </c>
      <c r="S141" s="182">
        <f t="shared" si="11"/>
        <v>22.885704874835312</v>
      </c>
      <c r="T141" s="20">
        <v>5</v>
      </c>
      <c r="U141" s="20">
        <v>6</v>
      </c>
      <c r="V141" s="179">
        <f t="array" ref="V141">IF(ISERROR(L141/K141),"",L141/K141)</f>
        <v>1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183"/>
      <c r="G142" s="133"/>
      <c r="H142" s="133"/>
      <c r="I142" s="133"/>
      <c r="J142" s="133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183"/>
      <c r="G143" s="133"/>
      <c r="H143" s="133"/>
      <c r="I143" s="133"/>
      <c r="J143" s="133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183"/>
      <c r="G144" s="133"/>
      <c r="H144" s="133"/>
      <c r="I144" s="133"/>
      <c r="J144" s="133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183"/>
      <c r="G145" s="133"/>
      <c r="H145" s="133"/>
      <c r="I145" s="133"/>
      <c r="J145" s="133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183"/>
      <c r="G146" s="133"/>
      <c r="H146" s="133"/>
      <c r="I146" s="133"/>
      <c r="J146" s="133"/>
      <c r="K146" s="182">
        <f t="shared" si="7"/>
        <v>0</v>
      </c>
      <c r="L146" s="182">
        <f t="shared" si="8"/>
        <v>0</v>
      </c>
      <c r="M146" s="182">
        <v>316.88</v>
      </c>
      <c r="N146" s="182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183"/>
      <c r="G147" s="133"/>
      <c r="H147" s="133"/>
      <c r="I147" s="133"/>
      <c r="J147" s="133"/>
      <c r="K147" s="182">
        <f t="shared" si="7"/>
        <v>0</v>
      </c>
      <c r="L147" s="182">
        <f t="shared" si="8"/>
        <v>0</v>
      </c>
      <c r="M147" s="182">
        <v>316.88</v>
      </c>
      <c r="N147" s="182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183"/>
      <c r="G148" s="133"/>
      <c r="H148" s="133"/>
      <c r="I148" s="133"/>
      <c r="J148" s="133"/>
      <c r="K148" s="182">
        <f t="shared" si="7"/>
        <v>0</v>
      </c>
      <c r="L148" s="182">
        <f t="shared" si="8"/>
        <v>0</v>
      </c>
      <c r="M148" s="182">
        <v>316.88</v>
      </c>
      <c r="N148" s="182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183"/>
      <c r="G149" s="133"/>
      <c r="H149" s="133"/>
      <c r="I149" s="133"/>
      <c r="J149" s="133"/>
      <c r="K149" s="182">
        <f t="shared" si="7"/>
        <v>0</v>
      </c>
      <c r="L149" s="182">
        <f t="shared" si="8"/>
        <v>0</v>
      </c>
      <c r="M149" s="182">
        <v>316.88</v>
      </c>
      <c r="N149" s="182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78">
        <v>300399</v>
      </c>
      <c r="B150" s="171">
        <v>18501</v>
      </c>
      <c r="C150" s="230" t="s">
        <v>140</v>
      </c>
      <c r="D150" s="231"/>
      <c r="E150" s="184" t="s">
        <v>41</v>
      </c>
      <c r="F150" s="183"/>
      <c r="G150" s="133"/>
      <c r="H150" s="133"/>
      <c r="I150" s="133"/>
      <c r="J150" s="133"/>
      <c r="K150" s="182">
        <f t="shared" si="7"/>
        <v>0</v>
      </c>
      <c r="L150" s="182">
        <f t="shared" si="8"/>
        <v>0</v>
      </c>
      <c r="M150" s="182">
        <v>311.2</v>
      </c>
      <c r="N150" s="182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20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78">
        <v>300400</v>
      </c>
      <c r="B151" s="171">
        <v>18501</v>
      </c>
      <c r="C151" s="230" t="s">
        <v>140</v>
      </c>
      <c r="D151" s="231"/>
      <c r="E151" s="184" t="s">
        <v>66</v>
      </c>
      <c r="F151" s="183"/>
      <c r="G151" s="133"/>
      <c r="H151" s="133"/>
      <c r="I151" s="133"/>
      <c r="J151" s="133"/>
      <c r="K151" s="182">
        <f t="shared" si="7"/>
        <v>0</v>
      </c>
      <c r="L151" s="182">
        <f t="shared" si="8"/>
        <v>0</v>
      </c>
      <c r="M151" s="182">
        <v>311.2</v>
      </c>
      <c r="N151" s="182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20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78">
        <v>300401</v>
      </c>
      <c r="B152" s="171">
        <v>18501</v>
      </c>
      <c r="C152" s="230" t="s">
        <v>140</v>
      </c>
      <c r="D152" s="231"/>
      <c r="E152" s="184" t="s">
        <v>141</v>
      </c>
      <c r="F152" s="183"/>
      <c r="G152" s="133"/>
      <c r="H152" s="133"/>
      <c r="I152" s="133"/>
      <c r="J152" s="133"/>
      <c r="K152" s="182">
        <f t="shared" si="7"/>
        <v>0</v>
      </c>
      <c r="L152" s="182">
        <f t="shared" si="8"/>
        <v>0</v>
      </c>
      <c r="M152" s="182">
        <v>311.2</v>
      </c>
      <c r="N152" s="182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20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78">
        <v>300402</v>
      </c>
      <c r="B153" s="171">
        <v>18501</v>
      </c>
      <c r="C153" s="230" t="s">
        <v>142</v>
      </c>
      <c r="D153" s="231"/>
      <c r="E153" s="184" t="s">
        <v>143</v>
      </c>
      <c r="F153" s="183"/>
      <c r="G153" s="133"/>
      <c r="H153" s="133"/>
      <c r="I153" s="133"/>
      <c r="J153" s="133"/>
      <c r="K153" s="182">
        <f t="shared" si="7"/>
        <v>0</v>
      </c>
      <c r="L153" s="182">
        <f t="shared" si="8"/>
        <v>0</v>
      </c>
      <c r="M153" s="182">
        <v>465.3</v>
      </c>
      <c r="N153" s="182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20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78">
        <v>300403</v>
      </c>
      <c r="B154" s="171">
        <v>18501</v>
      </c>
      <c r="C154" s="230" t="s">
        <v>142</v>
      </c>
      <c r="D154" s="231"/>
      <c r="E154" s="184" t="s">
        <v>144</v>
      </c>
      <c r="F154" s="183"/>
      <c r="G154" s="133"/>
      <c r="H154" s="133"/>
      <c r="I154" s="133"/>
      <c r="J154" s="133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182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20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78">
        <v>300404</v>
      </c>
      <c r="B155" s="171">
        <v>18501</v>
      </c>
      <c r="C155" s="230" t="s">
        <v>142</v>
      </c>
      <c r="D155" s="231"/>
      <c r="E155" s="184" t="s">
        <v>70</v>
      </c>
      <c r="F155" s="183"/>
      <c r="G155" s="133"/>
      <c r="H155" s="133"/>
      <c r="I155" s="133"/>
      <c r="J155" s="133"/>
      <c r="K155" s="182">
        <f t="shared" si="15"/>
        <v>0</v>
      </c>
      <c r="L155" s="182">
        <f t="shared" si="16"/>
        <v>0</v>
      </c>
      <c r="M155" s="182">
        <v>465.3</v>
      </c>
      <c r="N155" s="182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20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78">
        <v>300405</v>
      </c>
      <c r="B156" s="171">
        <v>18501</v>
      </c>
      <c r="C156" s="230" t="s">
        <v>142</v>
      </c>
      <c r="D156" s="231"/>
      <c r="E156" s="184" t="s">
        <v>35</v>
      </c>
      <c r="F156" s="183"/>
      <c r="G156" s="133"/>
      <c r="H156" s="133"/>
      <c r="I156" s="133"/>
      <c r="J156" s="133"/>
      <c r="K156" s="182">
        <f t="shared" si="15"/>
        <v>0</v>
      </c>
      <c r="L156" s="182">
        <f t="shared" si="16"/>
        <v>0</v>
      </c>
      <c r="M156" s="182">
        <v>465.3</v>
      </c>
      <c r="N156" s="182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20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183"/>
      <c r="G157" s="133"/>
      <c r="H157" s="133"/>
      <c r="I157" s="133"/>
      <c r="J157" s="133"/>
      <c r="K157" s="182">
        <f t="shared" si="15"/>
        <v>0</v>
      </c>
      <c r="L157" s="182">
        <f t="shared" si="16"/>
        <v>0</v>
      </c>
      <c r="M157" s="182">
        <v>420.58</v>
      </c>
      <c r="N157" s="182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183"/>
      <c r="G158" s="133"/>
      <c r="H158" s="133"/>
      <c r="I158" s="133"/>
      <c r="J158" s="133"/>
      <c r="K158" s="182">
        <f t="shared" si="15"/>
        <v>0</v>
      </c>
      <c r="L158" s="182">
        <f t="shared" si="16"/>
        <v>0</v>
      </c>
      <c r="M158" s="182">
        <v>420.58</v>
      </c>
      <c r="N158" s="182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183"/>
      <c r="G159" s="133"/>
      <c r="H159" s="133"/>
      <c r="I159" s="133"/>
      <c r="J159" s="133"/>
      <c r="K159" s="182">
        <f t="shared" si="15"/>
        <v>0</v>
      </c>
      <c r="L159" s="182">
        <f t="shared" si="16"/>
        <v>0</v>
      </c>
      <c r="M159" s="182">
        <v>420.58</v>
      </c>
      <c r="N159" s="182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183"/>
      <c r="G160" s="133"/>
      <c r="H160" s="133"/>
      <c r="I160" s="133"/>
      <c r="J160" s="133"/>
      <c r="K160" s="182">
        <f t="shared" si="15"/>
        <v>0</v>
      </c>
      <c r="L160" s="182">
        <f t="shared" si="16"/>
        <v>0</v>
      </c>
      <c r="M160" s="182">
        <v>420.58</v>
      </c>
      <c r="N160" s="182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183"/>
      <c r="G161" s="133"/>
      <c r="H161" s="133"/>
      <c r="I161" s="133"/>
      <c r="J161" s="133"/>
      <c r="K161" s="182">
        <f t="shared" si="15"/>
        <v>0</v>
      </c>
      <c r="L161" s="182">
        <f t="shared" si="16"/>
        <v>0</v>
      </c>
      <c r="M161" s="182">
        <v>439.3</v>
      </c>
      <c r="N161" s="182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183"/>
      <c r="G162" s="133"/>
      <c r="H162" s="133"/>
      <c r="I162" s="133"/>
      <c r="J162" s="133"/>
      <c r="K162" s="182">
        <f t="shared" si="15"/>
        <v>0</v>
      </c>
      <c r="L162" s="182">
        <f t="shared" si="16"/>
        <v>0</v>
      </c>
      <c r="M162" s="182">
        <v>439.3</v>
      </c>
      <c r="N162" s="182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183"/>
      <c r="G163" s="133"/>
      <c r="H163" s="133"/>
      <c r="I163" s="133"/>
      <c r="J163" s="133"/>
      <c r="K163" s="182">
        <f t="shared" si="15"/>
        <v>0</v>
      </c>
      <c r="L163" s="182">
        <f t="shared" si="16"/>
        <v>0</v>
      </c>
      <c r="M163" s="182">
        <v>455.4</v>
      </c>
      <c r="N163" s="182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183"/>
      <c r="G164" s="133"/>
      <c r="H164" s="133"/>
      <c r="I164" s="133"/>
      <c r="J164" s="133"/>
      <c r="K164" s="182">
        <f t="shared" si="15"/>
        <v>0</v>
      </c>
      <c r="L164" s="182">
        <f t="shared" si="16"/>
        <v>0</v>
      </c>
      <c r="M164" s="182">
        <v>455.4</v>
      </c>
      <c r="N164" s="182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78">
        <v>300396</v>
      </c>
      <c r="B165" s="171">
        <v>18501</v>
      </c>
      <c r="C165" s="237" t="s">
        <v>147</v>
      </c>
      <c r="D165" s="238"/>
      <c r="E165" s="184" t="s">
        <v>41</v>
      </c>
      <c r="F165" s="183"/>
      <c r="G165" s="133"/>
      <c r="H165" s="133"/>
      <c r="I165" s="133"/>
      <c r="J165" s="133"/>
      <c r="K165" s="182">
        <f t="shared" si="15"/>
        <v>0</v>
      </c>
      <c r="L165" s="182">
        <f t="shared" si="16"/>
        <v>0</v>
      </c>
      <c r="M165" s="182">
        <v>417.1</v>
      </c>
      <c r="N165" s="182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78">
        <v>300397</v>
      </c>
      <c r="B166" s="171">
        <v>18501</v>
      </c>
      <c r="C166" s="237" t="s">
        <v>147</v>
      </c>
      <c r="D166" s="238"/>
      <c r="E166" s="184" t="s">
        <v>66</v>
      </c>
      <c r="F166" s="183"/>
      <c r="G166" s="133"/>
      <c r="H166" s="133"/>
      <c r="I166" s="133"/>
      <c r="J166" s="133"/>
      <c r="K166" s="182">
        <f t="shared" si="15"/>
        <v>0</v>
      </c>
      <c r="L166" s="182">
        <f t="shared" si="16"/>
        <v>0</v>
      </c>
      <c r="M166" s="182">
        <v>417.1</v>
      </c>
      <c r="N166" s="182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78">
        <v>300398</v>
      </c>
      <c r="B167" s="171">
        <v>18501</v>
      </c>
      <c r="C167" s="237" t="s">
        <v>147</v>
      </c>
      <c r="D167" s="238"/>
      <c r="E167" s="184" t="s">
        <v>141</v>
      </c>
      <c r="F167" s="183"/>
      <c r="G167" s="133"/>
      <c r="H167" s="133"/>
      <c r="I167" s="133"/>
      <c r="J167" s="133"/>
      <c r="K167" s="182">
        <f t="shared" si="15"/>
        <v>0</v>
      </c>
      <c r="L167" s="182">
        <f t="shared" si="16"/>
        <v>0</v>
      </c>
      <c r="M167" s="182">
        <v>417.1</v>
      </c>
      <c r="N167" s="182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183"/>
      <c r="G168" s="133"/>
      <c r="H168" s="133"/>
      <c r="I168" s="133"/>
      <c r="J168" s="133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183"/>
      <c r="G169" s="133"/>
      <c r="H169" s="133"/>
      <c r="I169" s="133"/>
      <c r="J169" s="133"/>
      <c r="K169" s="182">
        <f t="shared" si="15"/>
        <v>0</v>
      </c>
      <c r="L169" s="182">
        <f t="shared" si="16"/>
        <v>0</v>
      </c>
      <c r="M169" s="182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183">
        <v>2022</v>
      </c>
      <c r="G170" s="133">
        <v>9</v>
      </c>
      <c r="H170" s="133"/>
      <c r="I170" s="133">
        <f>9-J170/400</f>
        <v>8.5</v>
      </c>
      <c r="J170" s="133">
        <v>200</v>
      </c>
      <c r="K170" s="182">
        <f t="shared" si="15"/>
        <v>4778.0999999999995</v>
      </c>
      <c r="L170" s="182">
        <f t="shared" si="16"/>
        <v>4512.6499999999996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38.46707924168031</v>
      </c>
      <c r="Q170" s="182">
        <v>11</v>
      </c>
      <c r="R170" s="19">
        <f t="shared" si="18"/>
        <v>55</v>
      </c>
      <c r="S170" s="182">
        <f t="shared" si="19"/>
        <v>16.53292075831969</v>
      </c>
      <c r="T170" s="20">
        <v>5</v>
      </c>
      <c r="U170" s="20">
        <v>5</v>
      </c>
      <c r="V170" s="179">
        <f t="array" ref="V170">IF(ISERROR(L170/K170),"",L170/K170)</f>
        <v>0.94444444444444453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33">
        <v>0.2</v>
      </c>
      <c r="H175" s="133">
        <v>0.2</v>
      </c>
      <c r="I175" s="133">
        <f>+H175</f>
        <v>0.2</v>
      </c>
      <c r="J175" s="133"/>
      <c r="K175" s="182">
        <f t="shared" si="15"/>
        <v>129.82000000000002</v>
      </c>
      <c r="L175" s="182">
        <f t="shared" si="16"/>
        <v>129.82000000000002</v>
      </c>
      <c r="M175" s="15">
        <v>649.1</v>
      </c>
      <c r="N175" s="182">
        <f t="shared" si="21"/>
        <v>5.1496255394770252</v>
      </c>
      <c r="O175" s="182"/>
      <c r="P175" s="182">
        <f t="shared" si="17"/>
        <v>1.029925107895405</v>
      </c>
      <c r="Q175" s="182">
        <v>11</v>
      </c>
      <c r="R175" s="19">
        <f t="shared" si="18"/>
        <v>44</v>
      </c>
      <c r="S175" s="182">
        <f t="shared" si="19"/>
        <v>42.970074892104591</v>
      </c>
      <c r="T175" s="20">
        <v>5</v>
      </c>
      <c r="U175" s="20">
        <v>4</v>
      </c>
      <c r="V175" s="179">
        <f t="array" ref="V175">IF(ISERROR(L175/K175),"",L175/K175)</f>
        <v>1</v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59.879999999999995</v>
      </c>
      <c r="H199" s="182">
        <f t="array" ref="H199">SUM(IF(ISERROR(H6:H198),“”,H6:H198))</f>
        <v>3.3988095238095237</v>
      </c>
      <c r="I199" s="182">
        <f t="array" ref="I199">SUM(IF(ISERROR(I6:I198),“”,I6:I198))</f>
        <v>57.897619047619052</v>
      </c>
      <c r="J199" s="182">
        <f t="array" ref="J199">SUM(IF(ISERROR(J6:J198),“”,J6:J198))</f>
        <v>1590</v>
      </c>
      <c r="K199" s="182">
        <f t="array" ref="K199">SUM(IF(ISERROR(K6:K198),“”,K6:K198))</f>
        <v>32244.115899999997</v>
      </c>
      <c r="L199" s="56">
        <f>SUM(L6:L198)</f>
        <v>31153.758904761904</v>
      </c>
      <c r="M199" s="182"/>
      <c r="N199" s="182"/>
      <c r="O199" s="182">
        <f>SUM(O6:O190)</f>
        <v>1.5</v>
      </c>
      <c r="P199" s="56">
        <f>SUM((P6:P190),(W204:X209))</f>
        <v>395.65686527401789</v>
      </c>
      <c r="Q199" s="182"/>
      <c r="R199" s="56">
        <f>SUM((R6:R190),(Y204:Z209))</f>
        <v>528</v>
      </c>
      <c r="S199" s="182">
        <f t="array" ref="S199">SUM(IF(ISERROR(S6:S198),“”,S6:S198))</f>
        <v>110.34313472598214</v>
      </c>
      <c r="T199" s="182"/>
      <c r="U199" s="182"/>
      <c r="V199" s="179">
        <f>IF(ISERROR(L199/K199),"",L199/K199)</f>
        <v>0.96618431100360569</v>
      </c>
      <c r="W199" s="182">
        <f t="array" ref="W199">SUM(IF(ISERROR(W6:W198),“”,W6:W198))</f>
        <v>1.3333333333333333</v>
      </c>
      <c r="X199" s="182">
        <f t="array" ref="X199">SUM(IF(ISERROR(X6:X198),“”,X6:X198))</f>
        <v>14.616666666666665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>
        <f>IF(ISERROR(P199/R199),"",P199/R199)</f>
        <v>0.74935012362503384</v>
      </c>
      <c r="P200" s="245"/>
      <c r="Q200" s="245"/>
      <c r="R200" s="246"/>
      <c r="S200" s="44"/>
      <c r="T200" s="45"/>
      <c r="U200" s="45"/>
      <c r="V200" s="45"/>
      <c r="W200" s="247">
        <f>SUM(W199:AC199)</f>
        <v>15.95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>
        <v>212.5</v>
      </c>
      <c r="F202" s="250"/>
      <c r="G202" s="250">
        <v>212.5</v>
      </c>
      <c r="H202" s="250"/>
      <c r="I202" s="250">
        <f>G202-E202</f>
        <v>0</v>
      </c>
      <c r="J202" s="250"/>
      <c r="K202" s="252">
        <f t="array" ref="K202">IF(ISERROR(I202/E202),"",I202/E202)</f>
        <v>0</v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>
        <v>5423.1</v>
      </c>
      <c r="F203" s="250"/>
      <c r="G203" s="250">
        <v>5791.1</v>
      </c>
      <c r="H203" s="250"/>
      <c r="I203" s="250">
        <f>G203-E203</f>
        <v>368</v>
      </c>
      <c r="J203" s="250"/>
      <c r="K203" s="252">
        <f t="array" ref="K203">IF(ISERROR(I203/E203),"",I203/E203)</f>
        <v>6.785786727148678E-2</v>
      </c>
      <c r="L203" s="252"/>
      <c r="M203" s="237"/>
      <c r="N203" s="238"/>
      <c r="O203" s="253"/>
      <c r="P203" s="253"/>
      <c r="Q203" s="254" t="s">
        <v>185</v>
      </c>
      <c r="R203" s="254"/>
      <c r="S203" s="255">
        <v>30</v>
      </c>
      <c r="T203" s="255"/>
      <c r="U203" s="255">
        <v>27</v>
      </c>
      <c r="V203" s="255"/>
      <c r="W203" s="254">
        <f t="shared" ref="W203:W210" si="23">S203*11</f>
        <v>330</v>
      </c>
      <c r="X203" s="254"/>
      <c r="Y203" s="254">
        <f t="shared" ref="Y203:Y210" si="24">U203*11</f>
        <v>297</v>
      </c>
      <c r="Z203" s="254"/>
      <c r="AA203" s="254">
        <f t="shared" ref="AA203:AA210" si="25">Y203-W203</f>
        <v>-33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>
        <v>2439</v>
      </c>
      <c r="F204" s="250"/>
      <c r="G204" s="250">
        <v>2439</v>
      </c>
      <c r="H204" s="250"/>
      <c r="I204" s="250">
        <f>G204-E204</f>
        <v>0</v>
      </c>
      <c r="J204" s="250"/>
      <c r="K204" s="252">
        <f t="array" ref="K204">IF(ISERROR(I204/E204),"",I204/E204)</f>
        <v>0</v>
      </c>
      <c r="L204" s="252"/>
      <c r="M204" s="237"/>
      <c r="N204" s="238"/>
      <c r="O204" s="253"/>
      <c r="P204" s="253"/>
      <c r="Q204" s="254" t="s">
        <v>187</v>
      </c>
      <c r="R204" s="254"/>
      <c r="S204" s="255">
        <v>6</v>
      </c>
      <c r="T204" s="255"/>
      <c r="U204" s="255">
        <v>6</v>
      </c>
      <c r="V204" s="255"/>
      <c r="W204" s="254">
        <f t="shared" si="23"/>
        <v>66</v>
      </c>
      <c r="X204" s="254"/>
      <c r="Y204" s="254">
        <f t="shared" si="24"/>
        <v>66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92">
        <v>0.75</v>
      </c>
      <c r="T205" s="293"/>
      <c r="U205" s="255">
        <v>4</v>
      </c>
      <c r="V205" s="255"/>
      <c r="W205" s="254">
        <f t="shared" si="23"/>
        <v>8.25</v>
      </c>
      <c r="X205" s="254"/>
      <c r="Y205" s="254">
        <f t="shared" si="24"/>
        <v>44</v>
      </c>
      <c r="Z205" s="254"/>
      <c r="AA205" s="254">
        <f t="shared" si="25"/>
        <v>35.75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>
        <v>153819</v>
      </c>
      <c r="H206" s="257"/>
      <c r="I206" s="325">
        <v>153674</v>
      </c>
      <c r="J206" s="326"/>
      <c r="K206" s="260">
        <f>G206-I206</f>
        <v>145</v>
      </c>
      <c r="L206" s="260"/>
      <c r="M206" s="261">
        <f t="array" ref="M206">IF(ISERROR(K206/L199),"",K206/(L199/1000))</f>
        <v>4.6543340225258181</v>
      </c>
      <c r="N206" s="261"/>
      <c r="O206" s="253"/>
      <c r="P206" s="253"/>
      <c r="Q206" s="254" t="s">
        <v>197</v>
      </c>
      <c r="R206" s="254"/>
      <c r="S206" s="292">
        <v>0.75</v>
      </c>
      <c r="T206" s="293"/>
      <c r="U206" s="255">
        <v>1</v>
      </c>
      <c r="V206" s="255"/>
      <c r="W206" s="254">
        <f t="shared" si="23"/>
        <v>8.25</v>
      </c>
      <c r="X206" s="254"/>
      <c r="Y206" s="254">
        <f t="shared" si="24"/>
        <v>11</v>
      </c>
      <c r="Z206" s="254"/>
      <c r="AA206" s="254">
        <f t="shared" si="25"/>
        <v>2.75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>
        <f>28897.9*120+45276.7*60</f>
        <v>6184350</v>
      </c>
      <c r="H207" s="257"/>
      <c r="I207" s="325">
        <v>6182418</v>
      </c>
      <c r="J207" s="326"/>
      <c r="K207" s="260">
        <f>G207-I207</f>
        <v>1932</v>
      </c>
      <c r="L207" s="260"/>
      <c r="M207" s="261">
        <f t="array" ref="M207">IF(ISERROR(K207/L199),"",K207/(L199/1000))</f>
        <v>62.014988493240558</v>
      </c>
      <c r="N207" s="261"/>
      <c r="O207" s="253"/>
      <c r="P207" s="253"/>
      <c r="Q207" s="254" t="s">
        <v>200</v>
      </c>
      <c r="R207" s="254"/>
      <c r="S207" s="292">
        <v>1.5</v>
      </c>
      <c r="T207" s="293"/>
      <c r="U207" s="255">
        <v>1</v>
      </c>
      <c r="V207" s="255"/>
      <c r="W207" s="254">
        <f t="shared" si="23"/>
        <v>16.5</v>
      </c>
      <c r="X207" s="254"/>
      <c r="Y207" s="254">
        <f t="shared" si="24"/>
        <v>11</v>
      </c>
      <c r="Z207" s="254"/>
      <c r="AA207" s="254">
        <f t="shared" si="25"/>
        <v>-5.5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>
        <f>+I208+20</f>
        <v>28464</v>
      </c>
      <c r="H208" s="257"/>
      <c r="I208" s="256">
        <v>28444</v>
      </c>
      <c r="J208" s="257"/>
      <c r="K208" s="260">
        <f>G208-I208</f>
        <v>20</v>
      </c>
      <c r="L208" s="260"/>
      <c r="M208" s="264">
        <f t="array" ref="M208">IF(ISERROR(K208/L199),"",K208/(L199/1000))</f>
        <v>0.64197710655528528</v>
      </c>
      <c r="N208" s="264"/>
      <c r="O208" s="253"/>
      <c r="P208" s="253"/>
      <c r="Q208" s="254" t="s">
        <v>203</v>
      </c>
      <c r="R208" s="254"/>
      <c r="S208" s="292">
        <v>1</v>
      </c>
      <c r="T208" s="293"/>
      <c r="U208" s="255">
        <v>1</v>
      </c>
      <c r="V208" s="255"/>
      <c r="W208" s="254">
        <f t="shared" si="23"/>
        <v>11</v>
      </c>
      <c r="X208" s="254"/>
      <c r="Y208" s="254">
        <f t="shared" si="24"/>
        <v>11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>
        <f>2.72+2.72/2</f>
        <v>4.08</v>
      </c>
      <c r="L209" s="263"/>
      <c r="M209" s="265">
        <f t="array" ref="M209">IF(ISERROR((K209+K210)/L199),"",((K209+K210)*1000)/(L199/1000))</f>
        <v>130.9633297372782</v>
      </c>
      <c r="N209" s="266"/>
      <c r="O209" s="253"/>
      <c r="P209" s="253"/>
      <c r="Q209" s="254" t="s">
        <v>206</v>
      </c>
      <c r="R209" s="254"/>
      <c r="S209" s="292">
        <v>3</v>
      </c>
      <c r="T209" s="293"/>
      <c r="U209" s="255">
        <v>2</v>
      </c>
      <c r="V209" s="255"/>
      <c r="W209" s="254">
        <f t="shared" si="23"/>
        <v>33</v>
      </c>
      <c r="X209" s="254"/>
      <c r="Y209" s="254">
        <f t="shared" si="24"/>
        <v>22</v>
      </c>
      <c r="Z209" s="254"/>
      <c r="AA209" s="254">
        <f t="shared" si="25"/>
        <v>-11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43</v>
      </c>
      <c r="T210" s="255"/>
      <c r="U210" s="255">
        <f>SUM(U203:V209)</f>
        <v>42</v>
      </c>
      <c r="V210" s="255"/>
      <c r="W210" s="254">
        <f t="shared" si="23"/>
        <v>473</v>
      </c>
      <c r="X210" s="254"/>
      <c r="Y210" s="254">
        <f t="shared" si="24"/>
        <v>462</v>
      </c>
      <c r="Z210" s="254"/>
      <c r="AA210" s="254">
        <f t="shared" si="25"/>
        <v>-11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>
        <f>IF(ISERROR(K208/K209),"",K208/K209)</f>
        <v>4.9019607843137258</v>
      </c>
      <c r="N211" s="274"/>
      <c r="O211" s="253"/>
      <c r="P211" s="253"/>
      <c r="Q211" s="251" t="s">
        <v>211</v>
      </c>
      <c r="R211" s="251"/>
      <c r="S211" s="275">
        <f t="array" ref="S211">IF(ISERROR(L199/Y210),"",L199/Y210)</f>
        <v>67.432378581735719</v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s="2" customFormat="1" ht="21.95" customHeight="1">
      <c r="A215" s="178">
        <v>300320</v>
      </c>
      <c r="B215" s="171" t="s">
        <v>33</v>
      </c>
      <c r="C215" s="219" t="s">
        <v>34</v>
      </c>
      <c r="D215" s="219"/>
      <c r="E215" s="184" t="s">
        <v>35</v>
      </c>
      <c r="F215" s="183">
        <v>2024</v>
      </c>
      <c r="G215" s="182">
        <v>3.58</v>
      </c>
      <c r="H215" s="182">
        <v>0.58333333333333337</v>
      </c>
      <c r="I215" s="182">
        <f>3+H215</f>
        <v>3.5833333333333335</v>
      </c>
      <c r="J215" s="182"/>
      <c r="K215" s="182">
        <f t="shared" ref="K215:K285" si="26">G215*M215</f>
        <v>2268.288</v>
      </c>
      <c r="L215" s="182">
        <f t="shared" ref="L215:L285" si="27">I215*M215</f>
        <v>2270.4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16.713780918727913</v>
      </c>
      <c r="Q215" s="182">
        <v>7</v>
      </c>
      <c r="R215" s="19">
        <f t="shared" ref="R215:R285" si="30">Q215*U215</f>
        <v>14</v>
      </c>
      <c r="S215" s="182">
        <f t="shared" ref="S215:S285" si="31">R215-P215</f>
        <v>-2.7137809187279132</v>
      </c>
      <c r="T215" s="20">
        <v>5</v>
      </c>
      <c r="U215" s="20">
        <v>2</v>
      </c>
      <c r="V215" s="179">
        <f t="array" ref="V215">IF(ISERROR(L215/K215),"",L215/K215)</f>
        <v>1.0009310986964619</v>
      </c>
      <c r="W215" s="20"/>
      <c r="X215" s="194">
        <f>85/60*1</f>
        <v>1.4166666666666667</v>
      </c>
      <c r="Y215" s="171"/>
      <c r="Z215" s="183"/>
      <c r="AA215" s="20"/>
      <c r="AB215" s="20"/>
      <c r="AC215" s="20"/>
    </row>
    <row r="216" spans="1:29" s="2" customFormat="1" ht="21.95" hidden="1" customHeight="1">
      <c r="A216" s="178">
        <v>300318</v>
      </c>
      <c r="B216" s="171" t="s">
        <v>33</v>
      </c>
      <c r="C216" s="219" t="s">
        <v>34</v>
      </c>
      <c r="D216" s="219"/>
      <c r="E216" s="184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71" t="s">
        <v>33</v>
      </c>
      <c r="C217" s="219" t="s">
        <v>34</v>
      </c>
      <c r="D217" s="219"/>
      <c r="E217" s="184" t="s">
        <v>37</v>
      </c>
      <c r="F217" s="183">
        <v>2035</v>
      </c>
      <c r="G217" s="182">
        <v>3</v>
      </c>
      <c r="H217" s="182"/>
      <c r="I217" s="182">
        <f>3-J217/600</f>
        <v>2.3333333333333335</v>
      </c>
      <c r="J217" s="182">
        <v>400</v>
      </c>
      <c r="K217" s="182">
        <f t="shared" si="26"/>
        <v>1900.8000000000002</v>
      </c>
      <c r="L217" s="182">
        <f t="shared" si="27"/>
        <v>1478.4</v>
      </c>
      <c r="M217" s="182">
        <v>633.6</v>
      </c>
      <c r="N217" s="182">
        <f t="shared" si="28"/>
        <v>3.7314487632508833</v>
      </c>
      <c r="O217" s="182">
        <v>0.5</v>
      </c>
      <c r="P217" s="182">
        <f t="shared" si="29"/>
        <v>9.7067137809187276</v>
      </c>
      <c r="Q217" s="182">
        <v>4.5</v>
      </c>
      <c r="R217" s="19">
        <f t="shared" si="30"/>
        <v>9</v>
      </c>
      <c r="S217" s="182">
        <f t="shared" si="31"/>
        <v>-0.70671378091872761</v>
      </c>
      <c r="T217" s="20">
        <v>4</v>
      </c>
      <c r="U217" s="20">
        <v>2</v>
      </c>
      <c r="V217" s="179">
        <f t="array" ref="V217">IF(ISERROR(L217/K217),"",L217/K217)</f>
        <v>0.77777777777777779</v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hidden="1" customHeight="1">
      <c r="A218" s="178">
        <v>300316</v>
      </c>
      <c r="B218" s="171" t="s">
        <v>33</v>
      </c>
      <c r="C218" s="219" t="s">
        <v>34</v>
      </c>
      <c r="D218" s="219"/>
      <c r="E218" s="184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hidden="1" customHeight="1">
      <c r="A219" s="178">
        <v>300317</v>
      </c>
      <c r="B219" s="171" t="s">
        <v>33</v>
      </c>
      <c r="C219" s="219" t="s">
        <v>34</v>
      </c>
      <c r="D219" s="219"/>
      <c r="E219" s="184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hidden="1" customHeight="1">
      <c r="A220" s="178">
        <v>300315</v>
      </c>
      <c r="B220" s="171" t="s">
        <v>33</v>
      </c>
      <c r="C220" s="219" t="s">
        <v>34</v>
      </c>
      <c r="D220" s="219"/>
      <c r="E220" s="184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hidden="1" customHeight="1">
      <c r="A221" s="178">
        <v>300314</v>
      </c>
      <c r="B221" s="171" t="s">
        <v>33</v>
      </c>
      <c r="C221" s="219" t="s">
        <v>34</v>
      </c>
      <c r="D221" s="219"/>
      <c r="E221" s="184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hidden="1" customHeight="1">
      <c r="A222" s="178">
        <v>300313</v>
      </c>
      <c r="B222" s="171" t="s">
        <v>33</v>
      </c>
      <c r="C222" s="219" t="s">
        <v>34</v>
      </c>
      <c r="D222" s="219"/>
      <c r="E222" s="184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s="2" customFormat="1" ht="21.95" hidden="1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8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s="2" customFormat="1" ht="21.95" hidden="1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8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hidden="1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178">
        <v>3000435</v>
      </c>
      <c r="B238" s="171" t="s">
        <v>43</v>
      </c>
      <c r="C238" s="219" t="s">
        <v>51</v>
      </c>
      <c r="D238" s="219"/>
      <c r="E238" s="184" t="s">
        <v>301</v>
      </c>
      <c r="F238" s="183"/>
      <c r="G238" s="110"/>
      <c r="H238" s="110"/>
      <c r="I238" s="110"/>
      <c r="J238" s="110"/>
      <c r="K238" s="182">
        <f t="shared" si="26"/>
        <v>0</v>
      </c>
      <c r="L238" s="182">
        <f t="shared" si="27"/>
        <v>0</v>
      </c>
      <c r="M238" s="182">
        <v>524.6</v>
      </c>
      <c r="N238" s="182">
        <f>+M238*1000/(25.4*20*15*60)*T238</f>
        <v>3.4422572178477688</v>
      </c>
      <c r="O238" s="182"/>
      <c r="P238" s="182">
        <f t="shared" si="29"/>
        <v>0</v>
      </c>
      <c r="Q238" s="182"/>
      <c r="R238" s="19">
        <f t="shared" si="30"/>
        <v>0</v>
      </c>
      <c r="S238" s="182">
        <f t="shared" si="31"/>
        <v>0</v>
      </c>
      <c r="T238" s="20">
        <v>3</v>
      </c>
      <c r="U238" s="20"/>
      <c r="V238" s="179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8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82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8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82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8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82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314</v>
      </c>
      <c r="C242" s="219" t="s">
        <v>56</v>
      </c>
      <c r="D242" s="219"/>
      <c r="E242" s="184" t="s">
        <v>54</v>
      </c>
      <c r="F242" s="183">
        <v>2025</v>
      </c>
      <c r="G242" s="182">
        <v>15</v>
      </c>
      <c r="H242" s="182">
        <v>1</v>
      </c>
      <c r="I242" s="182">
        <f>14+H242</f>
        <v>15</v>
      </c>
      <c r="J242" s="182"/>
      <c r="K242" s="182">
        <f t="shared" si="26"/>
        <v>8256</v>
      </c>
      <c r="L242" s="182">
        <f t="shared" si="27"/>
        <v>8256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44.387096774193544</v>
      </c>
      <c r="Q242" s="182">
        <v>20</v>
      </c>
      <c r="R242" s="19">
        <f t="shared" si="30"/>
        <v>80</v>
      </c>
      <c r="S242" s="182">
        <f t="shared" si="31"/>
        <v>35.612903225806456</v>
      </c>
      <c r="T242" s="20">
        <v>3</v>
      </c>
      <c r="U242" s="20">
        <v>4</v>
      </c>
      <c r="V242" s="179">
        <f t="array" ref="V242">IF(ISERROR(L242/K242),"",L242/K242)</f>
        <v>1</v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314</v>
      </c>
      <c r="C243" s="219" t="s">
        <v>56</v>
      </c>
      <c r="D243" s="219"/>
      <c r="E243" s="184" t="s">
        <v>35</v>
      </c>
      <c r="F243" s="183">
        <v>2026</v>
      </c>
      <c r="G243" s="182">
        <v>2</v>
      </c>
      <c r="H243" s="182"/>
      <c r="I243" s="182">
        <f>2-J243/500</f>
        <v>1.8</v>
      </c>
      <c r="J243" s="182">
        <v>100</v>
      </c>
      <c r="K243" s="182">
        <f t="shared" si="26"/>
        <v>1100.8</v>
      </c>
      <c r="L243" s="182">
        <f t="shared" si="27"/>
        <v>990.72</v>
      </c>
      <c r="M243" s="182">
        <v>550.4</v>
      </c>
      <c r="N243" s="182">
        <f>+M243*1000/(31*20*15*60)*T243</f>
        <v>2.9591397849462364</v>
      </c>
      <c r="O243" s="182">
        <v>0.5</v>
      </c>
      <c r="P243" s="182">
        <f t="shared" si="29"/>
        <v>7.3264516129032256</v>
      </c>
      <c r="Q243" s="182">
        <v>3</v>
      </c>
      <c r="R243" s="19">
        <f t="shared" si="30"/>
        <v>12</v>
      </c>
      <c r="S243" s="182">
        <f t="shared" si="31"/>
        <v>4.6735483870967744</v>
      </c>
      <c r="T243" s="20">
        <v>3</v>
      </c>
      <c r="U243" s="20">
        <v>4</v>
      </c>
      <c r="V243" s="179">
        <f t="array" ref="V243">IF(ISERROR(L243/K243),"",L243/K243)</f>
        <v>0.9</v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68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68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68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69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>
        <v>4503</v>
      </c>
      <c r="C267" s="219" t="s">
        <v>77</v>
      </c>
      <c r="D267" s="219" t="s">
        <v>78</v>
      </c>
      <c r="E267" s="184" t="s">
        <v>79</v>
      </c>
      <c r="F267" s="183">
        <v>2044</v>
      </c>
      <c r="G267" s="182">
        <v>5</v>
      </c>
      <c r="H267" s="182">
        <v>0.14285714285714285</v>
      </c>
      <c r="I267" s="182">
        <f>5+H267</f>
        <v>5.1428571428571432</v>
      </c>
      <c r="J267" s="182"/>
      <c r="K267" s="182">
        <f t="shared" si="26"/>
        <v>2137.5</v>
      </c>
      <c r="L267" s="182">
        <f t="shared" si="27"/>
        <v>2198.5714285714289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29.081632653061227</v>
      </c>
      <c r="Q267" s="182">
        <v>7.5</v>
      </c>
      <c r="R267" s="19">
        <f t="shared" si="30"/>
        <v>37.5</v>
      </c>
      <c r="S267" s="182">
        <f t="shared" si="31"/>
        <v>8.4183673469387728</v>
      </c>
      <c r="T267" s="20">
        <v>5</v>
      </c>
      <c r="U267" s="20">
        <v>5</v>
      </c>
      <c r="V267" s="179">
        <f t="array" ref="V267">IF(ISERROR(L267/K267),"",L267/K267)</f>
        <v>1.0285714285714287</v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>
        <v>4503</v>
      </c>
      <c r="C268" s="219" t="s">
        <v>77</v>
      </c>
      <c r="D268" s="219" t="s">
        <v>78</v>
      </c>
      <c r="E268" s="184" t="s">
        <v>35</v>
      </c>
      <c r="F268" s="183">
        <v>2045</v>
      </c>
      <c r="G268" s="182">
        <v>3</v>
      </c>
      <c r="H268" s="182"/>
      <c r="I268" s="182">
        <v>3</v>
      </c>
      <c r="J268" s="182"/>
      <c r="K268" s="182">
        <f t="shared" si="26"/>
        <v>1219.8000000000002</v>
      </c>
      <c r="L268" s="182">
        <f t="shared" si="27"/>
        <v>1219.8000000000002</v>
      </c>
      <c r="M268" s="182">
        <v>406.6</v>
      </c>
      <c r="N268" s="182">
        <f>+M268*1000/(45*10*13*60)*T268</f>
        <v>5.7920227920227916</v>
      </c>
      <c r="O268" s="182">
        <v>0.5</v>
      </c>
      <c r="P268" s="182">
        <f t="shared" si="29"/>
        <v>19.876068376068375</v>
      </c>
      <c r="Q268" s="182">
        <v>4</v>
      </c>
      <c r="R268" s="19">
        <f t="shared" si="30"/>
        <v>20</v>
      </c>
      <c r="S268" s="182">
        <f t="shared" si="31"/>
        <v>0.12393162393162527</v>
      </c>
      <c r="T268" s="20">
        <v>5</v>
      </c>
      <c r="U268" s="20">
        <v>5</v>
      </c>
      <c r="V268" s="179">
        <f t="array" ref="V268">IF(ISERROR(L268/K268),"",L268/K268)</f>
        <v>1</v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>
        <v>5001</v>
      </c>
      <c r="C283" s="219" t="s">
        <v>308</v>
      </c>
      <c r="D283" s="219" t="s">
        <v>89</v>
      </c>
      <c r="E283" s="184" t="s">
        <v>35</v>
      </c>
      <c r="F283" s="183">
        <v>2086</v>
      </c>
      <c r="G283" s="182">
        <v>6</v>
      </c>
      <c r="H283" s="182"/>
      <c r="I283" s="182">
        <f>6-J283/400</f>
        <v>5.125</v>
      </c>
      <c r="J283" s="182">
        <v>350</v>
      </c>
      <c r="K283" s="182">
        <f t="shared" si="26"/>
        <v>2576.3999999999996</v>
      </c>
      <c r="L283" s="182">
        <f t="shared" si="27"/>
        <v>2200.6749999999997</v>
      </c>
      <c r="M283" s="182">
        <v>429.4</v>
      </c>
      <c r="N283" s="182">
        <f>+M283*1000/(47*1*110*60)*T283</f>
        <v>5.5370728562217923</v>
      </c>
      <c r="O283" s="182">
        <v>0.5</v>
      </c>
      <c r="P283" s="182">
        <f t="shared" si="29"/>
        <v>30.377498388136686</v>
      </c>
      <c r="Q283" s="182">
        <v>7</v>
      </c>
      <c r="R283" s="19">
        <f t="shared" si="30"/>
        <v>28</v>
      </c>
      <c r="S283" s="182">
        <f t="shared" si="31"/>
        <v>-2.3774983881366865</v>
      </c>
      <c r="T283" s="20">
        <v>4</v>
      </c>
      <c r="U283" s="20">
        <v>4</v>
      </c>
      <c r="V283" s="179">
        <f t="array" ref="V283">IF(ISERROR(L283/K283),"",L283/K283)</f>
        <v>0.85416666666666663</v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69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7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68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68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78">
        <v>300425</v>
      </c>
      <c r="B314" s="171">
        <v>5001</v>
      </c>
      <c r="C314" s="230" t="s">
        <v>288</v>
      </c>
      <c r="D314" s="231"/>
      <c r="E314" s="184" t="s">
        <v>291</v>
      </c>
      <c r="F314" s="168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170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79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170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79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2" customFormat="1" ht="21.95" customHeight="1">
      <c r="A319" s="178">
        <v>300433</v>
      </c>
      <c r="B319" s="171">
        <v>5001</v>
      </c>
      <c r="C319" s="230" t="s">
        <v>297</v>
      </c>
      <c r="D319" s="231"/>
      <c r="E319" s="134" t="s">
        <v>300</v>
      </c>
      <c r="F319" s="183">
        <v>2031</v>
      </c>
      <c r="G319" s="182">
        <v>2.33</v>
      </c>
      <c r="H319" s="182">
        <v>0.33333333333333331</v>
      </c>
      <c r="I319" s="182">
        <f>2+H319</f>
        <v>2.3333333333333335</v>
      </c>
      <c r="J319" s="182"/>
      <c r="K319" s="182">
        <f t="shared" si="33"/>
        <v>1465.104</v>
      </c>
      <c r="L319" s="182">
        <f t="shared" si="34"/>
        <v>1467.2</v>
      </c>
      <c r="M319" s="182">
        <v>628.79999999999995</v>
      </c>
      <c r="N319" s="182">
        <f>+M319*1000/(87*1*80*60)*T319</f>
        <v>6.0229885057471266</v>
      </c>
      <c r="O319" s="182"/>
      <c r="P319" s="182">
        <f t="shared" si="35"/>
        <v>14.053639846743296</v>
      </c>
      <c r="Q319" s="182">
        <v>4.5</v>
      </c>
      <c r="R319" s="19">
        <f t="shared" si="36"/>
        <v>18</v>
      </c>
      <c r="S319" s="182">
        <f t="shared" si="37"/>
        <v>3.9463601532567036</v>
      </c>
      <c r="T319" s="20">
        <v>4</v>
      </c>
      <c r="U319" s="20">
        <v>4</v>
      </c>
      <c r="V319" s="179">
        <f t="array" ref="V319">IF(ISERROR(L319/K319),"",L319/K319)</f>
        <v>1.0014306151645207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1">
        <v>6502</v>
      </c>
      <c r="C322" s="219" t="s">
        <v>113</v>
      </c>
      <c r="D322" s="219" t="s">
        <v>114</v>
      </c>
      <c r="E322" s="184" t="s">
        <v>37</v>
      </c>
      <c r="F322" s="183">
        <v>2021</v>
      </c>
      <c r="G322" s="182">
        <v>8.8699999999999992</v>
      </c>
      <c r="H322" s="182">
        <v>0.8666666666666667</v>
      </c>
      <c r="I322" s="182">
        <f>8+H322</f>
        <v>8.8666666666666671</v>
      </c>
      <c r="J322" s="182"/>
      <c r="K322" s="182">
        <f t="shared" si="33"/>
        <v>4258.7530999999999</v>
      </c>
      <c r="L322" s="182">
        <f t="shared" si="34"/>
        <v>4257.1526666666668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23.370403308446789</v>
      </c>
      <c r="Q322" s="182">
        <v>11.5</v>
      </c>
      <c r="R322" s="19">
        <f t="shared" si="36"/>
        <v>23</v>
      </c>
      <c r="S322" s="182">
        <f t="shared" si="37"/>
        <v>-0.37040330844678948</v>
      </c>
      <c r="T322" s="20">
        <v>2</v>
      </c>
      <c r="U322" s="20">
        <v>2</v>
      </c>
      <c r="V322" s="179">
        <f t="array" ref="V322">IF(ISERROR(L322/K322),"",L322/K322)</f>
        <v>0.99962420142803465</v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78"/>
      <c r="B323" s="171" t="s">
        <v>110</v>
      </c>
      <c r="C323" s="219" t="s">
        <v>113</v>
      </c>
      <c r="D323" s="219" t="s">
        <v>114</v>
      </c>
      <c r="E323" s="184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78">
        <v>300097</v>
      </c>
      <c r="B324" s="171">
        <v>6502</v>
      </c>
      <c r="C324" s="219" t="s">
        <v>113</v>
      </c>
      <c r="D324" s="219" t="s">
        <v>114</v>
      </c>
      <c r="E324" s="184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182"/>
      <c r="H330" s="182"/>
      <c r="I330" s="182"/>
      <c r="J330" s="182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182"/>
      <c r="H331" s="182"/>
      <c r="I331" s="182"/>
      <c r="J331" s="182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182"/>
      <c r="H332" s="182"/>
      <c r="I332" s="182"/>
      <c r="J332" s="182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182"/>
      <c r="H333" s="182"/>
      <c r="I333" s="182"/>
      <c r="J333" s="182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182"/>
      <c r="H334" s="182"/>
      <c r="I334" s="182"/>
      <c r="J334" s="182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78">
        <v>300087</v>
      </c>
      <c r="B347" s="171">
        <v>6503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>
        <v>6503</v>
      </c>
      <c r="C350" s="219" t="s">
        <v>131</v>
      </c>
      <c r="D350" s="219" t="s">
        <v>132</v>
      </c>
      <c r="E350" s="184" t="s">
        <v>127</v>
      </c>
      <c r="F350" s="183">
        <v>2052</v>
      </c>
      <c r="G350" s="182">
        <v>8</v>
      </c>
      <c r="H350" s="182">
        <v>7.4999999999999997E-2</v>
      </c>
      <c r="I350" s="182">
        <f>8+H350-J350/400</f>
        <v>7.6249999999999991</v>
      </c>
      <c r="J350" s="182">
        <v>180</v>
      </c>
      <c r="K350" s="182">
        <f t="shared" si="33"/>
        <v>4456</v>
      </c>
      <c r="L350" s="182">
        <f t="shared" si="34"/>
        <v>4247.1249999999991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46.630709266578819</v>
      </c>
      <c r="Q350" s="182">
        <v>11.5</v>
      </c>
      <c r="R350" s="19">
        <f t="shared" si="36"/>
        <v>57.5</v>
      </c>
      <c r="S350" s="182">
        <f t="shared" si="37"/>
        <v>10.869290733421181</v>
      </c>
      <c r="T350" s="20">
        <v>5</v>
      </c>
      <c r="U350" s="20">
        <v>5</v>
      </c>
      <c r="V350" s="179">
        <f t="array" ref="V350">IF(ISERROR(L350/K350),"",L350/K350)</f>
        <v>0.95312499999999978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>
        <v>2022</v>
      </c>
      <c r="G379" s="182">
        <v>10.130000000000001</v>
      </c>
      <c r="H379" s="182">
        <v>0.5</v>
      </c>
      <c r="I379" s="182">
        <f>10+H379-J379/400</f>
        <v>10.125</v>
      </c>
      <c r="J379" s="182">
        <v>150</v>
      </c>
      <c r="K379" s="182">
        <f t="shared" si="41"/>
        <v>5378.0169999999998</v>
      </c>
      <c r="L379" s="182">
        <f t="shared" si="42"/>
        <v>5375.3625000000002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45.821079684942717</v>
      </c>
      <c r="Q379" s="182">
        <v>11.5</v>
      </c>
      <c r="R379" s="19">
        <f t="shared" si="44"/>
        <v>57.5</v>
      </c>
      <c r="S379" s="182">
        <f t="shared" si="45"/>
        <v>11.678920315057283</v>
      </c>
      <c r="T379" s="20">
        <v>5</v>
      </c>
      <c r="U379" s="20">
        <v>5</v>
      </c>
      <c r="V379" s="179">
        <f t="array" ref="V379">IF(ISERROR(L379/K379),"",L379/K379)</f>
        <v>0.99950641658440287</v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66.91</v>
      </c>
      <c r="H408" s="182">
        <f t="array" ref="H408">SUM(IF(ISERROR(H215:H407),“”,H215:H407))</f>
        <v>3.5011904761904766</v>
      </c>
      <c r="I408" s="182">
        <f t="array" ref="I408">SUM(IF(ISERROR(I215:I407),“”,I215:I407))</f>
        <v>64.93452380952381</v>
      </c>
      <c r="J408" s="182">
        <f t="array" ref="J408">SUM(IF(ISERROR(J215:J407),“”,J215:J407))</f>
        <v>1180</v>
      </c>
      <c r="K408" s="182">
        <f t="array" ref="K408">SUM(IF(ISERROR(K215:K407),“”,K215:K407))</f>
        <v>35017.462099999997</v>
      </c>
      <c r="L408" s="117">
        <f>SUM(L215:L399)</f>
        <v>33961.406595238099</v>
      </c>
      <c r="M408" s="182"/>
      <c r="N408" s="182"/>
      <c r="O408" s="182">
        <f t="array" ref="O408">SUM(IF(ISERROR(O215:O407),“”,O215:O407))</f>
        <v>2</v>
      </c>
      <c r="P408" s="56">
        <f>SUM((P215:P399),(W413:X418))</f>
        <v>436.84507461072133</v>
      </c>
      <c r="Q408" s="182"/>
      <c r="R408" s="56">
        <f>SUM((R215:R399),(Y413:Z418))</f>
        <v>529</v>
      </c>
      <c r="S408" s="182">
        <f t="array" ref="S408">SUM(IF(ISERROR(S215:S407),“”,S215:S407))</f>
        <v>69.154925389278674</v>
      </c>
      <c r="T408" s="182"/>
      <c r="U408" s="182"/>
      <c r="V408" s="179">
        <f t="array" ref="V408">IF(ISERROR(L408/K408),"",L408/K408)</f>
        <v>0.96984203190550755</v>
      </c>
      <c r="W408" s="182">
        <f t="array" ref="W408">SUM(IF(ISERROR(W215:W407),“”,W215:W407))</f>
        <v>0</v>
      </c>
      <c r="X408" s="182">
        <f t="array" ref="X408">SUM(IF(ISERROR(X215:X407),“”,X215:X407))</f>
        <v>1.4166666666666667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>
        <f t="array" ref="O409">IF(ISERROR(P408/R408),"",P408/R408)</f>
        <v>0.8257940918917227</v>
      </c>
      <c r="P409" s="245"/>
      <c r="Q409" s="245"/>
      <c r="R409" s="246"/>
      <c r="S409" s="44"/>
      <c r="T409" s="45"/>
      <c r="U409" s="45"/>
      <c r="V409" s="45"/>
      <c r="W409" s="247">
        <f>SUM(W408:AC408)</f>
        <v>1.4166666666666667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317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>
        <v>236</v>
      </c>
      <c r="F411" s="250"/>
      <c r="G411" s="250">
        <v>236</v>
      </c>
      <c r="H411" s="250"/>
      <c r="I411" s="250">
        <f>G411-E411</f>
        <v>0</v>
      </c>
      <c r="J411" s="250"/>
      <c r="K411" s="252">
        <f t="array" ref="K411">IF(ISERROR(I411/E411),"",I411/E411)</f>
        <v>0</v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>
        <v>5759.3</v>
      </c>
      <c r="F412" s="250"/>
      <c r="G412" s="250">
        <v>6279.3</v>
      </c>
      <c r="H412" s="250"/>
      <c r="I412" s="250">
        <f>G412-E412</f>
        <v>520</v>
      </c>
      <c r="J412" s="250"/>
      <c r="K412" s="252">
        <f t="array" ref="K412">IF(ISERROR(I412/E412),"",I412/E412)</f>
        <v>9.0288750368968454E-2</v>
      </c>
      <c r="L412" s="252"/>
      <c r="M412" s="237"/>
      <c r="N412" s="238"/>
      <c r="O412" s="291"/>
      <c r="P412" s="291"/>
      <c r="Q412" s="254" t="s">
        <v>185</v>
      </c>
      <c r="R412" s="254"/>
      <c r="S412" s="255">
        <v>31</v>
      </c>
      <c r="T412" s="255"/>
      <c r="U412" s="255">
        <v>27</v>
      </c>
      <c r="V412" s="255"/>
      <c r="W412" s="254">
        <f>S412*11.5</f>
        <v>356.5</v>
      </c>
      <c r="X412" s="254"/>
      <c r="Y412" s="254">
        <f>U412*11.5</f>
        <v>310.5</v>
      </c>
      <c r="Z412" s="254"/>
      <c r="AA412" s="254">
        <f t="shared" ref="AA412:AA419" si="49">Y412-W412</f>
        <v>-46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>
        <v>1336</v>
      </c>
      <c r="F413" s="250"/>
      <c r="G413" s="250">
        <v>1336</v>
      </c>
      <c r="H413" s="250"/>
      <c r="I413" s="250">
        <f>G413-E413</f>
        <v>0</v>
      </c>
      <c r="J413" s="250"/>
      <c r="K413" s="252">
        <f t="array" ref="K413">IF(ISERROR(I413/E413),"",I413/E413)</f>
        <v>0</v>
      </c>
      <c r="L413" s="252"/>
      <c r="M413" s="237"/>
      <c r="N413" s="238"/>
      <c r="O413" s="291"/>
      <c r="P413" s="291"/>
      <c r="Q413" s="254" t="s">
        <v>187</v>
      </c>
      <c r="R413" s="254"/>
      <c r="S413" s="255">
        <v>6</v>
      </c>
      <c r="T413" s="255"/>
      <c r="U413" s="255">
        <v>6</v>
      </c>
      <c r="V413" s="255"/>
      <c r="W413" s="254">
        <f t="shared" ref="W413:W419" si="50">S413*11.5</f>
        <v>69</v>
      </c>
      <c r="X413" s="254"/>
      <c r="Y413" s="254">
        <f t="shared" ref="Y413:Y419" si="51">U413*11.5</f>
        <v>69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92">
        <v>0.75</v>
      </c>
      <c r="T414" s="293"/>
      <c r="U414" s="255">
        <v>4</v>
      </c>
      <c r="V414" s="255"/>
      <c r="W414" s="254">
        <f t="shared" si="50"/>
        <v>8.625</v>
      </c>
      <c r="X414" s="254"/>
      <c r="Y414" s="254">
        <f t="shared" si="51"/>
        <v>46</v>
      </c>
      <c r="Z414" s="254"/>
      <c r="AA414" s="254">
        <f t="shared" si="49"/>
        <v>37.375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>
        <v>153939</v>
      </c>
      <c r="H415" s="296"/>
      <c r="I415" s="325">
        <v>153819</v>
      </c>
      <c r="J415" s="326"/>
      <c r="K415" s="260">
        <f>G415-I415</f>
        <v>120</v>
      </c>
      <c r="L415" s="260"/>
      <c r="M415" s="261">
        <f t="array" ref="M415">IF(ISERROR(K415/L408),"",K415/(L408/1000))</f>
        <v>3.5334225531408294</v>
      </c>
      <c r="N415" s="261"/>
      <c r="O415" s="291"/>
      <c r="P415" s="291"/>
      <c r="Q415" s="254" t="s">
        <v>197</v>
      </c>
      <c r="R415" s="254"/>
      <c r="S415" s="292">
        <v>0.75</v>
      </c>
      <c r="T415" s="293"/>
      <c r="U415" s="255">
        <v>1</v>
      </c>
      <c r="V415" s="255"/>
      <c r="W415" s="254">
        <f t="shared" si="50"/>
        <v>8.625</v>
      </c>
      <c r="X415" s="254"/>
      <c r="Y415" s="254">
        <f t="shared" si="51"/>
        <v>11.5</v>
      </c>
      <c r="Z415" s="254"/>
      <c r="AA415" s="254">
        <f t="shared" si="49"/>
        <v>2.875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>
        <f>45288.2*60+28907.2*120</f>
        <v>6186156</v>
      </c>
      <c r="H416" s="295"/>
      <c r="I416" s="294">
        <v>6184350</v>
      </c>
      <c r="J416" s="295"/>
      <c r="K416" s="260">
        <f>G416-I416</f>
        <v>1806</v>
      </c>
      <c r="L416" s="260"/>
      <c r="M416" s="261">
        <f t="array" ref="M416">IF(ISERROR(K416/L408),"",K416/(L408/1000))</f>
        <v>53.178009424769485</v>
      </c>
      <c r="N416" s="261"/>
      <c r="O416" s="291"/>
      <c r="P416" s="291"/>
      <c r="Q416" s="254" t="s">
        <v>200</v>
      </c>
      <c r="R416" s="254"/>
      <c r="S416" s="292">
        <v>1.5</v>
      </c>
      <c r="T416" s="293"/>
      <c r="U416" s="255">
        <v>1</v>
      </c>
      <c r="V416" s="255"/>
      <c r="W416" s="254">
        <f t="shared" si="50"/>
        <v>17.25</v>
      </c>
      <c r="X416" s="254"/>
      <c r="Y416" s="254">
        <f t="shared" si="51"/>
        <v>11.5</v>
      </c>
      <c r="Z416" s="254"/>
      <c r="AA416" s="254">
        <f t="shared" si="49"/>
        <v>-5.75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>
        <f>+I417+18</f>
        <v>28482</v>
      </c>
      <c r="H417" s="296"/>
      <c r="I417" s="327">
        <v>28464</v>
      </c>
      <c r="J417" s="328"/>
      <c r="K417" s="260">
        <f>G417-I417</f>
        <v>18</v>
      </c>
      <c r="L417" s="260"/>
      <c r="M417" s="264">
        <f t="array" ref="M417">IF(ISERROR(K417/L408),"",K417/(L408/1000))</f>
        <v>0.53001338297112444</v>
      </c>
      <c r="N417" s="264"/>
      <c r="O417" s="291"/>
      <c r="P417" s="291"/>
      <c r="Q417" s="254" t="s">
        <v>203</v>
      </c>
      <c r="R417" s="254"/>
      <c r="S417" s="292">
        <v>1</v>
      </c>
      <c r="T417" s="293"/>
      <c r="U417" s="255">
        <v>1</v>
      </c>
      <c r="V417" s="255"/>
      <c r="W417" s="254">
        <f t="shared" si="50"/>
        <v>11.5</v>
      </c>
      <c r="X417" s="254"/>
      <c r="Y417" s="254">
        <f t="shared" si="51"/>
        <v>11.5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>
        <f>2.72+2.56/2</f>
        <v>4</v>
      </c>
      <c r="L418" s="272"/>
      <c r="M418" s="265">
        <f t="array" ref="M418">IF(ISERROR((K418+K419)/L408),"",((K418+K419)*1000)/(L408/1000))</f>
        <v>117.78075177136098</v>
      </c>
      <c r="N418" s="266"/>
      <c r="O418" s="291"/>
      <c r="P418" s="291"/>
      <c r="Q418" s="254" t="s">
        <v>206</v>
      </c>
      <c r="R418" s="254"/>
      <c r="S418" s="292">
        <v>3</v>
      </c>
      <c r="T418" s="293"/>
      <c r="U418" s="255">
        <v>2</v>
      </c>
      <c r="V418" s="255"/>
      <c r="W418" s="254">
        <f t="shared" si="50"/>
        <v>34.5</v>
      </c>
      <c r="X418" s="254"/>
      <c r="Y418" s="254">
        <f t="shared" si="51"/>
        <v>23</v>
      </c>
      <c r="Z418" s="254"/>
      <c r="AA418" s="254">
        <f t="shared" si="49"/>
        <v>-11.5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44</v>
      </c>
      <c r="T419" s="255"/>
      <c r="U419" s="255">
        <f>SUM(U412:V418)</f>
        <v>42</v>
      </c>
      <c r="V419" s="255"/>
      <c r="W419" s="254">
        <f t="shared" si="50"/>
        <v>506</v>
      </c>
      <c r="X419" s="254"/>
      <c r="Y419" s="254">
        <f t="shared" si="51"/>
        <v>483</v>
      </c>
      <c r="Z419" s="254"/>
      <c r="AA419" s="254">
        <f t="shared" si="49"/>
        <v>-23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>
        <f>IF(ISERROR(K417/K418),"",K417/K418)</f>
        <v>4.5</v>
      </c>
      <c r="N420" s="274"/>
      <c r="O420" s="291"/>
      <c r="P420" s="291"/>
      <c r="Q420" s="251" t="s">
        <v>211</v>
      </c>
      <c r="R420" s="251"/>
      <c r="S420" s="297">
        <f t="array" ref="S420">IF(ISERROR(L408/Y419),"",L408/Y419)</f>
        <v>70.313471211673075</v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67261.577999999994</v>
      </c>
      <c r="D423" s="304"/>
      <c r="E423" s="300" t="s">
        <v>218</v>
      </c>
      <c r="F423" s="300"/>
      <c r="G423" s="300">
        <f>L199+L408</f>
        <v>65115.165500000003</v>
      </c>
      <c r="H423" s="300"/>
      <c r="I423" s="307" t="s">
        <v>219</v>
      </c>
      <c r="J423" s="307"/>
      <c r="K423" s="306">
        <f>IF(ISERROR(G423/C423),"",G423/C423)</f>
        <v>0.96808857948589921</v>
      </c>
      <c r="L423" s="306"/>
      <c r="M423" s="300" t="s">
        <v>220</v>
      </c>
      <c r="N423" s="300"/>
      <c r="O423" s="301">
        <f>IF(ISERROR(G423/G424),"",G423/G424)</f>
        <v>61.603751655629139</v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832.50193988473916</v>
      </c>
      <c r="D424" s="304"/>
      <c r="E424" s="305" t="s">
        <v>18</v>
      </c>
      <c r="F424" s="305"/>
      <c r="G424" s="300">
        <f>R199+R408</f>
        <v>1057</v>
      </c>
      <c r="H424" s="300"/>
      <c r="I424" s="284" t="s">
        <v>168</v>
      </c>
      <c r="J424" s="284"/>
      <c r="K424" s="306">
        <f>IF(ISERROR(C424/G424),"",C424/G424)</f>
        <v>0.78760826857591215</v>
      </c>
      <c r="L424" s="306"/>
      <c r="M424" s="250" t="s">
        <v>222</v>
      </c>
      <c r="N424" s="250"/>
      <c r="O424" s="300">
        <f>W200+W409</f>
        <v>17.366666666666667</v>
      </c>
      <c r="P424" s="250"/>
      <c r="Q424" s="250" t="s">
        <v>223</v>
      </c>
      <c r="R424" s="250"/>
      <c r="S424" s="306">
        <f t="array" ref="S424">IF(ISERROR(O424/G424),"",O424/G424)</f>
        <v>1.6430148218227688E-2</v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265</v>
      </c>
      <c r="D426" s="304"/>
      <c r="E426" s="300" t="s">
        <v>226</v>
      </c>
      <c r="F426" s="300"/>
      <c r="G426" s="264">
        <f t="array" ref="G426">IF(ISERROR(C426/G423),"",C426/(G423/1000))</f>
        <v>4.0697124543129659</v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3738</v>
      </c>
      <c r="D427" s="304"/>
      <c r="E427" s="300" t="s">
        <v>228</v>
      </c>
      <c r="F427" s="300"/>
      <c r="G427" s="264">
        <f>IF(ISERROR(C427/G423),"",C427/(G423/1000))</f>
        <v>57.405981714044785</v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38</v>
      </c>
      <c r="D428" s="304"/>
      <c r="E428" s="300" t="s">
        <v>230</v>
      </c>
      <c r="F428" s="300"/>
      <c r="G428" s="264">
        <f>IF(ISERROR(C428/G423),"",C428/(G423/1000))</f>
        <v>0.58358140854299134</v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8.08</v>
      </c>
      <c r="D429" s="304"/>
      <c r="E429" s="300" t="s">
        <v>232</v>
      </c>
      <c r="F429" s="300"/>
      <c r="G429" s="308">
        <f>IF(ISERROR(C429/G423),"",C429/(G423/1000))</f>
        <v>0.12408783634282554</v>
      </c>
      <c r="H429" s="308"/>
      <c r="I429" s="300" t="s">
        <v>233</v>
      </c>
      <c r="J429" s="300"/>
      <c r="K429" s="309">
        <f>IF(ISERROR(C428/C429),"",C428/C429)</f>
        <v>4.7029702970297027</v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>
        <f>IF(ISERROR(C430/G423),"",C430/(G423/1000))</f>
        <v>0</v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448.5</v>
      </c>
      <c r="D432" s="313"/>
      <c r="E432" s="300" t="s">
        <v>239</v>
      </c>
      <c r="F432" s="318"/>
      <c r="G432" s="314">
        <f>+G411+G202</f>
        <v>448.5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>
        <f t="array" ref="O432">IF(ISERROR(K432/C432),"",K432/C432)</f>
        <v>0</v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11182.400000000001</v>
      </c>
      <c r="D433" s="313"/>
      <c r="E433" s="300" t="s">
        <v>243</v>
      </c>
      <c r="F433" s="300"/>
      <c r="G433" s="314">
        <f>+G412+G203</f>
        <v>12070.400000000001</v>
      </c>
      <c r="H433" s="315"/>
      <c r="I433" s="300" t="s">
        <v>244</v>
      </c>
      <c r="J433" s="300"/>
      <c r="K433" s="285">
        <f>G433-C433</f>
        <v>888</v>
      </c>
      <c r="L433" s="287"/>
      <c r="M433" s="316" t="s">
        <v>245</v>
      </c>
      <c r="N433" s="317"/>
      <c r="O433" s="310">
        <f t="array" ref="O433">IF(ISERROR(K433/C433),"",K433/C433)</f>
        <v>7.9410502217770768E-2</v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3775</v>
      </c>
      <c r="D434" s="313"/>
      <c r="E434" s="300" t="s">
        <v>247</v>
      </c>
      <c r="F434" s="318"/>
      <c r="G434" s="314">
        <f>+G413+G204</f>
        <v>3775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>
        <f t="array" ref="O434">IF(ISERROR(K434/C434),"",K434/C434)</f>
        <v>0</v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5</v>
      </c>
      <c r="D437" s="67">
        <v>5</v>
      </c>
      <c r="E437" s="171"/>
      <c r="F437" s="171"/>
      <c r="G437" s="171"/>
      <c r="H437" s="172"/>
      <c r="I437" s="172"/>
      <c r="J437" s="83">
        <f t="shared" ref="J437:J452" si="5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5</v>
      </c>
      <c r="R437" s="176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6</v>
      </c>
      <c r="D438" s="67">
        <v>6</v>
      </c>
      <c r="E438" s="171"/>
      <c r="F438" s="171"/>
      <c r="G438" s="171"/>
      <c r="H438" s="172"/>
      <c r="I438" s="172"/>
      <c r="J438" s="83">
        <f t="shared" si="53"/>
        <v>6</v>
      </c>
      <c r="K438" s="67"/>
      <c r="L438" s="67"/>
      <c r="M438" s="67"/>
      <c r="N438" s="67"/>
      <c r="O438" s="67"/>
      <c r="P438" s="118"/>
      <c r="Q438" s="83">
        <f t="shared" si="54"/>
        <v>6</v>
      </c>
      <c r="R438" s="176">
        <f t="shared" ref="R438:R443" si="5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3</v>
      </c>
      <c r="D439" s="67">
        <v>3</v>
      </c>
      <c r="E439" s="171"/>
      <c r="F439" s="171"/>
      <c r="G439" s="171"/>
      <c r="H439" s="172"/>
      <c r="I439" s="172"/>
      <c r="J439" s="83">
        <f t="shared" si="53"/>
        <v>3</v>
      </c>
      <c r="K439" s="67"/>
      <c r="L439" s="67"/>
      <c r="M439" s="67"/>
      <c r="N439" s="67"/>
      <c r="O439" s="67"/>
      <c r="P439" s="118"/>
      <c r="Q439" s="83">
        <f t="shared" si="54"/>
        <v>3</v>
      </c>
      <c r="R439" s="176">
        <f t="shared" si="5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26</v>
      </c>
      <c r="D440" s="67">
        <v>21</v>
      </c>
      <c r="E440" s="171">
        <v>7</v>
      </c>
      <c r="F440" s="171"/>
      <c r="G440" s="171"/>
      <c r="H440" s="172"/>
      <c r="I440" s="172"/>
      <c r="J440" s="83">
        <f t="shared" si="53"/>
        <v>26</v>
      </c>
      <c r="K440" s="67">
        <v>1</v>
      </c>
      <c r="L440" s="67"/>
      <c r="M440" s="67"/>
      <c r="N440" s="67"/>
      <c r="O440" s="67"/>
      <c r="P440" s="118">
        <v>2</v>
      </c>
      <c r="Q440" s="83">
        <f t="shared" si="54"/>
        <v>25</v>
      </c>
      <c r="R440" s="176">
        <f t="shared" si="5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7.6923076923076927E-2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1</v>
      </c>
      <c r="D441" s="67">
        <v>1</v>
      </c>
      <c r="E441" s="171"/>
      <c r="F441" s="171"/>
      <c r="G441" s="171"/>
      <c r="H441" s="172"/>
      <c r="I441" s="172"/>
      <c r="J441" s="83">
        <f t="shared" si="53"/>
        <v>1</v>
      </c>
      <c r="K441" s="67"/>
      <c r="L441" s="67"/>
      <c r="M441" s="67"/>
      <c r="N441" s="67"/>
      <c r="O441" s="67"/>
      <c r="P441" s="118"/>
      <c r="Q441" s="83">
        <f t="shared" si="54"/>
        <v>1</v>
      </c>
      <c r="R441" s="176">
        <f t="shared" si="5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2</v>
      </c>
      <c r="D442" s="67">
        <v>2</v>
      </c>
      <c r="E442" s="67"/>
      <c r="F442" s="67"/>
      <c r="G442" s="67"/>
      <c r="H442" s="67"/>
      <c r="I442" s="67"/>
      <c r="J442" s="83">
        <f t="shared" si="53"/>
        <v>2</v>
      </c>
      <c r="K442" s="67"/>
      <c r="L442" s="67"/>
      <c r="M442" s="67"/>
      <c r="N442" s="67"/>
      <c r="O442" s="67"/>
      <c r="P442" s="67"/>
      <c r="Q442" s="83">
        <f t="shared" si="54"/>
        <v>2</v>
      </c>
      <c r="R442" s="176">
        <f t="shared" si="5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43</v>
      </c>
      <c r="D443" s="68">
        <v>38</v>
      </c>
      <c r="E443" s="68">
        <f t="shared" ref="E443:P443" si="57">SUM(E437:E442)</f>
        <v>7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43</v>
      </c>
      <c r="K443" s="68">
        <f t="shared" si="57"/>
        <v>1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2</v>
      </c>
      <c r="Q443" s="83">
        <f t="shared" si="54"/>
        <v>42</v>
      </c>
      <c r="R443" s="176">
        <f t="shared" si="55"/>
        <v>462</v>
      </c>
      <c r="S443" s="120">
        <f t="array" ref="S443">IF(ISERROR(Q443/J443),"",Q443/J443)</f>
        <v>0.97674418604651159</v>
      </c>
      <c r="T443" s="121">
        <f t="array" ref="T443">IF(ISERROR((O443:P443)/C443),"",SUM(O443:P443)/C443)</f>
        <v>4.6511627906976744E-2</v>
      </c>
      <c r="U443" s="101">
        <f t="array" ref="U443">IF(ISERROR((O443:P443)/C443),"",SUM(O443:P443)/C443)</f>
        <v>4.6511627906976744E-2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5</v>
      </c>
      <c r="D444" s="67">
        <v>5</v>
      </c>
      <c r="E444" s="67"/>
      <c r="F444" s="67"/>
      <c r="G444" s="67"/>
      <c r="H444" s="67"/>
      <c r="I444" s="67"/>
      <c r="J444" s="83">
        <f t="shared" si="53"/>
        <v>5</v>
      </c>
      <c r="K444" s="67"/>
      <c r="L444" s="67"/>
      <c r="M444" s="67"/>
      <c r="N444" s="67"/>
      <c r="O444" s="67"/>
      <c r="P444" s="67"/>
      <c r="Q444" s="83">
        <f t="shared" si="54"/>
        <v>5</v>
      </c>
      <c r="R444" s="176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5</v>
      </c>
      <c r="D445" s="67">
        <v>5</v>
      </c>
      <c r="E445" s="67"/>
      <c r="F445" s="67"/>
      <c r="G445" s="67"/>
      <c r="H445" s="67"/>
      <c r="I445" s="67"/>
      <c r="J445" s="83">
        <f t="shared" si="53"/>
        <v>5</v>
      </c>
      <c r="K445" s="67"/>
      <c r="L445" s="67"/>
      <c r="M445" s="67"/>
      <c r="N445" s="67"/>
      <c r="O445" s="67"/>
      <c r="P445" s="67"/>
      <c r="Q445" s="83">
        <f t="shared" si="54"/>
        <v>5</v>
      </c>
      <c r="R445" s="176">
        <f t="shared" ref="R445:R450" si="5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3</v>
      </c>
      <c r="D446" s="67">
        <v>3</v>
      </c>
      <c r="E446" s="67"/>
      <c r="F446" s="67"/>
      <c r="G446" s="67"/>
      <c r="H446" s="67"/>
      <c r="I446" s="67"/>
      <c r="J446" s="83">
        <f t="shared" si="53"/>
        <v>3</v>
      </c>
      <c r="K446" s="67"/>
      <c r="L446" s="67"/>
      <c r="M446" s="67"/>
      <c r="N446" s="67"/>
      <c r="P446" s="67"/>
      <c r="Q446" s="83">
        <f t="shared" si="54"/>
        <v>3</v>
      </c>
      <c r="R446" s="176">
        <f t="shared" si="5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26</v>
      </c>
      <c r="D447" s="67">
        <v>26</v>
      </c>
      <c r="E447" s="67"/>
      <c r="F447" s="67"/>
      <c r="G447" s="67"/>
      <c r="H447" s="67"/>
      <c r="I447" s="67"/>
      <c r="J447" s="83">
        <f t="shared" si="53"/>
        <v>26</v>
      </c>
      <c r="K447" s="67"/>
      <c r="L447" s="67"/>
      <c r="M447" s="67"/>
      <c r="N447" s="67"/>
      <c r="O447" s="67"/>
      <c r="P447" s="67"/>
      <c r="Q447" s="83">
        <f t="shared" si="54"/>
        <v>26</v>
      </c>
      <c r="R447" s="176">
        <f t="shared" si="5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1</v>
      </c>
      <c r="D448" s="67">
        <v>1</v>
      </c>
      <c r="E448" s="67"/>
      <c r="F448" s="67"/>
      <c r="G448" s="67"/>
      <c r="H448" s="67"/>
      <c r="I448" s="67"/>
      <c r="J448" s="83">
        <f t="shared" si="53"/>
        <v>1</v>
      </c>
      <c r="K448" s="67"/>
      <c r="L448" s="67"/>
      <c r="M448" s="110"/>
      <c r="N448" s="67"/>
      <c r="O448" s="67"/>
      <c r="P448" s="67"/>
      <c r="Q448" s="83">
        <f t="shared" si="54"/>
        <v>1</v>
      </c>
      <c r="R448" s="176">
        <f t="shared" si="5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2</v>
      </c>
      <c r="D449" s="67">
        <v>2</v>
      </c>
      <c r="E449" s="67"/>
      <c r="F449" s="67"/>
      <c r="G449" s="67"/>
      <c r="H449" s="67"/>
      <c r="I449" s="67"/>
      <c r="J449" s="83">
        <f t="shared" si="53"/>
        <v>2</v>
      </c>
      <c r="K449" s="67"/>
      <c r="L449" s="67"/>
      <c r="M449" s="67"/>
      <c r="N449" s="67"/>
      <c r="O449" s="67"/>
      <c r="P449" s="67"/>
      <c r="Q449" s="83">
        <f t="shared" si="54"/>
        <v>2</v>
      </c>
      <c r="R449" s="176">
        <f t="shared" si="5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42</v>
      </c>
      <c r="D450" s="69">
        <v>42</v>
      </c>
      <c r="E450" s="69">
        <f t="shared" ref="E450:I450" si="59">SUM(E444:E449)</f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42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42</v>
      </c>
      <c r="R450" s="176">
        <f t="shared" si="5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2</v>
      </c>
      <c r="D451" s="67">
        <v>2</v>
      </c>
      <c r="E451" s="171"/>
      <c r="F451" s="171"/>
      <c r="G451" s="171"/>
      <c r="H451" s="172"/>
      <c r="I451" s="83"/>
      <c r="J451" s="83">
        <f t="shared" si="53"/>
        <v>2</v>
      </c>
      <c r="K451" s="172"/>
      <c r="L451" s="172"/>
      <c r="M451" s="172"/>
      <c r="N451" s="172"/>
      <c r="O451" s="172"/>
      <c r="P451" s="187"/>
      <c r="Q451" s="83">
        <f t="shared" si="54"/>
        <v>2</v>
      </c>
      <c r="R451" s="176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87</v>
      </c>
      <c r="D452" s="69">
        <v>82</v>
      </c>
      <c r="E452" s="69">
        <f>+E443+E450+E451</f>
        <v>7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87</v>
      </c>
      <c r="K452" s="69">
        <f t="shared" ref="K452:P452" si="61">+K443+K450+K451</f>
        <v>1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2</v>
      </c>
      <c r="Q452" s="83">
        <f t="shared" si="54"/>
        <v>86</v>
      </c>
      <c r="R452" s="67">
        <f>R443+R450+R451</f>
        <v>967</v>
      </c>
      <c r="S452" s="123">
        <f t="array" ref="S452">IF(ISERROR(Q452/J452),"",Q452/J452)</f>
        <v>0.9885057471264368</v>
      </c>
      <c r="T452" s="185">
        <f t="array" ref="T452">IF(ISERROR((O452:P452)/C452),"",SUM(O452:P452)/C452)</f>
        <v>2.2988505747126436E-2</v>
      </c>
      <c r="U452" s="101">
        <f t="array" ref="U452">IF(ISERROR((O452:P452)/C452),"",SUM(O452:P452)/C452)</f>
        <v>2.2988505747126436E-2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3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4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5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6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7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8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9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10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1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2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0"/>
  <dimension ref="A1:AC454"/>
  <sheetViews>
    <sheetView topLeftCell="A2" workbookViewId="0">
      <pane xSplit="5" ySplit="6" topLeftCell="F324" activePane="bottomRight" state="frozen"/>
      <selection activeCell="A2" sqref="A2"/>
      <selection pane="topRight" activeCell="F2" sqref="F2"/>
      <selection pane="bottomLeft" activeCell="A8" sqref="A8"/>
      <selection pane="bottomRight" activeCell="L408" sqref="L4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hidden="1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hidden="1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s="2" customFormat="1" ht="21.95" customHeight="1">
      <c r="A8" s="189">
        <v>300319</v>
      </c>
      <c r="B8" s="188" t="s">
        <v>33</v>
      </c>
      <c r="C8" s="219" t="s">
        <v>34</v>
      </c>
      <c r="D8" s="219"/>
      <c r="E8" s="193" t="s">
        <v>37</v>
      </c>
      <c r="F8" s="192" t="s">
        <v>318</v>
      </c>
      <c r="G8" s="133">
        <v>5.17</v>
      </c>
      <c r="H8" s="133">
        <v>0.66666666666666663</v>
      </c>
      <c r="I8" s="133">
        <f>4.5+H8</f>
        <v>5.166666666666667</v>
      </c>
      <c r="J8" s="133"/>
      <c r="K8" s="191">
        <f t="shared" si="0"/>
        <v>3275.712</v>
      </c>
      <c r="L8" s="191">
        <f t="shared" si="1"/>
        <v>3273.6000000000004</v>
      </c>
      <c r="M8" s="191">
        <v>633.6</v>
      </c>
      <c r="N8" s="191">
        <f t="shared" si="5"/>
        <v>4.6643109540636036</v>
      </c>
      <c r="O8" s="191"/>
      <c r="P8" s="191">
        <f t="shared" si="2"/>
        <v>24.098939929328619</v>
      </c>
      <c r="Q8" s="191">
        <v>11</v>
      </c>
      <c r="R8" s="19">
        <f t="shared" si="3"/>
        <v>22</v>
      </c>
      <c r="S8" s="191">
        <f t="shared" si="4"/>
        <v>-2.0989399293286191</v>
      </c>
      <c r="T8" s="20">
        <v>5</v>
      </c>
      <c r="U8" s="20">
        <v>2</v>
      </c>
      <c r="V8" s="190">
        <f t="array" ref="V8">IF(ISERROR(L8/K8),"",L8/K8)</f>
        <v>0.99935525467440367</v>
      </c>
      <c r="W8" s="20"/>
      <c r="X8" s="188"/>
      <c r="Y8" s="188"/>
      <c r="Z8" s="192"/>
      <c r="AA8" s="20"/>
      <c r="AB8" s="20"/>
      <c r="AC8" s="20"/>
    </row>
    <row r="9" spans="1:29" s="2" customFormat="1" ht="21.95" hidden="1" customHeight="1">
      <c r="A9" s="189">
        <v>300316</v>
      </c>
      <c r="B9" s="188" t="s">
        <v>33</v>
      </c>
      <c r="C9" s="219" t="s">
        <v>34</v>
      </c>
      <c r="D9" s="219"/>
      <c r="E9" s="193" t="s">
        <v>38</v>
      </c>
      <c r="F9" s="192"/>
      <c r="G9" s="133"/>
      <c r="H9" s="133"/>
      <c r="I9" s="133"/>
      <c r="J9" s="133"/>
      <c r="K9" s="191">
        <f t="shared" si="0"/>
        <v>0</v>
      </c>
      <c r="L9" s="191">
        <f t="shared" si="1"/>
        <v>0</v>
      </c>
      <c r="M9" s="191">
        <v>616</v>
      </c>
      <c r="N9" s="191">
        <f t="shared" si="5"/>
        <v>4.534746760895171</v>
      </c>
      <c r="O9" s="191"/>
      <c r="P9" s="191">
        <f t="shared" si="2"/>
        <v>0</v>
      </c>
      <c r="Q9" s="191"/>
      <c r="R9" s="19">
        <f t="shared" si="3"/>
        <v>0</v>
      </c>
      <c r="S9" s="191">
        <f t="shared" si="4"/>
        <v>0</v>
      </c>
      <c r="T9" s="20">
        <v>5</v>
      </c>
      <c r="U9" s="20"/>
      <c r="V9" s="190"/>
      <c r="W9" s="20"/>
      <c r="X9" s="188"/>
      <c r="Y9" s="188"/>
      <c r="Z9" s="192"/>
      <c r="AA9" s="20"/>
      <c r="AB9" s="20"/>
      <c r="AC9" s="20"/>
    </row>
    <row r="10" spans="1:29" s="2" customFormat="1" ht="21.95" hidden="1" customHeight="1">
      <c r="A10" s="189">
        <v>300317</v>
      </c>
      <c r="B10" s="188" t="s">
        <v>33</v>
      </c>
      <c r="C10" s="219" t="s">
        <v>34</v>
      </c>
      <c r="D10" s="219"/>
      <c r="E10" s="193" t="s">
        <v>39</v>
      </c>
      <c r="F10" s="192"/>
      <c r="G10" s="133"/>
      <c r="H10" s="133"/>
      <c r="I10" s="133"/>
      <c r="J10" s="133"/>
      <c r="K10" s="191">
        <f t="shared" si="0"/>
        <v>0</v>
      </c>
      <c r="L10" s="191">
        <f t="shared" si="1"/>
        <v>0</v>
      </c>
      <c r="M10" s="191">
        <v>616</v>
      </c>
      <c r="N10" s="191">
        <f t="shared" si="5"/>
        <v>4.534746760895171</v>
      </c>
      <c r="O10" s="191"/>
      <c r="P10" s="191">
        <f t="shared" si="2"/>
        <v>0</v>
      </c>
      <c r="Q10" s="191"/>
      <c r="R10" s="19">
        <f t="shared" si="3"/>
        <v>0</v>
      </c>
      <c r="S10" s="191">
        <f t="shared" si="4"/>
        <v>0</v>
      </c>
      <c r="T10" s="20">
        <v>5</v>
      </c>
      <c r="U10" s="20"/>
      <c r="V10" s="190"/>
      <c r="W10" s="20"/>
      <c r="X10" s="188"/>
      <c r="Y10" s="188"/>
      <c r="Z10" s="192"/>
      <c r="AA10" s="20"/>
      <c r="AB10" s="20"/>
      <c r="AC10" s="20"/>
    </row>
    <row r="11" spans="1:29" s="2" customFormat="1" ht="21.95" hidden="1" customHeight="1">
      <c r="A11" s="189">
        <v>300315</v>
      </c>
      <c r="B11" s="188" t="s">
        <v>33</v>
      </c>
      <c r="C11" s="219" t="s">
        <v>34</v>
      </c>
      <c r="D11" s="219"/>
      <c r="E11" s="193" t="s">
        <v>40</v>
      </c>
      <c r="F11" s="192"/>
      <c r="G11" s="133"/>
      <c r="H11" s="133"/>
      <c r="I11" s="133"/>
      <c r="J11" s="133"/>
      <c r="K11" s="191">
        <f t="shared" si="0"/>
        <v>0</v>
      </c>
      <c r="L11" s="191">
        <f t="shared" si="1"/>
        <v>0</v>
      </c>
      <c r="M11" s="191">
        <v>616</v>
      </c>
      <c r="N11" s="191">
        <f t="shared" si="5"/>
        <v>4.534746760895171</v>
      </c>
      <c r="O11" s="191"/>
      <c r="P11" s="191">
        <f t="shared" si="2"/>
        <v>0</v>
      </c>
      <c r="Q11" s="191"/>
      <c r="R11" s="19">
        <f t="shared" si="3"/>
        <v>0</v>
      </c>
      <c r="S11" s="191">
        <f t="shared" si="4"/>
        <v>0</v>
      </c>
      <c r="T11" s="20">
        <v>5</v>
      </c>
      <c r="U11" s="20"/>
      <c r="V11" s="190" t="str">
        <f t="array" ref="V11">IF(ISERROR(L11/K11),"",L11/K11)</f>
        <v/>
      </c>
      <c r="W11" s="20"/>
      <c r="X11" s="188"/>
      <c r="Y11" s="188"/>
      <c r="Z11" s="192"/>
      <c r="AA11" s="20"/>
      <c r="AB11" s="20"/>
      <c r="AC11" s="20"/>
    </row>
    <row r="12" spans="1:29" s="2" customFormat="1" ht="21.95" hidden="1" customHeight="1">
      <c r="A12" s="189">
        <v>300314</v>
      </c>
      <c r="B12" s="188" t="s">
        <v>33</v>
      </c>
      <c r="C12" s="219" t="s">
        <v>34</v>
      </c>
      <c r="D12" s="219"/>
      <c r="E12" s="193" t="s">
        <v>41</v>
      </c>
      <c r="F12" s="192"/>
      <c r="G12" s="133"/>
      <c r="H12" s="133"/>
      <c r="I12" s="133"/>
      <c r="J12" s="133"/>
      <c r="K12" s="191">
        <f t="shared" si="0"/>
        <v>0</v>
      </c>
      <c r="L12" s="191">
        <f t="shared" si="1"/>
        <v>0</v>
      </c>
      <c r="M12" s="191">
        <v>616</v>
      </c>
      <c r="N12" s="191">
        <f t="shared" si="5"/>
        <v>4.534746760895171</v>
      </c>
      <c r="O12" s="191"/>
      <c r="P12" s="191">
        <f t="shared" si="2"/>
        <v>0</v>
      </c>
      <c r="Q12" s="191"/>
      <c r="R12" s="19">
        <f t="shared" si="3"/>
        <v>0</v>
      </c>
      <c r="S12" s="191">
        <f t="shared" si="4"/>
        <v>0</v>
      </c>
      <c r="T12" s="20">
        <v>5</v>
      </c>
      <c r="U12" s="20"/>
      <c r="V12" s="190" t="str">
        <f t="array" ref="V12">IF(ISERROR(L12/K12),"",L12/K12)</f>
        <v/>
      </c>
      <c r="W12" s="20"/>
      <c r="X12" s="188"/>
      <c r="Y12" s="188"/>
      <c r="Z12" s="192"/>
      <c r="AA12" s="20"/>
      <c r="AB12" s="20"/>
      <c r="AC12" s="20"/>
    </row>
    <row r="13" spans="1:29" s="2" customFormat="1" ht="21.95" hidden="1" customHeight="1">
      <c r="A13" s="189">
        <v>300313</v>
      </c>
      <c r="B13" s="188" t="s">
        <v>33</v>
      </c>
      <c r="C13" s="219" t="s">
        <v>34</v>
      </c>
      <c r="D13" s="219"/>
      <c r="E13" s="193" t="s">
        <v>42</v>
      </c>
      <c r="F13" s="192"/>
      <c r="G13" s="133"/>
      <c r="H13" s="133"/>
      <c r="I13" s="133"/>
      <c r="J13" s="133"/>
      <c r="K13" s="191">
        <f t="shared" si="0"/>
        <v>0</v>
      </c>
      <c r="L13" s="191">
        <f t="shared" si="1"/>
        <v>0</v>
      </c>
      <c r="M13" s="191">
        <v>616</v>
      </c>
      <c r="N13" s="191">
        <f t="shared" si="5"/>
        <v>4.534746760895171</v>
      </c>
      <c r="O13" s="191"/>
      <c r="P13" s="191">
        <f t="shared" si="2"/>
        <v>0</v>
      </c>
      <c r="Q13" s="191"/>
      <c r="R13" s="19">
        <f t="shared" si="3"/>
        <v>0</v>
      </c>
      <c r="S13" s="191">
        <f t="shared" si="4"/>
        <v>0</v>
      </c>
      <c r="T13" s="20">
        <v>5</v>
      </c>
      <c r="U13" s="20"/>
      <c r="V13" s="190" t="str">
        <f t="array" ref="V13">IF(ISERROR(L13/K13),"",L13/K13)</f>
        <v/>
      </c>
      <c r="W13" s="20"/>
      <c r="X13" s="188"/>
      <c r="Y13" s="188"/>
      <c r="Z13" s="192"/>
      <c r="AA13" s="20"/>
      <c r="AB13" s="20"/>
      <c r="AC13" s="20"/>
    </row>
    <row r="14" spans="1:29" s="2" customFormat="1" ht="21.95" hidden="1" customHeight="1">
      <c r="A14" s="189"/>
      <c r="B14" s="188" t="s">
        <v>43</v>
      </c>
      <c r="C14" s="230" t="s">
        <v>305</v>
      </c>
      <c r="D14" s="231"/>
      <c r="E14" s="193" t="s">
        <v>306</v>
      </c>
      <c r="F14" s="192"/>
      <c r="G14" s="133"/>
      <c r="H14" s="133"/>
      <c r="I14" s="133"/>
      <c r="J14" s="133"/>
      <c r="K14" s="191">
        <f t="shared" si="0"/>
        <v>0</v>
      </c>
      <c r="L14" s="191">
        <f t="shared" si="1"/>
        <v>0</v>
      </c>
      <c r="M14" s="191">
        <v>213.4</v>
      </c>
      <c r="N14" s="191">
        <f>+M14*1000/(15.4*10*17*60)*T14</f>
        <v>4.0756302521008401</v>
      </c>
      <c r="O14" s="191"/>
      <c r="P14" s="191">
        <f t="shared" si="2"/>
        <v>0</v>
      </c>
      <c r="Q14" s="191"/>
      <c r="R14" s="19">
        <f t="shared" si="3"/>
        <v>0</v>
      </c>
      <c r="S14" s="191">
        <f t="shared" si="4"/>
        <v>0</v>
      </c>
      <c r="T14" s="20">
        <v>3</v>
      </c>
      <c r="U14" s="20"/>
      <c r="V14" s="190"/>
      <c r="W14" s="20"/>
      <c r="X14" s="188"/>
      <c r="Y14" s="188"/>
      <c r="Z14" s="192"/>
      <c r="AA14" s="20"/>
      <c r="AB14" s="20"/>
      <c r="AC14" s="20"/>
    </row>
    <row r="15" spans="1:29" s="2" customFormat="1" ht="21.95" hidden="1" customHeight="1">
      <c r="A15" s="189"/>
      <c r="B15" s="188" t="s">
        <v>43</v>
      </c>
      <c r="C15" s="230" t="s">
        <v>305</v>
      </c>
      <c r="D15" s="231"/>
      <c r="E15" s="193" t="s">
        <v>307</v>
      </c>
      <c r="F15" s="192"/>
      <c r="G15" s="133"/>
      <c r="H15" s="133"/>
      <c r="I15" s="133"/>
      <c r="J15" s="133"/>
      <c r="K15" s="191">
        <f t="shared" si="0"/>
        <v>0</v>
      </c>
      <c r="L15" s="191">
        <f t="shared" si="1"/>
        <v>0</v>
      </c>
      <c r="M15" s="191">
        <v>213.4</v>
      </c>
      <c r="N15" s="191">
        <f>+M15*1000/(15.4*10*17*60)*T15</f>
        <v>4.0756302521008401</v>
      </c>
      <c r="O15" s="191"/>
      <c r="P15" s="191">
        <f t="shared" si="2"/>
        <v>0</v>
      </c>
      <c r="Q15" s="191"/>
      <c r="R15" s="19">
        <f t="shared" si="3"/>
        <v>0</v>
      </c>
      <c r="S15" s="191">
        <f t="shared" si="4"/>
        <v>0</v>
      </c>
      <c r="T15" s="20">
        <v>3</v>
      </c>
      <c r="U15" s="20"/>
      <c r="V15" s="190"/>
      <c r="W15" s="20"/>
      <c r="X15" s="188"/>
      <c r="Y15" s="188"/>
      <c r="Z15" s="192"/>
      <c r="AA15" s="20"/>
      <c r="AB15" s="20"/>
      <c r="AC15" s="20"/>
    </row>
    <row r="16" spans="1:29" s="2" customFormat="1" ht="21" hidden="1" customHeight="1">
      <c r="A16" s="188">
        <v>300202</v>
      </c>
      <c r="B16" s="188" t="s">
        <v>43</v>
      </c>
      <c r="C16" s="230" t="s">
        <v>44</v>
      </c>
      <c r="D16" s="231"/>
      <c r="E16" s="188" t="s">
        <v>35</v>
      </c>
      <c r="F16" s="192"/>
      <c r="G16" s="133"/>
      <c r="H16" s="133"/>
      <c r="I16" s="133"/>
      <c r="J16" s="133"/>
      <c r="K16" s="191">
        <f t="shared" si="0"/>
        <v>0</v>
      </c>
      <c r="L16" s="191">
        <f t="shared" si="1"/>
        <v>0</v>
      </c>
      <c r="M16" s="191">
        <v>212.4</v>
      </c>
      <c r="N16" s="191">
        <f>+M16*1000/(15.4*10*17*60)*T16</f>
        <v>4.0565317035905268</v>
      </c>
      <c r="O16" s="191"/>
      <c r="P16" s="191">
        <f t="shared" si="2"/>
        <v>0</v>
      </c>
      <c r="Q16" s="191"/>
      <c r="R16" s="19">
        <f t="shared" si="3"/>
        <v>0</v>
      </c>
      <c r="S16" s="191">
        <f t="shared" si="4"/>
        <v>0</v>
      </c>
      <c r="T16" s="20">
        <v>3</v>
      </c>
      <c r="U16" s="20"/>
      <c r="V16" s="190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88">
        <v>300203</v>
      </c>
      <c r="B17" s="188" t="s">
        <v>43</v>
      </c>
      <c r="C17" s="230" t="s">
        <v>44</v>
      </c>
      <c r="D17" s="231"/>
      <c r="E17" s="188" t="s">
        <v>41</v>
      </c>
      <c r="F17" s="192"/>
      <c r="G17" s="133"/>
      <c r="H17" s="133"/>
      <c r="I17" s="133"/>
      <c r="J17" s="133"/>
      <c r="K17" s="191">
        <f t="shared" si="0"/>
        <v>0</v>
      </c>
      <c r="L17" s="191">
        <f t="shared" si="1"/>
        <v>0</v>
      </c>
      <c r="M17" s="191">
        <v>212.4</v>
      </c>
      <c r="N17" s="191">
        <f>+M17*1000/(15.4*10*17*60)*T17</f>
        <v>4.0565317035905268</v>
      </c>
      <c r="O17" s="191"/>
      <c r="P17" s="191">
        <f t="shared" si="2"/>
        <v>0</v>
      </c>
      <c r="Q17" s="191"/>
      <c r="R17" s="19">
        <f t="shared" si="3"/>
        <v>0</v>
      </c>
      <c r="S17" s="191">
        <f t="shared" si="4"/>
        <v>0</v>
      </c>
      <c r="T17" s="20">
        <v>3</v>
      </c>
      <c r="U17" s="20"/>
      <c r="V17" s="190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88">
        <v>300204</v>
      </c>
      <c r="B18" s="188" t="s">
        <v>43</v>
      </c>
      <c r="C18" s="230" t="s">
        <v>44</v>
      </c>
      <c r="D18" s="231"/>
      <c r="E18" s="188" t="s">
        <v>37</v>
      </c>
      <c r="F18" s="192"/>
      <c r="G18" s="133"/>
      <c r="H18" s="133"/>
      <c r="I18" s="133"/>
      <c r="J18" s="133"/>
      <c r="K18" s="191">
        <f t="shared" si="0"/>
        <v>0</v>
      </c>
      <c r="L18" s="191">
        <f t="shared" si="1"/>
        <v>0</v>
      </c>
      <c r="M18" s="191">
        <v>212.4</v>
      </c>
      <c r="N18" s="191">
        <f>+M18*1000/(15.4*10*17*60)*T18</f>
        <v>4.0565317035905268</v>
      </c>
      <c r="O18" s="191"/>
      <c r="P18" s="191">
        <f t="shared" si="2"/>
        <v>0</v>
      </c>
      <c r="Q18" s="191"/>
      <c r="R18" s="19">
        <f t="shared" si="3"/>
        <v>0</v>
      </c>
      <c r="S18" s="191">
        <f t="shared" si="4"/>
        <v>0</v>
      </c>
      <c r="T18" s="20">
        <v>3</v>
      </c>
      <c r="U18" s="20"/>
      <c r="V18" s="190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189">
        <v>300269</v>
      </c>
      <c r="B19" s="188" t="s">
        <v>43</v>
      </c>
      <c r="C19" s="219" t="s">
        <v>45</v>
      </c>
      <c r="D19" s="219"/>
      <c r="E19" s="193"/>
      <c r="F19" s="192"/>
      <c r="G19" s="133"/>
      <c r="H19" s="133"/>
      <c r="I19" s="133"/>
      <c r="J19" s="133"/>
      <c r="K19" s="191">
        <f t="shared" si="0"/>
        <v>0</v>
      </c>
      <c r="L19" s="191">
        <f t="shared" si="1"/>
        <v>0</v>
      </c>
      <c r="M19" s="191">
        <v>209.4</v>
      </c>
      <c r="N19" s="191">
        <f>+M19*1000/(19.4*10*16*60)*T19</f>
        <v>3.3730670103092786</v>
      </c>
      <c r="O19" s="191"/>
      <c r="P19" s="191">
        <f t="shared" si="2"/>
        <v>0</v>
      </c>
      <c r="Q19" s="191"/>
      <c r="R19" s="19">
        <f t="shared" si="3"/>
        <v>0</v>
      </c>
      <c r="S19" s="191">
        <f t="shared" si="4"/>
        <v>0</v>
      </c>
      <c r="T19" s="20">
        <v>3</v>
      </c>
      <c r="U19" s="20"/>
      <c r="V19" s="190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189"/>
      <c r="B20" s="188"/>
      <c r="C20" s="219" t="s">
        <v>46</v>
      </c>
      <c r="D20" s="219"/>
      <c r="E20" s="193" t="s">
        <v>47</v>
      </c>
      <c r="F20" s="192"/>
      <c r="G20" s="133"/>
      <c r="H20" s="133"/>
      <c r="I20" s="133"/>
      <c r="J20" s="133"/>
      <c r="K20" s="191">
        <f t="shared" si="0"/>
        <v>0</v>
      </c>
      <c r="L20" s="191">
        <f t="shared" si="1"/>
        <v>0</v>
      </c>
      <c r="M20" s="191">
        <v>209.9</v>
      </c>
      <c r="N20" s="191">
        <f>+M20*1000/(19*10*16*60)*T20</f>
        <v>3.4523026315789478</v>
      </c>
      <c r="O20" s="191"/>
      <c r="P20" s="191">
        <f t="shared" si="2"/>
        <v>0</v>
      </c>
      <c r="Q20" s="191"/>
      <c r="R20" s="19">
        <f t="shared" si="3"/>
        <v>0</v>
      </c>
      <c r="S20" s="191">
        <f t="shared" si="4"/>
        <v>0</v>
      </c>
      <c r="T20" s="20">
        <v>3</v>
      </c>
      <c r="U20" s="20"/>
      <c r="V20" s="190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189">
        <v>300350</v>
      </c>
      <c r="B21" s="188" t="s">
        <v>43</v>
      </c>
      <c r="C21" s="219" t="s">
        <v>48</v>
      </c>
      <c r="D21" s="219"/>
      <c r="E21" s="193" t="s">
        <v>49</v>
      </c>
      <c r="F21" s="192"/>
      <c r="G21" s="133"/>
      <c r="H21" s="133"/>
      <c r="I21" s="133"/>
      <c r="J21" s="133"/>
      <c r="K21" s="191">
        <f t="shared" si="0"/>
        <v>0</v>
      </c>
      <c r="L21" s="191">
        <f t="shared" si="1"/>
        <v>0</v>
      </c>
      <c r="M21" s="191">
        <v>209.9</v>
      </c>
      <c r="N21" s="191">
        <f>+M21*1000/(19*10*16*60)*T21</f>
        <v>2.3015350877192984</v>
      </c>
      <c r="O21" s="191"/>
      <c r="P21" s="191">
        <f t="shared" si="2"/>
        <v>0</v>
      </c>
      <c r="Q21" s="191"/>
      <c r="R21" s="19">
        <f t="shared" si="3"/>
        <v>0</v>
      </c>
      <c r="S21" s="191">
        <f t="shared" si="4"/>
        <v>0</v>
      </c>
      <c r="T21" s="20">
        <v>2</v>
      </c>
      <c r="U21" s="20"/>
      <c r="V21" s="190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189">
        <v>300113</v>
      </c>
      <c r="B22" s="188" t="s">
        <v>43</v>
      </c>
      <c r="C22" s="219" t="s">
        <v>50</v>
      </c>
      <c r="D22" s="219"/>
      <c r="E22" s="193" t="s">
        <v>40</v>
      </c>
      <c r="F22" s="192"/>
      <c r="G22" s="133"/>
      <c r="H22" s="133"/>
      <c r="I22" s="133"/>
      <c r="J22" s="133"/>
      <c r="K22" s="191">
        <f t="shared" si="0"/>
        <v>0</v>
      </c>
      <c r="L22" s="191">
        <f t="shared" si="1"/>
        <v>0</v>
      </c>
      <c r="M22" s="191">
        <v>210</v>
      </c>
      <c r="N22" s="191">
        <f>M22*1000/(19.2*10*17*60)*T22</f>
        <v>2.1446078431372548</v>
      </c>
      <c r="O22" s="191"/>
      <c r="P22" s="191">
        <f t="shared" si="2"/>
        <v>0</v>
      </c>
      <c r="Q22" s="191"/>
      <c r="R22" s="19">
        <f t="shared" si="3"/>
        <v>0</v>
      </c>
      <c r="S22" s="191">
        <f t="shared" si="4"/>
        <v>0</v>
      </c>
      <c r="T22" s="20">
        <v>2</v>
      </c>
      <c r="U22" s="20"/>
      <c r="V22" s="190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189">
        <v>300114</v>
      </c>
      <c r="B23" s="188" t="s">
        <v>43</v>
      </c>
      <c r="C23" s="219" t="s">
        <v>50</v>
      </c>
      <c r="D23" s="219"/>
      <c r="E23" s="193" t="s">
        <v>42</v>
      </c>
      <c r="F23" s="192"/>
      <c r="G23" s="133"/>
      <c r="H23" s="133"/>
      <c r="I23" s="133"/>
      <c r="J23" s="133"/>
      <c r="K23" s="191">
        <f t="shared" si="0"/>
        <v>0</v>
      </c>
      <c r="L23" s="191">
        <f t="shared" si="1"/>
        <v>0</v>
      </c>
      <c r="M23" s="191">
        <v>210</v>
      </c>
      <c r="N23" s="191">
        <f>M23*1000/(19.2*10*17*60)*T23</f>
        <v>2.1446078431372548</v>
      </c>
      <c r="O23" s="191"/>
      <c r="P23" s="191">
        <f t="shared" si="2"/>
        <v>0</v>
      </c>
      <c r="Q23" s="191"/>
      <c r="R23" s="19">
        <f t="shared" si="3"/>
        <v>0</v>
      </c>
      <c r="S23" s="191">
        <f t="shared" si="4"/>
        <v>0</v>
      </c>
      <c r="T23" s="20">
        <v>2</v>
      </c>
      <c r="U23" s="20"/>
      <c r="V23" s="190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189">
        <v>300115</v>
      </c>
      <c r="B24" s="188" t="s">
        <v>43</v>
      </c>
      <c r="C24" s="219" t="s">
        <v>50</v>
      </c>
      <c r="D24" s="219"/>
      <c r="E24" s="193" t="s">
        <v>41</v>
      </c>
      <c r="F24" s="192"/>
      <c r="G24" s="133"/>
      <c r="H24" s="133"/>
      <c r="I24" s="133"/>
      <c r="J24" s="133"/>
      <c r="K24" s="191">
        <f t="shared" si="0"/>
        <v>0</v>
      </c>
      <c r="L24" s="191">
        <f t="shared" si="1"/>
        <v>0</v>
      </c>
      <c r="M24" s="191">
        <v>210</v>
      </c>
      <c r="N24" s="191">
        <f>M24*1000/(19.2*10*17*60)*T24</f>
        <v>2.1446078431372548</v>
      </c>
      <c r="O24" s="191"/>
      <c r="P24" s="191">
        <f t="shared" si="2"/>
        <v>0</v>
      </c>
      <c r="Q24" s="191"/>
      <c r="R24" s="19">
        <f t="shared" si="3"/>
        <v>0</v>
      </c>
      <c r="S24" s="191">
        <f t="shared" si="4"/>
        <v>0</v>
      </c>
      <c r="T24" s="20">
        <v>2</v>
      </c>
      <c r="U24" s="20"/>
      <c r="V24" s="190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189">
        <v>300011</v>
      </c>
      <c r="B25" s="188" t="s">
        <v>43</v>
      </c>
      <c r="C25" s="219" t="s">
        <v>51</v>
      </c>
      <c r="D25" s="219"/>
      <c r="E25" s="193" t="s">
        <v>40</v>
      </c>
      <c r="F25" s="192"/>
      <c r="G25" s="133"/>
      <c r="H25" s="133"/>
      <c r="I25" s="133"/>
      <c r="J25" s="133"/>
      <c r="K25" s="191">
        <f t="shared" si="0"/>
        <v>0</v>
      </c>
      <c r="L25" s="191">
        <f t="shared" si="1"/>
        <v>0</v>
      </c>
      <c r="M25" s="191">
        <v>524.6</v>
      </c>
      <c r="N25" s="191">
        <f>+M25*1000/(25.4*20*15*60)*T25</f>
        <v>3.4422572178477688</v>
      </c>
      <c r="O25" s="191"/>
      <c r="P25" s="191">
        <f t="shared" si="2"/>
        <v>0</v>
      </c>
      <c r="Q25" s="191"/>
      <c r="R25" s="19">
        <f t="shared" si="3"/>
        <v>0</v>
      </c>
      <c r="S25" s="191">
        <f t="shared" si="4"/>
        <v>0</v>
      </c>
      <c r="T25" s="20">
        <v>3</v>
      </c>
      <c r="U25" s="20"/>
      <c r="V25" s="190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189">
        <v>300012</v>
      </c>
      <c r="B26" s="188" t="s">
        <v>43</v>
      </c>
      <c r="C26" s="219" t="s">
        <v>51</v>
      </c>
      <c r="D26" s="219"/>
      <c r="E26" s="193" t="s">
        <v>41</v>
      </c>
      <c r="F26" s="192"/>
      <c r="G26" s="133"/>
      <c r="H26" s="133"/>
      <c r="I26" s="133"/>
      <c r="J26" s="133"/>
      <c r="K26" s="191">
        <f t="shared" si="0"/>
        <v>0</v>
      </c>
      <c r="L26" s="191">
        <f t="shared" si="1"/>
        <v>0</v>
      </c>
      <c r="M26" s="191">
        <v>524.6</v>
      </c>
      <c r="N26" s="191">
        <f>+M26*1000/(25.4*20*15*60)*T26</f>
        <v>3.4422572178477688</v>
      </c>
      <c r="O26" s="191"/>
      <c r="P26" s="191">
        <f t="shared" si="2"/>
        <v>0</v>
      </c>
      <c r="Q26" s="191"/>
      <c r="R26" s="19">
        <f t="shared" si="3"/>
        <v>0</v>
      </c>
      <c r="S26" s="191">
        <f t="shared" si="4"/>
        <v>0</v>
      </c>
      <c r="T26" s="20">
        <v>3</v>
      </c>
      <c r="U26" s="20"/>
      <c r="V26" s="190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189">
        <v>300013</v>
      </c>
      <c r="B27" s="188" t="s">
        <v>43</v>
      </c>
      <c r="C27" s="219" t="s">
        <v>51</v>
      </c>
      <c r="D27" s="219"/>
      <c r="E27" s="193" t="s">
        <v>42</v>
      </c>
      <c r="F27" s="192"/>
      <c r="G27" s="133"/>
      <c r="H27" s="133"/>
      <c r="I27" s="133"/>
      <c r="J27" s="133"/>
      <c r="K27" s="191">
        <f t="shared" si="0"/>
        <v>0</v>
      </c>
      <c r="L27" s="191">
        <f t="shared" si="1"/>
        <v>0</v>
      </c>
      <c r="M27" s="191">
        <v>524.6</v>
      </c>
      <c r="N27" s="191">
        <f>+M27*1000/(25.4*20*15*60)*T27</f>
        <v>3.4422572178477688</v>
      </c>
      <c r="O27" s="191"/>
      <c r="P27" s="191">
        <f t="shared" si="2"/>
        <v>0</v>
      </c>
      <c r="Q27" s="191"/>
      <c r="R27" s="19">
        <f t="shared" si="3"/>
        <v>0</v>
      </c>
      <c r="S27" s="191">
        <f t="shared" si="4"/>
        <v>0</v>
      </c>
      <c r="T27" s="20">
        <v>3</v>
      </c>
      <c r="U27" s="20"/>
      <c r="V27" s="190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189">
        <v>300016</v>
      </c>
      <c r="B28" s="188" t="s">
        <v>43</v>
      </c>
      <c r="C28" s="219" t="s">
        <v>51</v>
      </c>
      <c r="D28" s="219"/>
      <c r="E28" s="193" t="s">
        <v>38</v>
      </c>
      <c r="F28" s="192"/>
      <c r="G28" s="133"/>
      <c r="H28" s="133"/>
      <c r="I28" s="133"/>
      <c r="J28" s="133"/>
      <c r="K28" s="191">
        <f t="shared" si="0"/>
        <v>0</v>
      </c>
      <c r="L28" s="191">
        <f t="shared" si="1"/>
        <v>0</v>
      </c>
      <c r="M28" s="191">
        <v>524.6</v>
      </c>
      <c r="N28" s="191">
        <f>+M28*1000/(25.4*20*15*60)*T28</f>
        <v>3.4422572178477688</v>
      </c>
      <c r="O28" s="191"/>
      <c r="P28" s="191">
        <f t="shared" si="2"/>
        <v>0</v>
      </c>
      <c r="Q28" s="191"/>
      <c r="R28" s="19">
        <f t="shared" si="3"/>
        <v>0</v>
      </c>
      <c r="S28" s="191">
        <f t="shared" si="4"/>
        <v>0</v>
      </c>
      <c r="T28" s="20">
        <v>3</v>
      </c>
      <c r="U28" s="20"/>
      <c r="V28" s="190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189">
        <v>3000435</v>
      </c>
      <c r="B29" s="188" t="s">
        <v>43</v>
      </c>
      <c r="C29" s="219" t="s">
        <v>51</v>
      </c>
      <c r="D29" s="219"/>
      <c r="E29" s="193" t="s">
        <v>301</v>
      </c>
      <c r="F29" s="192"/>
      <c r="G29" s="133"/>
      <c r="H29" s="133"/>
      <c r="I29" s="133"/>
      <c r="J29" s="133"/>
      <c r="K29" s="191">
        <f t="shared" si="0"/>
        <v>0</v>
      </c>
      <c r="L29" s="191">
        <f t="shared" si="1"/>
        <v>0</v>
      </c>
      <c r="M29" s="191">
        <v>524.6</v>
      </c>
      <c r="N29" s="191">
        <f>+M29*1000/(25.4*20*15*60)*T29</f>
        <v>3.4422572178477688</v>
      </c>
      <c r="O29" s="191"/>
      <c r="P29" s="191">
        <f t="shared" si="2"/>
        <v>0</v>
      </c>
      <c r="Q29" s="191"/>
      <c r="R29" s="19">
        <f t="shared" si="3"/>
        <v>0</v>
      </c>
      <c r="S29" s="191">
        <f t="shared" si="4"/>
        <v>0</v>
      </c>
      <c r="T29" s="20">
        <v>3</v>
      </c>
      <c r="U29" s="20"/>
      <c r="V29" s="190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189">
        <v>300276</v>
      </c>
      <c r="B30" s="188" t="s">
        <v>43</v>
      </c>
      <c r="C30" s="219" t="s">
        <v>53</v>
      </c>
      <c r="D30" s="219"/>
      <c r="E30" s="193" t="s">
        <v>41</v>
      </c>
      <c r="F30" s="192"/>
      <c r="G30" s="133"/>
      <c r="H30" s="133"/>
      <c r="I30" s="133"/>
      <c r="J30" s="133"/>
      <c r="K30" s="191">
        <f t="shared" si="0"/>
        <v>0</v>
      </c>
      <c r="L30" s="191">
        <f t="shared" si="1"/>
        <v>0</v>
      </c>
      <c r="M30" s="191">
        <v>266</v>
      </c>
      <c r="N30" s="191">
        <f>+M30*1000/(29.8*10*13*60)*T30</f>
        <v>3.4331440371708828</v>
      </c>
      <c r="O30" s="191"/>
      <c r="P30" s="191">
        <f t="shared" si="2"/>
        <v>0</v>
      </c>
      <c r="Q30" s="191"/>
      <c r="R30" s="19">
        <f t="shared" si="3"/>
        <v>0</v>
      </c>
      <c r="S30" s="191">
        <f t="shared" si="4"/>
        <v>0</v>
      </c>
      <c r="T30" s="20">
        <v>3</v>
      </c>
      <c r="U30" s="20"/>
      <c r="V30" s="190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189">
        <v>300277</v>
      </c>
      <c r="B31" s="188" t="s">
        <v>43</v>
      </c>
      <c r="C31" s="219" t="s">
        <v>53</v>
      </c>
      <c r="D31" s="219"/>
      <c r="E31" s="193" t="s">
        <v>39</v>
      </c>
      <c r="F31" s="192"/>
      <c r="G31" s="133"/>
      <c r="H31" s="133"/>
      <c r="I31" s="133"/>
      <c r="J31" s="133"/>
      <c r="K31" s="191">
        <f t="shared" si="0"/>
        <v>0</v>
      </c>
      <c r="L31" s="191">
        <f t="shared" si="1"/>
        <v>0</v>
      </c>
      <c r="M31" s="191">
        <v>266</v>
      </c>
      <c r="N31" s="191">
        <f>+M31*1000/(29.8*10*13*60)*T31</f>
        <v>3.4331440371708828</v>
      </c>
      <c r="O31" s="191"/>
      <c r="P31" s="191">
        <f t="shared" si="2"/>
        <v>0</v>
      </c>
      <c r="Q31" s="191"/>
      <c r="R31" s="19">
        <f t="shared" si="3"/>
        <v>0</v>
      </c>
      <c r="S31" s="191">
        <f t="shared" si="4"/>
        <v>0</v>
      </c>
      <c r="T31" s="20">
        <v>3</v>
      </c>
      <c r="U31" s="20"/>
      <c r="V31" s="190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189">
        <v>300278</v>
      </c>
      <c r="B32" s="188" t="s">
        <v>43</v>
      </c>
      <c r="C32" s="219" t="s">
        <v>53</v>
      </c>
      <c r="D32" s="219"/>
      <c r="E32" s="193" t="s">
        <v>54</v>
      </c>
      <c r="F32" s="192"/>
      <c r="G32" s="133"/>
      <c r="H32" s="133"/>
      <c r="I32" s="133"/>
      <c r="J32" s="133"/>
      <c r="K32" s="191">
        <f t="shared" si="0"/>
        <v>0</v>
      </c>
      <c r="L32" s="191">
        <f t="shared" si="1"/>
        <v>0</v>
      </c>
      <c r="M32" s="191">
        <v>266</v>
      </c>
      <c r="N32" s="191">
        <f>+M32*1000/(29.8*10*13*60)*T32</f>
        <v>3.4331440371708828</v>
      </c>
      <c r="O32" s="191"/>
      <c r="P32" s="191">
        <f t="shared" si="2"/>
        <v>0</v>
      </c>
      <c r="Q32" s="191"/>
      <c r="R32" s="19">
        <f t="shared" si="3"/>
        <v>0</v>
      </c>
      <c r="S32" s="191">
        <f t="shared" si="4"/>
        <v>0</v>
      </c>
      <c r="T32" s="20">
        <v>3</v>
      </c>
      <c r="U32" s="20"/>
      <c r="V32" s="190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189">
        <v>300027</v>
      </c>
      <c r="B33" s="188" t="s">
        <v>55</v>
      </c>
      <c r="C33" s="219" t="s">
        <v>56</v>
      </c>
      <c r="D33" s="219"/>
      <c r="E33" s="193" t="s">
        <v>54</v>
      </c>
      <c r="F33" s="192"/>
      <c r="G33" s="133"/>
      <c r="H33" s="133"/>
      <c r="I33" s="133"/>
      <c r="J33" s="133"/>
      <c r="K33" s="191">
        <f t="shared" si="0"/>
        <v>0</v>
      </c>
      <c r="L33" s="191">
        <f t="shared" si="1"/>
        <v>0</v>
      </c>
      <c r="M33" s="191">
        <v>550.4</v>
      </c>
      <c r="N33" s="191">
        <f>+M33*1000/(31*20*15*60)*T33</f>
        <v>2.9591397849462364</v>
      </c>
      <c r="O33" s="191"/>
      <c r="P33" s="191">
        <f t="shared" si="2"/>
        <v>0</v>
      </c>
      <c r="Q33" s="191"/>
      <c r="R33" s="19">
        <f t="shared" si="3"/>
        <v>0</v>
      </c>
      <c r="S33" s="191">
        <f t="shared" si="4"/>
        <v>0</v>
      </c>
      <c r="T33" s="20">
        <v>3</v>
      </c>
      <c r="U33" s="20"/>
      <c r="V33" s="190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customHeight="1">
      <c r="A34" s="189">
        <v>300028</v>
      </c>
      <c r="B34" s="188" t="s">
        <v>319</v>
      </c>
      <c r="C34" s="219" t="s">
        <v>56</v>
      </c>
      <c r="D34" s="219"/>
      <c r="E34" s="193" t="s">
        <v>35</v>
      </c>
      <c r="F34" s="192">
        <v>2026</v>
      </c>
      <c r="G34" s="133">
        <v>16.143000000000001</v>
      </c>
      <c r="H34" s="133">
        <v>0.2</v>
      </c>
      <c r="I34" s="133">
        <f>16+H34-J34/500</f>
        <v>16.14</v>
      </c>
      <c r="J34" s="133">
        <v>30</v>
      </c>
      <c r="K34" s="191">
        <f t="shared" si="0"/>
        <v>8885.1072000000004</v>
      </c>
      <c r="L34" s="191">
        <f t="shared" si="1"/>
        <v>8883.4560000000001</v>
      </c>
      <c r="M34" s="191">
        <v>550.4</v>
      </c>
      <c r="N34" s="191">
        <f>+M34*1000/(31*20*15*60)*T34</f>
        <v>2.9591397849462364</v>
      </c>
      <c r="O34" s="191"/>
      <c r="P34" s="191">
        <f t="shared" si="2"/>
        <v>47.760516129032254</v>
      </c>
      <c r="Q34" s="191">
        <v>22</v>
      </c>
      <c r="R34" s="19">
        <f t="shared" si="3"/>
        <v>110</v>
      </c>
      <c r="S34" s="191">
        <f t="shared" si="4"/>
        <v>62.239483870967746</v>
      </c>
      <c r="T34" s="20">
        <v>3</v>
      </c>
      <c r="U34" s="20">
        <v>5</v>
      </c>
      <c r="V34" s="190">
        <f t="array" ref="V34">IF(ISERROR(L34/K34),"",L34/K34)</f>
        <v>0.99981416093662889</v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189">
        <v>300029</v>
      </c>
      <c r="B35" s="188" t="s">
        <v>55</v>
      </c>
      <c r="C35" s="219" t="s">
        <v>56</v>
      </c>
      <c r="D35" s="219"/>
      <c r="E35" s="193" t="s">
        <v>57</v>
      </c>
      <c r="F35" s="192"/>
      <c r="G35" s="133"/>
      <c r="H35" s="133"/>
      <c r="I35" s="133"/>
      <c r="J35" s="133"/>
      <c r="K35" s="191">
        <f t="shared" si="0"/>
        <v>0</v>
      </c>
      <c r="L35" s="191">
        <f t="shared" si="1"/>
        <v>0</v>
      </c>
      <c r="M35" s="191">
        <v>550.4</v>
      </c>
      <c r="N35" s="191">
        <f>+M35*1000/(31*20*15*60)*T35</f>
        <v>2.9591397849462364</v>
      </c>
      <c r="O35" s="191"/>
      <c r="P35" s="191">
        <f t="shared" si="2"/>
        <v>0</v>
      </c>
      <c r="Q35" s="191"/>
      <c r="R35" s="19">
        <f t="shared" si="3"/>
        <v>0</v>
      </c>
      <c r="S35" s="191">
        <f t="shared" si="4"/>
        <v>0</v>
      </c>
      <c r="T35" s="20">
        <v>3</v>
      </c>
      <c r="U35" s="20"/>
      <c r="V35" s="190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189">
        <v>300026</v>
      </c>
      <c r="B36" s="188" t="s">
        <v>55</v>
      </c>
      <c r="C36" s="219" t="s">
        <v>56</v>
      </c>
      <c r="D36" s="219"/>
      <c r="E36" s="193" t="s">
        <v>37</v>
      </c>
      <c r="F36" s="192"/>
      <c r="G36" s="133"/>
      <c r="H36" s="133"/>
      <c r="I36" s="133"/>
      <c r="J36" s="133"/>
      <c r="K36" s="191">
        <f t="shared" si="0"/>
        <v>0</v>
      </c>
      <c r="L36" s="191">
        <f t="shared" si="1"/>
        <v>0</v>
      </c>
      <c r="M36" s="191">
        <v>550.4</v>
      </c>
      <c r="N36" s="191">
        <f>+M36*1000/(31*20*15*60)*T36</f>
        <v>2.9591397849462364</v>
      </c>
      <c r="O36" s="191"/>
      <c r="P36" s="191">
        <f t="shared" si="2"/>
        <v>0</v>
      </c>
      <c r="Q36" s="191"/>
      <c r="R36" s="19">
        <f t="shared" si="3"/>
        <v>0</v>
      </c>
      <c r="S36" s="191">
        <f t="shared" si="4"/>
        <v>0</v>
      </c>
      <c r="T36" s="20">
        <v>3</v>
      </c>
      <c r="U36" s="20"/>
      <c r="V36" s="190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189">
        <v>300032</v>
      </c>
      <c r="B37" s="188">
        <v>3002</v>
      </c>
      <c r="C37" s="219" t="s">
        <v>58</v>
      </c>
      <c r="D37" s="219" t="s">
        <v>59</v>
      </c>
      <c r="E37" s="193" t="s">
        <v>35</v>
      </c>
      <c r="F37" s="192"/>
      <c r="G37" s="133"/>
      <c r="H37" s="133"/>
      <c r="I37" s="133"/>
      <c r="J37" s="133"/>
      <c r="K37" s="191">
        <f t="shared" si="0"/>
        <v>0</v>
      </c>
      <c r="L37" s="191">
        <f t="shared" si="1"/>
        <v>0</v>
      </c>
      <c r="M37" s="191">
        <v>285.7</v>
      </c>
      <c r="N37" s="191">
        <f>+M37*1000/(31*10*13*60)*T37</f>
        <v>7.0893300248138953</v>
      </c>
      <c r="O37" s="191"/>
      <c r="P37" s="191">
        <f t="shared" si="2"/>
        <v>0</v>
      </c>
      <c r="Q37" s="191"/>
      <c r="R37" s="19">
        <f t="shared" si="3"/>
        <v>0</v>
      </c>
      <c r="S37" s="191">
        <f t="shared" si="4"/>
        <v>0</v>
      </c>
      <c r="T37" s="20">
        <v>6</v>
      </c>
      <c r="U37" s="20"/>
      <c r="V37" s="190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189">
        <v>300413</v>
      </c>
      <c r="B38" s="188">
        <v>3002</v>
      </c>
      <c r="C38" s="230" t="s">
        <v>296</v>
      </c>
      <c r="D38" s="231"/>
      <c r="E38" s="193" t="s">
        <v>294</v>
      </c>
      <c r="F38" s="192"/>
      <c r="G38" s="133"/>
      <c r="H38" s="133"/>
      <c r="I38" s="133"/>
      <c r="J38" s="133"/>
      <c r="K38" s="191">
        <f t="shared" si="0"/>
        <v>0</v>
      </c>
      <c r="L38" s="191">
        <f t="shared" si="1"/>
        <v>0</v>
      </c>
      <c r="M38" s="191">
        <v>528.79999999999995</v>
      </c>
      <c r="N38" s="191">
        <f>+M38*1000/(31*10*13*60)*T38</f>
        <v>6.5607940446650126</v>
      </c>
      <c r="O38" s="191"/>
      <c r="P38" s="191">
        <f t="shared" si="2"/>
        <v>0</v>
      </c>
      <c r="Q38" s="191"/>
      <c r="R38" s="19">
        <f t="shared" si="3"/>
        <v>0</v>
      </c>
      <c r="S38" s="191">
        <f t="shared" si="4"/>
        <v>0</v>
      </c>
      <c r="T38" s="20">
        <v>3</v>
      </c>
      <c r="U38" s="20"/>
      <c r="V38" s="190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189">
        <v>300414</v>
      </c>
      <c r="B39" s="188">
        <v>3002</v>
      </c>
      <c r="C39" s="230" t="s">
        <v>296</v>
      </c>
      <c r="D39" s="231"/>
      <c r="E39" s="193" t="s">
        <v>303</v>
      </c>
      <c r="F39" s="192"/>
      <c r="G39" s="133"/>
      <c r="H39" s="133"/>
      <c r="I39" s="133"/>
      <c r="J39" s="133"/>
      <c r="K39" s="191">
        <f t="shared" si="0"/>
        <v>0</v>
      </c>
      <c r="L39" s="191">
        <f t="shared" si="1"/>
        <v>0</v>
      </c>
      <c r="M39" s="191">
        <v>528.79999999999995</v>
      </c>
      <c r="N39" s="191">
        <f>+M39*1000/(31*10*13*60)*T39</f>
        <v>6.5607940446650126</v>
      </c>
      <c r="O39" s="191"/>
      <c r="P39" s="191">
        <f t="shared" si="2"/>
        <v>0</v>
      </c>
      <c r="Q39" s="191"/>
      <c r="R39" s="19">
        <f t="shared" si="3"/>
        <v>0</v>
      </c>
      <c r="S39" s="191">
        <f t="shared" si="4"/>
        <v>0</v>
      </c>
      <c r="T39" s="20">
        <v>3</v>
      </c>
      <c r="U39" s="20"/>
      <c r="V39" s="190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189">
        <v>300415</v>
      </c>
      <c r="B40" s="188">
        <v>3002</v>
      </c>
      <c r="C40" s="230" t="s">
        <v>296</v>
      </c>
      <c r="D40" s="231"/>
      <c r="E40" s="193" t="s">
        <v>295</v>
      </c>
      <c r="F40" s="192"/>
      <c r="G40" s="133"/>
      <c r="H40" s="133"/>
      <c r="I40" s="133"/>
      <c r="J40" s="133"/>
      <c r="K40" s="191">
        <f t="shared" si="0"/>
        <v>0</v>
      </c>
      <c r="L40" s="191">
        <f t="shared" si="1"/>
        <v>0</v>
      </c>
      <c r="M40" s="191">
        <v>528.79999999999995</v>
      </c>
      <c r="N40" s="191">
        <f>+M40*1000/(31*10*13*60)*T40</f>
        <v>6.5607940446650126</v>
      </c>
      <c r="O40" s="191"/>
      <c r="P40" s="191">
        <f t="shared" si="2"/>
        <v>0</v>
      </c>
      <c r="Q40" s="191"/>
      <c r="R40" s="19">
        <f t="shared" si="3"/>
        <v>0</v>
      </c>
      <c r="S40" s="191">
        <f t="shared" si="4"/>
        <v>0</v>
      </c>
      <c r="T40" s="20">
        <v>3</v>
      </c>
      <c r="U40" s="20"/>
      <c r="V40" s="190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189">
        <v>300035</v>
      </c>
      <c r="B41" s="188" t="s">
        <v>60</v>
      </c>
      <c r="C41" s="219" t="s">
        <v>61</v>
      </c>
      <c r="D41" s="219" t="s">
        <v>62</v>
      </c>
      <c r="E41" s="193" t="s">
        <v>35</v>
      </c>
      <c r="F41" s="192"/>
      <c r="G41" s="133"/>
      <c r="H41" s="133"/>
      <c r="I41" s="133"/>
      <c r="J41" s="133"/>
      <c r="K41" s="191">
        <f t="shared" si="0"/>
        <v>0</v>
      </c>
      <c r="L41" s="191">
        <f t="shared" si="1"/>
        <v>0</v>
      </c>
      <c r="M41" s="191">
        <v>366.93</v>
      </c>
      <c r="N41" s="191">
        <f>+M41*1000/(35.8*10*13*60)*T41</f>
        <v>2.6280618822518265</v>
      </c>
      <c r="O41" s="191"/>
      <c r="P41" s="191">
        <f t="shared" si="2"/>
        <v>0</v>
      </c>
      <c r="Q41" s="191"/>
      <c r="R41" s="19">
        <f t="shared" si="3"/>
        <v>0</v>
      </c>
      <c r="S41" s="191">
        <f t="shared" si="4"/>
        <v>0</v>
      </c>
      <c r="T41" s="20">
        <v>2</v>
      </c>
      <c r="U41" s="20"/>
      <c r="V41" s="190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189">
        <v>300036</v>
      </c>
      <c r="B42" s="188" t="s">
        <v>60</v>
      </c>
      <c r="C42" s="219" t="s">
        <v>61</v>
      </c>
      <c r="D42" s="219" t="s">
        <v>62</v>
      </c>
      <c r="E42" s="193" t="s">
        <v>63</v>
      </c>
      <c r="F42" s="192"/>
      <c r="G42" s="133"/>
      <c r="H42" s="133"/>
      <c r="I42" s="133"/>
      <c r="J42" s="133"/>
      <c r="K42" s="191">
        <f t="shared" si="0"/>
        <v>0</v>
      </c>
      <c r="L42" s="191">
        <f t="shared" si="1"/>
        <v>0</v>
      </c>
      <c r="M42" s="191">
        <v>366.93</v>
      </c>
      <c r="N42" s="191">
        <f>+M42*1000/(35.8*10*13*60)*T42</f>
        <v>2.6280618822518265</v>
      </c>
      <c r="O42" s="191"/>
      <c r="P42" s="191">
        <f t="shared" si="2"/>
        <v>0</v>
      </c>
      <c r="Q42" s="191"/>
      <c r="R42" s="19">
        <f t="shared" si="3"/>
        <v>0</v>
      </c>
      <c r="S42" s="191">
        <f t="shared" si="4"/>
        <v>0</v>
      </c>
      <c r="T42" s="20">
        <v>2</v>
      </c>
      <c r="U42" s="20"/>
      <c r="V42" s="190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189">
        <v>300037</v>
      </c>
      <c r="B43" s="188" t="s">
        <v>60</v>
      </c>
      <c r="C43" s="219" t="s">
        <v>61</v>
      </c>
      <c r="D43" s="219" t="s">
        <v>62</v>
      </c>
      <c r="E43" s="193" t="s">
        <v>37</v>
      </c>
      <c r="F43" s="192"/>
      <c r="G43" s="133"/>
      <c r="H43" s="133"/>
      <c r="I43" s="133"/>
      <c r="J43" s="133"/>
      <c r="K43" s="191">
        <f t="shared" si="0"/>
        <v>0</v>
      </c>
      <c r="L43" s="191">
        <f t="shared" si="1"/>
        <v>0</v>
      </c>
      <c r="M43" s="191">
        <v>366.93</v>
      </c>
      <c r="N43" s="191">
        <f>+M43*1000/(35.8*10*13*60)*T43</f>
        <v>2.6280618822518265</v>
      </c>
      <c r="O43" s="191"/>
      <c r="P43" s="191">
        <f t="shared" si="2"/>
        <v>0</v>
      </c>
      <c r="Q43" s="191"/>
      <c r="R43" s="19">
        <f t="shared" si="3"/>
        <v>0</v>
      </c>
      <c r="S43" s="191">
        <f t="shared" si="4"/>
        <v>0</v>
      </c>
      <c r="T43" s="20">
        <v>2</v>
      </c>
      <c r="U43" s="20"/>
      <c r="V43" s="190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189">
        <v>300038</v>
      </c>
      <c r="B44" s="188" t="s">
        <v>60</v>
      </c>
      <c r="C44" s="219" t="s">
        <v>64</v>
      </c>
      <c r="D44" s="219" t="s">
        <v>65</v>
      </c>
      <c r="E44" s="193" t="s">
        <v>35</v>
      </c>
      <c r="F44" s="192"/>
      <c r="G44" s="133"/>
      <c r="H44" s="133"/>
      <c r="I44" s="133"/>
      <c r="J44" s="133"/>
      <c r="K44" s="191">
        <f t="shared" si="0"/>
        <v>0</v>
      </c>
      <c r="L44" s="191">
        <f t="shared" si="1"/>
        <v>0</v>
      </c>
      <c r="M44" s="191">
        <v>301.14</v>
      </c>
      <c r="N44" s="191">
        <f>+M44*1000/(35.8*10*13*60)*T44</f>
        <v>5.3921357971637294</v>
      </c>
      <c r="O44" s="191"/>
      <c r="P44" s="191">
        <f t="shared" si="2"/>
        <v>0</v>
      </c>
      <c r="Q44" s="191"/>
      <c r="R44" s="19">
        <f t="shared" si="3"/>
        <v>0</v>
      </c>
      <c r="S44" s="191">
        <f t="shared" si="4"/>
        <v>0</v>
      </c>
      <c r="T44" s="20">
        <v>5</v>
      </c>
      <c r="U44" s="20"/>
      <c r="V44" s="190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189">
        <v>300039</v>
      </c>
      <c r="B45" s="188" t="s">
        <v>60</v>
      </c>
      <c r="C45" s="219" t="s">
        <v>64</v>
      </c>
      <c r="D45" s="219" t="s">
        <v>65</v>
      </c>
      <c r="E45" s="193" t="s">
        <v>66</v>
      </c>
      <c r="F45" s="192"/>
      <c r="G45" s="133"/>
      <c r="H45" s="133"/>
      <c r="I45" s="133"/>
      <c r="J45" s="133"/>
      <c r="K45" s="191">
        <f t="shared" si="0"/>
        <v>0</v>
      </c>
      <c r="L45" s="191">
        <f t="shared" si="1"/>
        <v>0</v>
      </c>
      <c r="M45" s="191">
        <v>310.39999999999998</v>
      </c>
      <c r="N45" s="191">
        <f>+M45*1000/(35.8*10*13*60)*T45</f>
        <v>5.557942988110586</v>
      </c>
      <c r="O45" s="191"/>
      <c r="P45" s="191">
        <f t="shared" si="2"/>
        <v>0</v>
      </c>
      <c r="Q45" s="191"/>
      <c r="R45" s="19">
        <f t="shared" si="3"/>
        <v>0</v>
      </c>
      <c r="S45" s="191">
        <f t="shared" si="4"/>
        <v>0</v>
      </c>
      <c r="T45" s="20">
        <v>5</v>
      </c>
      <c r="U45" s="20"/>
      <c r="V45" s="190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89">
        <v>300416</v>
      </c>
      <c r="B46" s="188" t="s">
        <v>67</v>
      </c>
      <c r="C46" s="230" t="s">
        <v>68</v>
      </c>
      <c r="D46" s="231"/>
      <c r="E46" s="193" t="s">
        <v>69</v>
      </c>
      <c r="F46" s="192"/>
      <c r="G46" s="133"/>
      <c r="H46" s="133"/>
      <c r="I46" s="133"/>
      <c r="J46" s="133"/>
      <c r="K46" s="191">
        <f t="shared" si="0"/>
        <v>0</v>
      </c>
      <c r="L46" s="191">
        <f t="shared" si="1"/>
        <v>0</v>
      </c>
      <c r="M46" s="191">
        <v>385.6</v>
      </c>
      <c r="N46" s="191">
        <f>+M46*1000/(25.4*20*15*60)*T46</f>
        <v>2.5301837270341205</v>
      </c>
      <c r="O46" s="191"/>
      <c r="P46" s="191">
        <f t="shared" si="2"/>
        <v>0</v>
      </c>
      <c r="Q46" s="191"/>
      <c r="R46" s="19">
        <f t="shared" si="3"/>
        <v>0</v>
      </c>
      <c r="S46" s="191">
        <f t="shared" si="4"/>
        <v>0</v>
      </c>
      <c r="T46" s="20">
        <v>3</v>
      </c>
      <c r="U46" s="20"/>
      <c r="V46" s="190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89">
        <v>300417</v>
      </c>
      <c r="B47" s="188" t="s">
        <v>67</v>
      </c>
      <c r="C47" s="230" t="s">
        <v>68</v>
      </c>
      <c r="D47" s="231"/>
      <c r="E47" s="193" t="s">
        <v>70</v>
      </c>
      <c r="F47" s="192"/>
      <c r="G47" s="133"/>
      <c r="H47" s="133"/>
      <c r="I47" s="133"/>
      <c r="J47" s="133"/>
      <c r="K47" s="191">
        <f t="shared" si="0"/>
        <v>0</v>
      </c>
      <c r="L47" s="191">
        <f t="shared" si="1"/>
        <v>0</v>
      </c>
      <c r="M47" s="191">
        <v>385.6</v>
      </c>
      <c r="N47" s="191">
        <f>+M47*1000/(25.4*20*15*60)*T47</f>
        <v>2.5301837270341205</v>
      </c>
      <c r="O47" s="191"/>
      <c r="P47" s="191">
        <f t="shared" si="2"/>
        <v>0</v>
      </c>
      <c r="Q47" s="191"/>
      <c r="R47" s="19">
        <f t="shared" si="3"/>
        <v>0</v>
      </c>
      <c r="S47" s="191">
        <f t="shared" si="4"/>
        <v>0</v>
      </c>
      <c r="T47" s="20">
        <v>3</v>
      </c>
      <c r="U47" s="20"/>
      <c r="V47" s="190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89">
        <v>300418</v>
      </c>
      <c r="B48" s="188" t="s">
        <v>67</v>
      </c>
      <c r="C48" s="230" t="s">
        <v>68</v>
      </c>
      <c r="D48" s="231"/>
      <c r="E48" s="193" t="s">
        <v>71</v>
      </c>
      <c r="F48" s="192"/>
      <c r="G48" s="133"/>
      <c r="H48" s="133"/>
      <c r="I48" s="133"/>
      <c r="J48" s="133"/>
      <c r="K48" s="191">
        <f t="shared" si="0"/>
        <v>0</v>
      </c>
      <c r="L48" s="191">
        <f t="shared" si="1"/>
        <v>0</v>
      </c>
      <c r="M48" s="191">
        <v>385.6</v>
      </c>
      <c r="N48" s="191">
        <f>+M48*1000/(25.4*20*15*60)*T48</f>
        <v>2.5301837270341205</v>
      </c>
      <c r="O48" s="191"/>
      <c r="P48" s="191">
        <f t="shared" si="2"/>
        <v>0</v>
      </c>
      <c r="Q48" s="191"/>
      <c r="R48" s="19">
        <f t="shared" si="3"/>
        <v>0</v>
      </c>
      <c r="S48" s="191">
        <f t="shared" si="4"/>
        <v>0</v>
      </c>
      <c r="T48" s="20">
        <v>3</v>
      </c>
      <c r="U48" s="20"/>
      <c r="V48" s="190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89">
        <v>300419</v>
      </c>
      <c r="B49" s="188" t="s">
        <v>67</v>
      </c>
      <c r="C49" s="230" t="s">
        <v>68</v>
      </c>
      <c r="D49" s="231"/>
      <c r="E49" s="193" t="s">
        <v>72</v>
      </c>
      <c r="F49" s="192"/>
      <c r="G49" s="133"/>
      <c r="H49" s="133"/>
      <c r="I49" s="133"/>
      <c r="J49" s="133"/>
      <c r="K49" s="191">
        <f t="shared" si="0"/>
        <v>0</v>
      </c>
      <c r="L49" s="191">
        <f t="shared" si="1"/>
        <v>0</v>
      </c>
      <c r="M49" s="191">
        <v>385.6</v>
      </c>
      <c r="N49" s="191">
        <f>+M49*1000/(25.4*20*15*60)*T49</f>
        <v>2.5301837270341205</v>
      </c>
      <c r="O49" s="191"/>
      <c r="P49" s="191">
        <f t="shared" si="2"/>
        <v>0</v>
      </c>
      <c r="Q49" s="191"/>
      <c r="R49" s="19">
        <f t="shared" si="3"/>
        <v>0</v>
      </c>
      <c r="S49" s="191">
        <f t="shared" si="4"/>
        <v>0</v>
      </c>
      <c r="T49" s="20">
        <v>3</v>
      </c>
      <c r="U49" s="20"/>
      <c r="V49" s="190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189">
        <v>300260</v>
      </c>
      <c r="B50" s="188" t="s">
        <v>67</v>
      </c>
      <c r="C50" s="219" t="s">
        <v>73</v>
      </c>
      <c r="D50" s="219"/>
      <c r="E50" s="193" t="s">
        <v>74</v>
      </c>
      <c r="F50" s="192"/>
      <c r="G50" s="133"/>
      <c r="H50" s="133"/>
      <c r="I50" s="133"/>
      <c r="J50" s="133"/>
      <c r="K50" s="191">
        <f t="shared" si="0"/>
        <v>0</v>
      </c>
      <c r="L50" s="191">
        <f t="shared" si="1"/>
        <v>0</v>
      </c>
      <c r="M50" s="191">
        <v>434.33</v>
      </c>
      <c r="N50" s="191">
        <f>+M50*1000/(42.7*10*15*60)*T50</f>
        <v>2.2603695029924538</v>
      </c>
      <c r="O50" s="191"/>
      <c r="P50" s="191">
        <f t="shared" si="2"/>
        <v>0</v>
      </c>
      <c r="Q50" s="191"/>
      <c r="R50" s="19">
        <f t="shared" si="3"/>
        <v>0</v>
      </c>
      <c r="S50" s="191">
        <f t="shared" si="4"/>
        <v>0</v>
      </c>
      <c r="T50" s="20">
        <v>2</v>
      </c>
      <c r="U50" s="20"/>
      <c r="V50" s="190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189">
        <v>300261</v>
      </c>
      <c r="B51" s="188" t="s">
        <v>67</v>
      </c>
      <c r="C51" s="219" t="s">
        <v>73</v>
      </c>
      <c r="D51" s="219"/>
      <c r="E51" s="193" t="s">
        <v>41</v>
      </c>
      <c r="F51" s="192"/>
      <c r="G51" s="133"/>
      <c r="H51" s="133"/>
      <c r="I51" s="133"/>
      <c r="J51" s="133"/>
      <c r="K51" s="191">
        <f t="shared" si="0"/>
        <v>0</v>
      </c>
      <c r="L51" s="191">
        <f t="shared" si="1"/>
        <v>0</v>
      </c>
      <c r="M51" s="191">
        <v>434.33</v>
      </c>
      <c r="N51" s="191">
        <f>+M51*1000/(42.7*10*15*60)*T51</f>
        <v>2.2603695029924538</v>
      </c>
      <c r="O51" s="191"/>
      <c r="P51" s="191">
        <f t="shared" si="2"/>
        <v>0</v>
      </c>
      <c r="Q51" s="191"/>
      <c r="R51" s="19">
        <f t="shared" si="3"/>
        <v>0</v>
      </c>
      <c r="S51" s="191">
        <f t="shared" si="4"/>
        <v>0</v>
      </c>
      <c r="T51" s="20">
        <v>2</v>
      </c>
      <c r="U51" s="20"/>
      <c r="V51" s="190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189">
        <v>300262</v>
      </c>
      <c r="B52" s="188" t="s">
        <v>67</v>
      </c>
      <c r="C52" s="219" t="s">
        <v>73</v>
      </c>
      <c r="D52" s="219"/>
      <c r="E52" s="193" t="s">
        <v>39</v>
      </c>
      <c r="F52" s="192"/>
      <c r="G52" s="133"/>
      <c r="H52" s="133"/>
      <c r="I52" s="133"/>
      <c r="J52" s="133"/>
      <c r="K52" s="191">
        <f t="shared" si="0"/>
        <v>0</v>
      </c>
      <c r="L52" s="191">
        <f t="shared" si="1"/>
        <v>0</v>
      </c>
      <c r="M52" s="191">
        <v>434.33</v>
      </c>
      <c r="N52" s="191">
        <f>+M52*1000/(42.7*10*15*60)*T52</f>
        <v>2.2603695029924538</v>
      </c>
      <c r="O52" s="191"/>
      <c r="P52" s="191">
        <f t="shared" si="2"/>
        <v>0</v>
      </c>
      <c r="Q52" s="191"/>
      <c r="R52" s="19">
        <f t="shared" si="3"/>
        <v>0</v>
      </c>
      <c r="S52" s="191">
        <f t="shared" si="4"/>
        <v>0</v>
      </c>
      <c r="T52" s="20">
        <v>2</v>
      </c>
      <c r="U52" s="20"/>
      <c r="V52" s="190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189">
        <v>300263</v>
      </c>
      <c r="B53" s="188" t="s">
        <v>67</v>
      </c>
      <c r="C53" s="219" t="s">
        <v>73</v>
      </c>
      <c r="D53" s="219"/>
      <c r="E53" s="193" t="s">
        <v>54</v>
      </c>
      <c r="F53" s="192"/>
      <c r="G53" s="133"/>
      <c r="H53" s="133"/>
      <c r="I53" s="133"/>
      <c r="J53" s="133"/>
      <c r="K53" s="191">
        <f t="shared" si="0"/>
        <v>0</v>
      </c>
      <c r="L53" s="191">
        <f t="shared" si="1"/>
        <v>0</v>
      </c>
      <c r="M53" s="191">
        <v>434.33</v>
      </c>
      <c r="N53" s="191">
        <f>+M53*1000/(42.7*10*15*60)*T53</f>
        <v>2.2603695029924538</v>
      </c>
      <c r="O53" s="191"/>
      <c r="P53" s="191">
        <f t="shared" si="2"/>
        <v>0</v>
      </c>
      <c r="Q53" s="191"/>
      <c r="R53" s="19">
        <f t="shared" si="3"/>
        <v>0</v>
      </c>
      <c r="S53" s="191">
        <f t="shared" si="4"/>
        <v>0</v>
      </c>
      <c r="T53" s="20">
        <v>2</v>
      </c>
      <c r="U53" s="20"/>
      <c r="V53" s="190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189">
        <v>300051</v>
      </c>
      <c r="B54" s="188" t="s">
        <v>67</v>
      </c>
      <c r="C54" s="219" t="s">
        <v>75</v>
      </c>
      <c r="D54" s="219" t="s">
        <v>76</v>
      </c>
      <c r="E54" s="193" t="s">
        <v>40</v>
      </c>
      <c r="F54" s="192"/>
      <c r="G54" s="133"/>
      <c r="H54" s="133"/>
      <c r="I54" s="133"/>
      <c r="J54" s="133"/>
      <c r="K54" s="191">
        <f t="shared" si="0"/>
        <v>0</v>
      </c>
      <c r="L54" s="191">
        <f t="shared" si="1"/>
        <v>0</v>
      </c>
      <c r="M54" s="191">
        <v>545.9</v>
      </c>
      <c r="N54" s="191">
        <f>+M54*1000/(41.5*10*16*60)*T54</f>
        <v>2.7404618473895583</v>
      </c>
      <c r="O54" s="191"/>
      <c r="P54" s="191">
        <f t="shared" si="2"/>
        <v>0</v>
      </c>
      <c r="Q54" s="191"/>
      <c r="R54" s="19">
        <f t="shared" si="3"/>
        <v>0</v>
      </c>
      <c r="S54" s="191">
        <f t="shared" si="4"/>
        <v>0</v>
      </c>
      <c r="T54" s="22">
        <v>2</v>
      </c>
      <c r="U54" s="20"/>
      <c r="V54" s="190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189">
        <v>300052</v>
      </c>
      <c r="B55" s="188" t="s">
        <v>67</v>
      </c>
      <c r="C55" s="219" t="s">
        <v>75</v>
      </c>
      <c r="D55" s="219" t="s">
        <v>76</v>
      </c>
      <c r="E55" s="193" t="s">
        <v>39</v>
      </c>
      <c r="F55" s="192"/>
      <c r="G55" s="133"/>
      <c r="H55" s="133"/>
      <c r="I55" s="133"/>
      <c r="J55" s="133"/>
      <c r="K55" s="191">
        <f t="shared" si="0"/>
        <v>0</v>
      </c>
      <c r="L55" s="191">
        <f t="shared" si="1"/>
        <v>0</v>
      </c>
      <c r="M55" s="191">
        <v>545.9</v>
      </c>
      <c r="N55" s="191">
        <f>+M55*1000/(41.5*10*16*60)*T55</f>
        <v>2.7404618473895583</v>
      </c>
      <c r="O55" s="191"/>
      <c r="P55" s="191">
        <f t="shared" si="2"/>
        <v>0</v>
      </c>
      <c r="Q55" s="191"/>
      <c r="R55" s="19">
        <f t="shared" si="3"/>
        <v>0</v>
      </c>
      <c r="S55" s="191">
        <f t="shared" si="4"/>
        <v>0</v>
      </c>
      <c r="T55" s="20">
        <v>2</v>
      </c>
      <c r="U55" s="20"/>
      <c r="V55" s="190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189">
        <v>300054</v>
      </c>
      <c r="B56" s="188" t="s">
        <v>67</v>
      </c>
      <c r="C56" s="219" t="s">
        <v>75</v>
      </c>
      <c r="D56" s="219" t="s">
        <v>76</v>
      </c>
      <c r="E56" s="193" t="s">
        <v>38</v>
      </c>
      <c r="F56" s="192"/>
      <c r="G56" s="133"/>
      <c r="H56" s="133"/>
      <c r="I56" s="133"/>
      <c r="J56" s="133"/>
      <c r="K56" s="191">
        <f t="shared" si="0"/>
        <v>0</v>
      </c>
      <c r="L56" s="191">
        <f t="shared" si="1"/>
        <v>0</v>
      </c>
      <c r="M56" s="191">
        <v>545.9</v>
      </c>
      <c r="N56" s="191">
        <f>+M56*1000/(41.5*10*16*60)*T56</f>
        <v>2.7404618473895583</v>
      </c>
      <c r="O56" s="191"/>
      <c r="P56" s="191">
        <f t="shared" si="2"/>
        <v>0</v>
      </c>
      <c r="Q56" s="191"/>
      <c r="R56" s="19">
        <f t="shared" si="3"/>
        <v>0</v>
      </c>
      <c r="S56" s="191">
        <f t="shared" si="4"/>
        <v>0</v>
      </c>
      <c r="T56" s="20">
        <v>2</v>
      </c>
      <c r="U56" s="20"/>
      <c r="V56" s="190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189">
        <v>300436</v>
      </c>
      <c r="B57" s="188" t="s">
        <v>67</v>
      </c>
      <c r="C57" s="219" t="s">
        <v>75</v>
      </c>
      <c r="D57" s="219" t="s">
        <v>76</v>
      </c>
      <c r="E57" s="193" t="s">
        <v>301</v>
      </c>
      <c r="F57" s="192"/>
      <c r="G57" s="133"/>
      <c r="H57" s="133"/>
      <c r="I57" s="133"/>
      <c r="J57" s="133"/>
      <c r="K57" s="191">
        <f t="shared" si="0"/>
        <v>0</v>
      </c>
      <c r="L57" s="191">
        <f t="shared" si="1"/>
        <v>0</v>
      </c>
      <c r="M57" s="191">
        <v>545.9</v>
      </c>
      <c r="N57" s="191">
        <f>+M57*1000/(41.5*10*16*60)*T57</f>
        <v>2.7404618473895583</v>
      </c>
      <c r="O57" s="191"/>
      <c r="P57" s="191">
        <f t="shared" si="2"/>
        <v>0</v>
      </c>
      <c r="Q57" s="191"/>
      <c r="R57" s="19">
        <f t="shared" si="3"/>
        <v>0</v>
      </c>
      <c r="S57" s="191">
        <f t="shared" si="4"/>
        <v>0</v>
      </c>
      <c r="T57" s="20">
        <v>2</v>
      </c>
      <c r="U57" s="20"/>
      <c r="V57" s="190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189">
        <v>300050</v>
      </c>
      <c r="B58" s="188" t="s">
        <v>67</v>
      </c>
      <c r="C58" s="219" t="s">
        <v>77</v>
      </c>
      <c r="D58" s="219" t="s">
        <v>78</v>
      </c>
      <c r="E58" s="193" t="s">
        <v>79</v>
      </c>
      <c r="F58" s="192"/>
      <c r="G58" s="133"/>
      <c r="H58" s="133"/>
      <c r="I58" s="133"/>
      <c r="J58" s="133"/>
      <c r="K58" s="191">
        <f t="shared" si="0"/>
        <v>0</v>
      </c>
      <c r="L58" s="191">
        <f t="shared" si="1"/>
        <v>0</v>
      </c>
      <c r="M58" s="191">
        <v>427.5</v>
      </c>
      <c r="N58" s="191">
        <f>+M58*1000/(45*10*14*60)*T58</f>
        <v>5.6547619047619051</v>
      </c>
      <c r="O58" s="191"/>
      <c r="P58" s="191">
        <f t="shared" si="2"/>
        <v>0</v>
      </c>
      <c r="Q58" s="191"/>
      <c r="R58" s="19">
        <f t="shared" si="3"/>
        <v>0</v>
      </c>
      <c r="S58" s="191">
        <f t="shared" si="4"/>
        <v>0</v>
      </c>
      <c r="T58" s="20">
        <v>5</v>
      </c>
      <c r="U58" s="20"/>
      <c r="V58" s="190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customHeight="1">
      <c r="A59" s="189">
        <v>300045</v>
      </c>
      <c r="B59" s="188">
        <v>4503</v>
      </c>
      <c r="C59" s="219" t="s">
        <v>77</v>
      </c>
      <c r="D59" s="219" t="s">
        <v>78</v>
      </c>
      <c r="E59" s="193" t="s">
        <v>35</v>
      </c>
      <c r="F59" s="192"/>
      <c r="G59" s="133">
        <v>7</v>
      </c>
      <c r="H59" s="133"/>
      <c r="I59" s="133">
        <v>7</v>
      </c>
      <c r="J59" s="133"/>
      <c r="K59" s="191">
        <f t="shared" si="0"/>
        <v>2846.2000000000003</v>
      </c>
      <c r="L59" s="191">
        <f t="shared" si="1"/>
        <v>2846.2000000000003</v>
      </c>
      <c r="M59" s="191">
        <v>406.6</v>
      </c>
      <c r="N59" s="191">
        <f>+M59*1000/(45*10*13*60)*T59</f>
        <v>5.7920227920227916</v>
      </c>
      <c r="O59" s="191"/>
      <c r="P59" s="191">
        <f t="shared" si="2"/>
        <v>40.544159544159541</v>
      </c>
      <c r="Q59" s="191">
        <v>9.5</v>
      </c>
      <c r="R59" s="19">
        <f t="shared" si="3"/>
        <v>47.5</v>
      </c>
      <c r="S59" s="191">
        <f t="shared" si="4"/>
        <v>6.955840455840459</v>
      </c>
      <c r="T59" s="20">
        <v>5</v>
      </c>
      <c r="U59" s="20">
        <v>5</v>
      </c>
      <c r="V59" s="190">
        <f t="array" ref="V59">IF(ISERROR(L59/K59),"",L59/K59)</f>
        <v>1</v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189">
        <v>300422</v>
      </c>
      <c r="B60" s="188" t="s">
        <v>67</v>
      </c>
      <c r="C60" s="230" t="s">
        <v>293</v>
      </c>
      <c r="D60" s="231"/>
      <c r="E60" s="193" t="s">
        <v>54</v>
      </c>
      <c r="F60" s="192"/>
      <c r="G60" s="133"/>
      <c r="H60" s="133"/>
      <c r="I60" s="133"/>
      <c r="J60" s="133"/>
      <c r="K60" s="191">
        <f t="shared" si="0"/>
        <v>0</v>
      </c>
      <c r="L60" s="191">
        <f t="shared" si="1"/>
        <v>0</v>
      </c>
      <c r="M60" s="191">
        <v>429.8</v>
      </c>
      <c r="N60" s="191">
        <f>+M60*1000/(45*10*13*60)*T60</f>
        <v>3.6735042735042738</v>
      </c>
      <c r="O60" s="191"/>
      <c r="P60" s="191">
        <f t="shared" si="2"/>
        <v>0</v>
      </c>
      <c r="Q60" s="191"/>
      <c r="R60" s="19">
        <f t="shared" si="3"/>
        <v>0</v>
      </c>
      <c r="S60" s="191">
        <f t="shared" si="4"/>
        <v>0</v>
      </c>
      <c r="T60" s="20">
        <v>3</v>
      </c>
      <c r="U60" s="20"/>
      <c r="V60" s="190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189">
        <v>300421</v>
      </c>
      <c r="B61" s="188" t="s">
        <v>67</v>
      </c>
      <c r="C61" s="230" t="s">
        <v>293</v>
      </c>
      <c r="D61" s="231"/>
      <c r="E61" s="193" t="s">
        <v>80</v>
      </c>
      <c r="F61" s="192"/>
      <c r="G61" s="133"/>
      <c r="H61" s="133"/>
      <c r="I61" s="133"/>
      <c r="J61" s="133"/>
      <c r="K61" s="191">
        <f t="shared" si="0"/>
        <v>0</v>
      </c>
      <c r="L61" s="191">
        <f t="shared" si="1"/>
        <v>0</v>
      </c>
      <c r="M61" s="191">
        <v>429.8</v>
      </c>
      <c r="N61" s="191">
        <f>+M61*1000/(45*10*13*60)*T61</f>
        <v>3.6735042735042738</v>
      </c>
      <c r="O61" s="191"/>
      <c r="P61" s="191">
        <f t="shared" si="2"/>
        <v>0</v>
      </c>
      <c r="Q61" s="191"/>
      <c r="R61" s="19">
        <f t="shared" si="3"/>
        <v>0</v>
      </c>
      <c r="S61" s="191">
        <f t="shared" si="4"/>
        <v>0</v>
      </c>
      <c r="T61" s="20">
        <v>3</v>
      </c>
      <c r="U61" s="20"/>
      <c r="V61" s="190"/>
      <c r="W61" s="20"/>
      <c r="X61" s="20"/>
      <c r="Y61" s="20"/>
      <c r="Z61" s="20"/>
      <c r="AA61" s="20"/>
      <c r="AB61" s="20"/>
      <c r="AC61" s="20"/>
    </row>
    <row r="62" spans="1:29" s="2" customFormat="1" ht="21.95" customHeight="1">
      <c r="A62" s="189">
        <v>300149</v>
      </c>
      <c r="B62" s="188">
        <v>4503</v>
      </c>
      <c r="C62" s="219" t="s">
        <v>81</v>
      </c>
      <c r="D62" s="219" t="s">
        <v>82</v>
      </c>
      <c r="E62" s="193" t="s">
        <v>80</v>
      </c>
      <c r="F62" s="192">
        <v>2046</v>
      </c>
      <c r="G62" s="133">
        <v>1</v>
      </c>
      <c r="H62" s="133"/>
      <c r="I62" s="133">
        <v>1</v>
      </c>
      <c r="J62" s="133"/>
      <c r="K62" s="191">
        <f t="shared" si="0"/>
        <v>589.1</v>
      </c>
      <c r="L62" s="191">
        <f t="shared" si="1"/>
        <v>589.1</v>
      </c>
      <c r="M62" s="191">
        <v>589.1</v>
      </c>
      <c r="N62" s="191">
        <f>+M62*1000/(67.1*10*13*60)*T62</f>
        <v>3.3767052619511633</v>
      </c>
      <c r="O62" s="191">
        <v>0.5</v>
      </c>
      <c r="P62" s="191">
        <f t="shared" si="2"/>
        <v>5.8767052619511633</v>
      </c>
      <c r="Q62" s="191">
        <v>1.5</v>
      </c>
      <c r="R62" s="19">
        <f t="shared" si="3"/>
        <v>7.5</v>
      </c>
      <c r="S62" s="191">
        <f t="shared" si="4"/>
        <v>1.6232947380488367</v>
      </c>
      <c r="T62" s="20">
        <v>3</v>
      </c>
      <c r="U62" s="20">
        <v>5</v>
      </c>
      <c r="V62" s="190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89">
        <v>300150</v>
      </c>
      <c r="B63" s="188" t="s">
        <v>67</v>
      </c>
      <c r="C63" s="219" t="s">
        <v>81</v>
      </c>
      <c r="D63" s="219" t="s">
        <v>82</v>
      </c>
      <c r="E63" s="193" t="s">
        <v>54</v>
      </c>
      <c r="F63" s="192"/>
      <c r="G63" s="133"/>
      <c r="H63" s="133"/>
      <c r="I63" s="133"/>
      <c r="J63" s="133"/>
      <c r="K63" s="191">
        <f t="shared" si="0"/>
        <v>0</v>
      </c>
      <c r="L63" s="191">
        <f t="shared" si="1"/>
        <v>0</v>
      </c>
      <c r="M63" s="191">
        <v>589.1</v>
      </c>
      <c r="N63" s="191">
        <f>+M63*1000/(67.1*10*13*60)*T63</f>
        <v>3.3767052619511633</v>
      </c>
      <c r="O63" s="191"/>
      <c r="P63" s="191">
        <f t="shared" si="2"/>
        <v>0</v>
      </c>
      <c r="Q63" s="191"/>
      <c r="R63" s="19">
        <f t="shared" si="3"/>
        <v>0</v>
      </c>
      <c r="S63" s="191">
        <f t="shared" si="4"/>
        <v>0</v>
      </c>
      <c r="T63" s="20">
        <v>3</v>
      </c>
      <c r="U63" s="20"/>
      <c r="V63" s="190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89">
        <v>300330</v>
      </c>
      <c r="B64" s="188" t="s">
        <v>67</v>
      </c>
      <c r="C64" s="230" t="s">
        <v>83</v>
      </c>
      <c r="D64" s="231"/>
      <c r="E64" s="193" t="s">
        <v>84</v>
      </c>
      <c r="F64" s="192"/>
      <c r="G64" s="133"/>
      <c r="H64" s="133"/>
      <c r="I64" s="133"/>
      <c r="J64" s="133"/>
      <c r="K64" s="191">
        <f t="shared" si="0"/>
        <v>0</v>
      </c>
      <c r="L64" s="191">
        <f t="shared" si="1"/>
        <v>0</v>
      </c>
      <c r="M64" s="191">
        <v>416.3</v>
      </c>
      <c r="N64" s="191">
        <f t="shared" ref="N64:N70" si="6">+M64*1000/(45*10*18*60)*T64</f>
        <v>1.7131687242798355</v>
      </c>
      <c r="O64" s="191"/>
      <c r="P64" s="191">
        <f t="shared" si="2"/>
        <v>0</v>
      </c>
      <c r="Q64" s="191"/>
      <c r="R64" s="19">
        <f t="shared" si="3"/>
        <v>0</v>
      </c>
      <c r="S64" s="191">
        <f t="shared" si="4"/>
        <v>0</v>
      </c>
      <c r="T64" s="20">
        <v>2</v>
      </c>
      <c r="U64" s="20"/>
      <c r="V64" s="190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89">
        <v>300331</v>
      </c>
      <c r="B65" s="188" t="s">
        <v>67</v>
      </c>
      <c r="C65" s="230" t="s">
        <v>83</v>
      </c>
      <c r="D65" s="231"/>
      <c r="E65" s="193" t="s">
        <v>49</v>
      </c>
      <c r="F65" s="192"/>
      <c r="G65" s="133"/>
      <c r="H65" s="133"/>
      <c r="I65" s="133"/>
      <c r="J65" s="133"/>
      <c r="K65" s="191">
        <f t="shared" si="0"/>
        <v>0</v>
      </c>
      <c r="L65" s="191">
        <f t="shared" si="1"/>
        <v>0</v>
      </c>
      <c r="M65" s="191">
        <v>416.3</v>
      </c>
      <c r="N65" s="191">
        <f t="shared" si="6"/>
        <v>1.7131687242798355</v>
      </c>
      <c r="O65" s="191"/>
      <c r="P65" s="191">
        <f t="shared" si="2"/>
        <v>0</v>
      </c>
      <c r="Q65" s="191"/>
      <c r="R65" s="19">
        <f t="shared" si="3"/>
        <v>0</v>
      </c>
      <c r="S65" s="191">
        <f t="shared" si="4"/>
        <v>0</v>
      </c>
      <c r="T65" s="20">
        <v>2</v>
      </c>
      <c r="U65" s="20"/>
      <c r="V65" s="190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89">
        <v>300332</v>
      </c>
      <c r="B66" s="188" t="s">
        <v>67</v>
      </c>
      <c r="C66" s="230" t="s">
        <v>83</v>
      </c>
      <c r="D66" s="231"/>
      <c r="E66" s="193" t="s">
        <v>85</v>
      </c>
      <c r="F66" s="192"/>
      <c r="G66" s="133"/>
      <c r="H66" s="133"/>
      <c r="I66" s="133"/>
      <c r="J66" s="133"/>
      <c r="K66" s="191">
        <f t="shared" si="0"/>
        <v>0</v>
      </c>
      <c r="L66" s="191">
        <f t="shared" si="1"/>
        <v>0</v>
      </c>
      <c r="M66" s="191">
        <v>416.3</v>
      </c>
      <c r="N66" s="191">
        <f t="shared" si="6"/>
        <v>1.7131687242798355</v>
      </c>
      <c r="O66" s="191"/>
      <c r="P66" s="191">
        <f t="shared" si="2"/>
        <v>0</v>
      </c>
      <c r="Q66" s="191"/>
      <c r="R66" s="19">
        <f t="shared" si="3"/>
        <v>0</v>
      </c>
      <c r="S66" s="191">
        <f t="shared" si="4"/>
        <v>0</v>
      </c>
      <c r="T66" s="20">
        <v>2</v>
      </c>
      <c r="U66" s="20"/>
      <c r="V66" s="190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89">
        <v>300333</v>
      </c>
      <c r="B67" s="188" t="s">
        <v>67</v>
      </c>
      <c r="C67" s="230" t="s">
        <v>86</v>
      </c>
      <c r="D67" s="231"/>
      <c r="E67" s="193" t="s">
        <v>84</v>
      </c>
      <c r="F67" s="192"/>
      <c r="G67" s="133"/>
      <c r="H67" s="133"/>
      <c r="I67" s="133"/>
      <c r="J67" s="133"/>
      <c r="K67" s="191">
        <f t="shared" si="0"/>
        <v>0</v>
      </c>
      <c r="L67" s="191">
        <f t="shared" si="1"/>
        <v>0</v>
      </c>
      <c r="M67" s="191">
        <v>416.3</v>
      </c>
      <c r="N67" s="191">
        <f t="shared" si="6"/>
        <v>1.7131687242798355</v>
      </c>
      <c r="O67" s="191"/>
      <c r="P67" s="191">
        <f t="shared" si="2"/>
        <v>0</v>
      </c>
      <c r="Q67" s="191"/>
      <c r="R67" s="19">
        <f t="shared" si="3"/>
        <v>0</v>
      </c>
      <c r="S67" s="191">
        <f t="shared" si="4"/>
        <v>0</v>
      </c>
      <c r="T67" s="20">
        <v>2</v>
      </c>
      <c r="U67" s="20"/>
      <c r="V67" s="190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89">
        <v>300334</v>
      </c>
      <c r="B68" s="188" t="s">
        <v>67</v>
      </c>
      <c r="C68" s="230" t="s">
        <v>86</v>
      </c>
      <c r="D68" s="231"/>
      <c r="E68" s="193" t="s">
        <v>85</v>
      </c>
      <c r="F68" s="192"/>
      <c r="G68" s="133"/>
      <c r="H68" s="133"/>
      <c r="I68" s="133"/>
      <c r="J68" s="133"/>
      <c r="K68" s="191">
        <f t="shared" si="0"/>
        <v>0</v>
      </c>
      <c r="L68" s="191">
        <f t="shared" si="1"/>
        <v>0</v>
      </c>
      <c r="M68" s="191">
        <v>416.3</v>
      </c>
      <c r="N68" s="191">
        <f t="shared" si="6"/>
        <v>1.7131687242798355</v>
      </c>
      <c r="O68" s="191"/>
      <c r="P68" s="191">
        <f t="shared" si="2"/>
        <v>0</v>
      </c>
      <c r="Q68" s="191"/>
      <c r="R68" s="19">
        <f t="shared" si="3"/>
        <v>0</v>
      </c>
      <c r="S68" s="191">
        <f t="shared" si="4"/>
        <v>0</v>
      </c>
      <c r="T68" s="20">
        <v>2</v>
      </c>
      <c r="U68" s="20"/>
      <c r="V68" s="190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89">
        <v>300335</v>
      </c>
      <c r="B69" s="188" t="s">
        <v>67</v>
      </c>
      <c r="C69" s="230" t="s">
        <v>86</v>
      </c>
      <c r="D69" s="231"/>
      <c r="E69" s="193" t="s">
        <v>49</v>
      </c>
      <c r="F69" s="192"/>
      <c r="G69" s="133"/>
      <c r="H69" s="133"/>
      <c r="I69" s="133"/>
      <c r="J69" s="133"/>
      <c r="K69" s="191">
        <f t="shared" si="0"/>
        <v>0</v>
      </c>
      <c r="L69" s="191">
        <f t="shared" si="1"/>
        <v>0</v>
      </c>
      <c r="M69" s="191">
        <v>416.3</v>
      </c>
      <c r="N69" s="191">
        <f t="shared" si="6"/>
        <v>1.7131687242798355</v>
      </c>
      <c r="O69" s="191"/>
      <c r="P69" s="191">
        <f t="shared" si="2"/>
        <v>0</v>
      </c>
      <c r="Q69" s="191"/>
      <c r="R69" s="19">
        <f t="shared" si="3"/>
        <v>0</v>
      </c>
      <c r="S69" s="191">
        <f t="shared" si="4"/>
        <v>0</v>
      </c>
      <c r="T69" s="20">
        <v>2</v>
      </c>
      <c r="U69" s="20"/>
      <c r="V69" s="190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89">
        <v>300291</v>
      </c>
      <c r="B70" s="188" t="s">
        <v>87</v>
      </c>
      <c r="C70" s="219" t="s">
        <v>88</v>
      </c>
      <c r="D70" s="219" t="s">
        <v>89</v>
      </c>
      <c r="E70" s="193" t="s">
        <v>42</v>
      </c>
      <c r="F70" s="192"/>
      <c r="G70" s="133"/>
      <c r="H70" s="133"/>
      <c r="I70" s="133"/>
      <c r="J70" s="133"/>
      <c r="K70" s="191">
        <f t="shared" si="0"/>
        <v>0</v>
      </c>
      <c r="L70" s="191">
        <f t="shared" si="1"/>
        <v>0</v>
      </c>
      <c r="M70" s="191">
        <v>517.79999999999995</v>
      </c>
      <c r="N70" s="191">
        <f t="shared" si="6"/>
        <v>4.261728395061728</v>
      </c>
      <c r="O70" s="191"/>
      <c r="P70" s="191">
        <f t="shared" si="2"/>
        <v>0</v>
      </c>
      <c r="Q70" s="191"/>
      <c r="R70" s="19">
        <f t="shared" si="3"/>
        <v>0</v>
      </c>
      <c r="S70" s="191">
        <f t="shared" si="4"/>
        <v>0</v>
      </c>
      <c r="T70" s="20">
        <v>4</v>
      </c>
      <c r="U70" s="20"/>
      <c r="V70" s="190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89">
        <v>300292</v>
      </c>
      <c r="B71" s="188" t="s">
        <v>87</v>
      </c>
      <c r="C71" s="219" t="s">
        <v>88</v>
      </c>
      <c r="D71" s="219" t="s">
        <v>89</v>
      </c>
      <c r="E71" s="193" t="s">
        <v>41</v>
      </c>
      <c r="F71" s="192"/>
      <c r="G71" s="133"/>
      <c r="H71" s="133"/>
      <c r="I71" s="133"/>
      <c r="J71" s="133"/>
      <c r="K71" s="191">
        <f t="shared" si="0"/>
        <v>0</v>
      </c>
      <c r="L71" s="191">
        <f t="shared" si="1"/>
        <v>0</v>
      </c>
      <c r="M71" s="191">
        <v>517.79999999999995</v>
      </c>
      <c r="N71" s="191">
        <f>+M71*1000/(66.8*1*110*60)*T71</f>
        <v>4.6978769733260748</v>
      </c>
      <c r="O71" s="191"/>
      <c r="P71" s="191">
        <f t="shared" si="2"/>
        <v>0</v>
      </c>
      <c r="Q71" s="191"/>
      <c r="R71" s="19">
        <f t="shared" si="3"/>
        <v>0</v>
      </c>
      <c r="S71" s="191">
        <f t="shared" si="4"/>
        <v>0</v>
      </c>
      <c r="T71" s="20">
        <v>4</v>
      </c>
      <c r="U71" s="20"/>
      <c r="V71" s="190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89">
        <v>300293</v>
      </c>
      <c r="B72" s="188" t="s">
        <v>87</v>
      </c>
      <c r="C72" s="219" t="s">
        <v>88</v>
      </c>
      <c r="D72" s="219" t="s">
        <v>89</v>
      </c>
      <c r="E72" s="193" t="s">
        <v>57</v>
      </c>
      <c r="F72" s="192"/>
      <c r="G72" s="133"/>
      <c r="H72" s="133"/>
      <c r="I72" s="133"/>
      <c r="J72" s="133"/>
      <c r="K72" s="191">
        <f t="shared" si="0"/>
        <v>0</v>
      </c>
      <c r="L72" s="191">
        <f t="shared" si="1"/>
        <v>0</v>
      </c>
      <c r="M72" s="191">
        <v>517.9</v>
      </c>
      <c r="N72" s="191">
        <f>+M72*1000/(67.1*1*110*60)*T72</f>
        <v>4.6777762724111467</v>
      </c>
      <c r="O72" s="191"/>
      <c r="P72" s="191">
        <f t="shared" si="2"/>
        <v>0</v>
      </c>
      <c r="Q72" s="191"/>
      <c r="R72" s="19">
        <f t="shared" si="3"/>
        <v>0</v>
      </c>
      <c r="S72" s="191">
        <f t="shared" si="4"/>
        <v>0</v>
      </c>
      <c r="T72" s="20">
        <v>4</v>
      </c>
      <c r="U72" s="20"/>
      <c r="V72" s="190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89">
        <v>300290</v>
      </c>
      <c r="B73" s="188" t="s">
        <v>87</v>
      </c>
      <c r="C73" s="219" t="s">
        <v>88</v>
      </c>
      <c r="D73" s="219" t="s">
        <v>89</v>
      </c>
      <c r="E73" s="193" t="s">
        <v>35</v>
      </c>
      <c r="F73" s="192"/>
      <c r="G73" s="133"/>
      <c r="H73" s="133"/>
      <c r="I73" s="133"/>
      <c r="J73" s="133"/>
      <c r="K73" s="191">
        <f t="shared" si="0"/>
        <v>0</v>
      </c>
      <c r="L73" s="191">
        <f t="shared" si="1"/>
        <v>0</v>
      </c>
      <c r="M73" s="191">
        <v>520</v>
      </c>
      <c r="N73" s="191">
        <f>+M73*1000/(67.5*1*110*60)*T73</f>
        <v>4.6689113355780023</v>
      </c>
      <c r="O73" s="191"/>
      <c r="P73" s="191">
        <f t="shared" si="2"/>
        <v>0</v>
      </c>
      <c r="Q73" s="191"/>
      <c r="R73" s="19">
        <f t="shared" si="3"/>
        <v>0</v>
      </c>
      <c r="S73" s="191">
        <f t="shared" si="4"/>
        <v>0</v>
      </c>
      <c r="T73" s="20">
        <v>4</v>
      </c>
      <c r="U73" s="20"/>
      <c r="V73" s="190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89">
        <v>300389</v>
      </c>
      <c r="B74" s="188">
        <v>5001</v>
      </c>
      <c r="C74" s="219" t="s">
        <v>308</v>
      </c>
      <c r="D74" s="219" t="s">
        <v>89</v>
      </c>
      <c r="E74" s="193" t="s">
        <v>35</v>
      </c>
      <c r="F74" s="192">
        <v>2086</v>
      </c>
      <c r="G74" s="133">
        <v>7.88</v>
      </c>
      <c r="H74" s="133">
        <v>0.875</v>
      </c>
      <c r="I74" s="133">
        <f>7+H74</f>
        <v>7.875</v>
      </c>
      <c r="J74" s="133"/>
      <c r="K74" s="191">
        <f t="shared" si="0"/>
        <v>3383.6719999999996</v>
      </c>
      <c r="L74" s="191">
        <f t="shared" si="1"/>
        <v>3381.5249999999996</v>
      </c>
      <c r="M74" s="191">
        <v>429.4</v>
      </c>
      <c r="N74" s="191">
        <f>+M74*1000/(47*1*110*60)*T74</f>
        <v>5.5370728562217923</v>
      </c>
      <c r="O74" s="191"/>
      <c r="P74" s="191">
        <f t="shared" si="2"/>
        <v>43.604448742746612</v>
      </c>
      <c r="Q74" s="191">
        <v>10</v>
      </c>
      <c r="R74" s="19">
        <f t="shared" si="3"/>
        <v>50</v>
      </c>
      <c r="S74" s="191">
        <f t="shared" si="4"/>
        <v>6.3955512572533877</v>
      </c>
      <c r="T74" s="20">
        <v>4</v>
      </c>
      <c r="U74" s="20">
        <v>5</v>
      </c>
      <c r="V74" s="190">
        <f t="array" ref="V74">IF(ISERROR(L74/K74),"",L74/K74)</f>
        <v>0.99936548223350252</v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89">
        <v>300058</v>
      </c>
      <c r="B75" s="188" t="s">
        <v>87</v>
      </c>
      <c r="C75" s="219" t="s">
        <v>308</v>
      </c>
      <c r="D75" s="219" t="s">
        <v>89</v>
      </c>
      <c r="E75" s="193" t="s">
        <v>42</v>
      </c>
      <c r="F75" s="192"/>
      <c r="G75" s="133"/>
      <c r="H75" s="133"/>
      <c r="I75" s="133"/>
      <c r="J75" s="133"/>
      <c r="K75" s="191">
        <f t="shared" si="0"/>
        <v>0</v>
      </c>
      <c r="L75" s="191">
        <f t="shared" si="1"/>
        <v>0</v>
      </c>
      <c r="M75" s="191">
        <v>419.2</v>
      </c>
      <c r="N75" s="191">
        <f>+M75*1000/(51.5*1*110*60)*T75</f>
        <v>4.9332156516622536</v>
      </c>
      <c r="O75" s="191"/>
      <c r="P75" s="191">
        <f t="shared" si="2"/>
        <v>0</v>
      </c>
      <c r="Q75" s="191"/>
      <c r="R75" s="19">
        <f t="shared" si="3"/>
        <v>0</v>
      </c>
      <c r="S75" s="191">
        <f t="shared" si="4"/>
        <v>0</v>
      </c>
      <c r="T75" s="20">
        <v>4</v>
      </c>
      <c r="U75" s="20"/>
      <c r="V75" s="190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189">
        <v>300061</v>
      </c>
      <c r="B76" s="188" t="s">
        <v>90</v>
      </c>
      <c r="C76" s="219" t="s">
        <v>309</v>
      </c>
      <c r="D76" s="219" t="s">
        <v>91</v>
      </c>
      <c r="E76" s="193" t="s">
        <v>41</v>
      </c>
      <c r="F76" s="192"/>
      <c r="G76" s="133"/>
      <c r="H76" s="133"/>
      <c r="I76" s="133"/>
      <c r="J76" s="133"/>
      <c r="K76" s="191">
        <f t="shared" si="0"/>
        <v>0</v>
      </c>
      <c r="L76" s="191">
        <f t="shared" si="1"/>
        <v>0</v>
      </c>
      <c r="M76" s="191">
        <v>418.4</v>
      </c>
      <c r="N76" s="191">
        <f>+M76*1000/(51*1*110*60)*T76</f>
        <v>4.9720736779560308</v>
      </c>
      <c r="O76" s="191"/>
      <c r="P76" s="191">
        <f t="shared" si="2"/>
        <v>0</v>
      </c>
      <c r="Q76" s="191"/>
      <c r="R76" s="19">
        <f t="shared" si="3"/>
        <v>0</v>
      </c>
      <c r="S76" s="191">
        <f t="shared" si="4"/>
        <v>0</v>
      </c>
      <c r="T76" s="20">
        <v>4</v>
      </c>
      <c r="U76" s="20"/>
      <c r="V76" s="190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89">
        <v>300064</v>
      </c>
      <c r="B77" s="188">
        <v>5002</v>
      </c>
      <c r="C77" s="219" t="s">
        <v>309</v>
      </c>
      <c r="D77" s="219" t="s">
        <v>91</v>
      </c>
      <c r="E77" s="193" t="s">
        <v>35</v>
      </c>
      <c r="F77" s="192"/>
      <c r="G77" s="133"/>
      <c r="H77" s="133"/>
      <c r="I77" s="133"/>
      <c r="J77" s="133"/>
      <c r="K77" s="191">
        <f t="shared" ref="K77:K153" si="7">G77*M77</f>
        <v>0</v>
      </c>
      <c r="L77" s="191">
        <f t="shared" ref="L77:L153" si="8">I77*M77</f>
        <v>0</v>
      </c>
      <c r="M77" s="191">
        <v>419.2</v>
      </c>
      <c r="N77" s="191">
        <f>+M77*1000/(51.9*1*110*60)*T77</f>
        <v>4.8951947217843168</v>
      </c>
      <c r="O77" s="191"/>
      <c r="P77" s="191">
        <f t="shared" ref="P77:P153" si="9">N77*I77+O77*U77</f>
        <v>0</v>
      </c>
      <c r="Q77" s="191"/>
      <c r="R77" s="19">
        <f t="shared" ref="R77:R153" si="10">Q77*U77</f>
        <v>0</v>
      </c>
      <c r="S77" s="191">
        <f t="shared" ref="S77:S153" si="11">R77-P77</f>
        <v>0</v>
      </c>
      <c r="T77" s="20">
        <v>4</v>
      </c>
      <c r="U77" s="20"/>
      <c r="V77" s="190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89">
        <v>300060</v>
      </c>
      <c r="B78" s="188" t="s">
        <v>87</v>
      </c>
      <c r="C78" s="219" t="s">
        <v>309</v>
      </c>
      <c r="D78" s="219" t="s">
        <v>91</v>
      </c>
      <c r="E78" s="193" t="s">
        <v>57</v>
      </c>
      <c r="F78" s="192"/>
      <c r="G78" s="133"/>
      <c r="H78" s="133"/>
      <c r="I78" s="133"/>
      <c r="J78" s="133"/>
      <c r="K78" s="191">
        <f t="shared" si="7"/>
        <v>0</v>
      </c>
      <c r="L78" s="191">
        <f t="shared" si="8"/>
        <v>0</v>
      </c>
      <c r="M78" s="191">
        <v>416.9</v>
      </c>
      <c r="N78" s="191">
        <f>+M78*1000/(51*1*110*60)*T78</f>
        <v>4.9542483660130721</v>
      </c>
      <c r="O78" s="191"/>
      <c r="P78" s="191">
        <f t="shared" si="9"/>
        <v>0</v>
      </c>
      <c r="Q78" s="191"/>
      <c r="R78" s="19">
        <f t="shared" si="10"/>
        <v>0</v>
      </c>
      <c r="S78" s="191">
        <f t="shared" si="11"/>
        <v>0</v>
      </c>
      <c r="T78" s="20">
        <v>4</v>
      </c>
      <c r="U78" s="20"/>
      <c r="V78" s="190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89">
        <v>300068</v>
      </c>
      <c r="B79" s="188" t="s">
        <v>87</v>
      </c>
      <c r="C79" s="219" t="s">
        <v>92</v>
      </c>
      <c r="D79" s="219" t="s">
        <v>93</v>
      </c>
      <c r="E79" s="193" t="s">
        <v>37</v>
      </c>
      <c r="F79" s="192"/>
      <c r="G79" s="133"/>
      <c r="H79" s="133"/>
      <c r="I79" s="133"/>
      <c r="J79" s="133"/>
      <c r="K79" s="191">
        <f t="shared" si="7"/>
        <v>0</v>
      </c>
      <c r="L79" s="191">
        <f t="shared" si="8"/>
        <v>0</v>
      </c>
      <c r="M79" s="191">
        <v>438.4</v>
      </c>
      <c r="N79" s="191">
        <f>+M79*1000/(50*1*120*60)*T79</f>
        <v>4.8711111111111114</v>
      </c>
      <c r="O79" s="191"/>
      <c r="P79" s="191">
        <f t="shared" si="9"/>
        <v>0</v>
      </c>
      <c r="Q79" s="191"/>
      <c r="R79" s="19">
        <f t="shared" si="10"/>
        <v>0</v>
      </c>
      <c r="S79" s="191">
        <f t="shared" si="11"/>
        <v>0</v>
      </c>
      <c r="T79" s="20">
        <v>4</v>
      </c>
      <c r="U79" s="20"/>
      <c r="V79" s="190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89">
        <v>300065</v>
      </c>
      <c r="B80" s="188" t="s">
        <v>87</v>
      </c>
      <c r="C80" s="219" t="s">
        <v>92</v>
      </c>
      <c r="D80" s="219" t="s">
        <v>93</v>
      </c>
      <c r="E80" s="193" t="s">
        <v>35</v>
      </c>
      <c r="F80" s="192"/>
      <c r="G80" s="133"/>
      <c r="H80" s="133"/>
      <c r="I80" s="133"/>
      <c r="J80" s="133"/>
      <c r="K80" s="191">
        <f t="shared" si="7"/>
        <v>0</v>
      </c>
      <c r="L80" s="191">
        <f t="shared" si="8"/>
        <v>0</v>
      </c>
      <c r="M80" s="191">
        <v>438.8</v>
      </c>
      <c r="N80" s="191">
        <f>+M80*1000/(50*1*120*60)*T80</f>
        <v>4.8755555555555556</v>
      </c>
      <c r="O80" s="191"/>
      <c r="P80" s="191">
        <f t="shared" si="9"/>
        <v>0</v>
      </c>
      <c r="Q80" s="191"/>
      <c r="R80" s="19">
        <f t="shared" si="10"/>
        <v>0</v>
      </c>
      <c r="S80" s="191">
        <f t="shared" si="11"/>
        <v>0</v>
      </c>
      <c r="T80" s="20">
        <v>4</v>
      </c>
      <c r="U80" s="189"/>
      <c r="V80" s="190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89">
        <v>300066</v>
      </c>
      <c r="B81" s="188" t="s">
        <v>87</v>
      </c>
      <c r="C81" s="219" t="s">
        <v>92</v>
      </c>
      <c r="D81" s="219" t="s">
        <v>93</v>
      </c>
      <c r="E81" s="193" t="s">
        <v>66</v>
      </c>
      <c r="F81" s="192"/>
      <c r="G81" s="133"/>
      <c r="H81" s="133"/>
      <c r="I81" s="133"/>
      <c r="J81" s="133"/>
      <c r="K81" s="191">
        <f t="shared" si="7"/>
        <v>0</v>
      </c>
      <c r="L81" s="191">
        <f t="shared" si="8"/>
        <v>0</v>
      </c>
      <c r="M81" s="191">
        <v>438.4</v>
      </c>
      <c r="N81" s="191">
        <f>+M81*1000/(50*1*120*60)*T81</f>
        <v>4.8711111111111114</v>
      </c>
      <c r="O81" s="191"/>
      <c r="P81" s="191">
        <f t="shared" si="9"/>
        <v>0</v>
      </c>
      <c r="Q81" s="191"/>
      <c r="R81" s="19">
        <f t="shared" si="10"/>
        <v>0</v>
      </c>
      <c r="S81" s="191">
        <f t="shared" si="11"/>
        <v>0</v>
      </c>
      <c r="T81" s="20">
        <v>4</v>
      </c>
      <c r="U81" s="189"/>
      <c r="V81" s="190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89">
        <v>300067</v>
      </c>
      <c r="B82" s="188" t="s">
        <v>87</v>
      </c>
      <c r="C82" s="219" t="s">
        <v>92</v>
      </c>
      <c r="D82" s="219" t="s">
        <v>93</v>
      </c>
      <c r="E82" s="193" t="s">
        <v>41</v>
      </c>
      <c r="F82" s="192"/>
      <c r="G82" s="133"/>
      <c r="H82" s="133"/>
      <c r="I82" s="133"/>
      <c r="J82" s="133"/>
      <c r="K82" s="191">
        <f t="shared" si="7"/>
        <v>0</v>
      </c>
      <c r="L82" s="191">
        <f t="shared" si="8"/>
        <v>0</v>
      </c>
      <c r="M82" s="191">
        <v>438.8</v>
      </c>
      <c r="N82" s="191">
        <f>+M82*1000/(50*1*120*60)*T82</f>
        <v>4.8755555555555556</v>
      </c>
      <c r="O82" s="191"/>
      <c r="P82" s="191">
        <f t="shared" si="9"/>
        <v>0</v>
      </c>
      <c r="Q82" s="191"/>
      <c r="R82" s="19">
        <f t="shared" si="10"/>
        <v>0</v>
      </c>
      <c r="S82" s="191">
        <f t="shared" si="11"/>
        <v>0</v>
      </c>
      <c r="T82" s="20">
        <v>4</v>
      </c>
      <c r="U82" s="20"/>
      <c r="V82" s="190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89">
        <v>300437</v>
      </c>
      <c r="B83" s="188" t="s">
        <v>87</v>
      </c>
      <c r="C83" s="219" t="s">
        <v>92</v>
      </c>
      <c r="D83" s="219" t="s">
        <v>93</v>
      </c>
      <c r="E83" s="193" t="s">
        <v>302</v>
      </c>
      <c r="F83" s="192"/>
      <c r="G83" s="133"/>
      <c r="H83" s="133"/>
      <c r="I83" s="133"/>
      <c r="J83" s="133"/>
      <c r="K83" s="191">
        <f t="shared" si="7"/>
        <v>0</v>
      </c>
      <c r="L83" s="191">
        <f t="shared" si="8"/>
        <v>0</v>
      </c>
      <c r="M83" s="191">
        <v>438.8</v>
      </c>
      <c r="N83" s="191">
        <f>+M83*1000/(50*1*120*60)*T83</f>
        <v>4.8755555555555556</v>
      </c>
      <c r="O83" s="191"/>
      <c r="P83" s="191">
        <f t="shared" si="9"/>
        <v>0</v>
      </c>
      <c r="Q83" s="191"/>
      <c r="R83" s="19">
        <f t="shared" si="10"/>
        <v>0</v>
      </c>
      <c r="S83" s="191">
        <f t="shared" si="11"/>
        <v>0</v>
      </c>
      <c r="T83" s="20">
        <v>4</v>
      </c>
      <c r="U83" s="20"/>
      <c r="V83" s="190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89">
        <v>300384</v>
      </c>
      <c r="B84" s="188" t="s">
        <v>87</v>
      </c>
      <c r="C84" s="219" t="s">
        <v>94</v>
      </c>
      <c r="D84" s="219" t="s">
        <v>95</v>
      </c>
      <c r="E84" s="193" t="s">
        <v>35</v>
      </c>
      <c r="F84" s="192"/>
      <c r="G84" s="133"/>
      <c r="H84" s="133"/>
      <c r="I84" s="133"/>
      <c r="J84" s="133"/>
      <c r="K84" s="191">
        <f t="shared" si="7"/>
        <v>0</v>
      </c>
      <c r="L84" s="191">
        <f t="shared" si="8"/>
        <v>0</v>
      </c>
      <c r="M84" s="191">
        <v>415.5</v>
      </c>
      <c r="N84" s="191">
        <f>+M84*1000/(51*1*110*60)*T84</f>
        <v>8.6408199643493759</v>
      </c>
      <c r="O84" s="191"/>
      <c r="P84" s="191">
        <f t="shared" si="9"/>
        <v>0</v>
      </c>
      <c r="Q84" s="191"/>
      <c r="R84" s="19">
        <f t="shared" si="10"/>
        <v>0</v>
      </c>
      <c r="S84" s="191">
        <f t="shared" si="11"/>
        <v>0</v>
      </c>
      <c r="T84" s="20">
        <v>7</v>
      </c>
      <c r="U84" s="20"/>
      <c r="V84" s="190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89">
        <v>300383</v>
      </c>
      <c r="B85" s="188" t="s">
        <v>87</v>
      </c>
      <c r="C85" s="219" t="s">
        <v>94</v>
      </c>
      <c r="D85" s="219" t="s">
        <v>96</v>
      </c>
      <c r="E85" s="193" t="s">
        <v>41</v>
      </c>
      <c r="F85" s="192"/>
      <c r="G85" s="133"/>
      <c r="H85" s="133"/>
      <c r="I85" s="133"/>
      <c r="J85" s="133"/>
      <c r="K85" s="191">
        <f t="shared" si="7"/>
        <v>0</v>
      </c>
      <c r="L85" s="191">
        <f t="shared" si="8"/>
        <v>0</v>
      </c>
      <c r="M85" s="191">
        <v>415.5</v>
      </c>
      <c r="N85" s="191">
        <f>+M85*1000/(51*1*110*60)*T85</f>
        <v>8.6408199643493759</v>
      </c>
      <c r="O85" s="191"/>
      <c r="P85" s="191">
        <f t="shared" si="9"/>
        <v>0</v>
      </c>
      <c r="Q85" s="191"/>
      <c r="R85" s="19">
        <f t="shared" si="10"/>
        <v>0</v>
      </c>
      <c r="S85" s="191">
        <f t="shared" si="11"/>
        <v>0</v>
      </c>
      <c r="T85" s="20">
        <v>7</v>
      </c>
      <c r="U85" s="20"/>
      <c r="V85" s="190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89">
        <v>300386</v>
      </c>
      <c r="B86" s="188" t="s">
        <v>87</v>
      </c>
      <c r="C86" s="219" t="s">
        <v>94</v>
      </c>
      <c r="D86" s="219" t="s">
        <v>97</v>
      </c>
      <c r="E86" s="193" t="s">
        <v>66</v>
      </c>
      <c r="F86" s="192"/>
      <c r="G86" s="133"/>
      <c r="H86" s="133"/>
      <c r="I86" s="133"/>
      <c r="J86" s="133"/>
      <c r="K86" s="191">
        <f t="shared" si="7"/>
        <v>0</v>
      </c>
      <c r="L86" s="191">
        <f t="shared" si="8"/>
        <v>0</v>
      </c>
      <c r="M86" s="191">
        <v>415.5</v>
      </c>
      <c r="N86" s="191">
        <f>+M86*1000/(51*1*110*60)*T86</f>
        <v>8.6408199643493759</v>
      </c>
      <c r="O86" s="191"/>
      <c r="P86" s="191">
        <f t="shared" si="9"/>
        <v>0</v>
      </c>
      <c r="Q86" s="191"/>
      <c r="R86" s="19">
        <f t="shared" si="10"/>
        <v>0</v>
      </c>
      <c r="S86" s="191">
        <f t="shared" si="11"/>
        <v>0</v>
      </c>
      <c r="T86" s="20">
        <v>7</v>
      </c>
      <c r="U86" s="20"/>
      <c r="V86" s="190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89">
        <v>300385</v>
      </c>
      <c r="B87" s="188" t="s">
        <v>87</v>
      </c>
      <c r="C87" s="219" t="s">
        <v>94</v>
      </c>
      <c r="D87" s="219" t="s">
        <v>98</v>
      </c>
      <c r="E87" s="193" t="s">
        <v>99</v>
      </c>
      <c r="F87" s="192"/>
      <c r="G87" s="133"/>
      <c r="H87" s="133"/>
      <c r="I87" s="133"/>
      <c r="J87" s="133"/>
      <c r="K87" s="191">
        <f t="shared" si="7"/>
        <v>0</v>
      </c>
      <c r="L87" s="191">
        <f t="shared" si="8"/>
        <v>0</v>
      </c>
      <c r="M87" s="191">
        <v>415.5</v>
      </c>
      <c r="N87" s="191">
        <f>+M87*1000/(51*1*110*60)*T87</f>
        <v>8.6408199643493759</v>
      </c>
      <c r="O87" s="191"/>
      <c r="P87" s="191">
        <f t="shared" si="9"/>
        <v>0</v>
      </c>
      <c r="Q87" s="191"/>
      <c r="R87" s="19">
        <f t="shared" si="10"/>
        <v>0</v>
      </c>
      <c r="S87" s="191">
        <f t="shared" si="11"/>
        <v>0</v>
      </c>
      <c r="T87" s="20">
        <v>7</v>
      </c>
      <c r="U87" s="20"/>
      <c r="V87" s="190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89">
        <v>300352</v>
      </c>
      <c r="B88" s="188" t="s">
        <v>87</v>
      </c>
      <c r="C88" s="219" t="s">
        <v>100</v>
      </c>
      <c r="D88" s="219" t="s">
        <v>95</v>
      </c>
      <c r="E88" s="193" t="s">
        <v>35</v>
      </c>
      <c r="F88" s="192"/>
      <c r="G88" s="133"/>
      <c r="H88" s="133"/>
      <c r="I88" s="133"/>
      <c r="J88" s="133"/>
      <c r="K88" s="191">
        <f t="shared" si="7"/>
        <v>0</v>
      </c>
      <c r="L88" s="191">
        <f t="shared" si="8"/>
        <v>0</v>
      </c>
      <c r="M88" s="191">
        <v>515.9</v>
      </c>
      <c r="N88" s="191">
        <f>+M88*1000/(80*1*110*60)*T88</f>
        <v>6.8395833333333336</v>
      </c>
      <c r="O88" s="191"/>
      <c r="P88" s="191">
        <f t="shared" si="9"/>
        <v>0</v>
      </c>
      <c r="Q88" s="191"/>
      <c r="R88" s="19">
        <f t="shared" si="10"/>
        <v>0</v>
      </c>
      <c r="S88" s="191">
        <f t="shared" si="11"/>
        <v>0</v>
      </c>
      <c r="T88" s="20">
        <v>7</v>
      </c>
      <c r="U88" s="20"/>
      <c r="V88" s="190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89">
        <v>300353</v>
      </c>
      <c r="B89" s="188" t="s">
        <v>87</v>
      </c>
      <c r="C89" s="219" t="s">
        <v>100</v>
      </c>
      <c r="D89" s="219" t="s">
        <v>95</v>
      </c>
      <c r="E89" s="193" t="s">
        <v>99</v>
      </c>
      <c r="F89" s="192"/>
      <c r="G89" s="133"/>
      <c r="H89" s="133"/>
      <c r="I89" s="133"/>
      <c r="J89" s="133"/>
      <c r="K89" s="191">
        <f t="shared" si="7"/>
        <v>0</v>
      </c>
      <c r="L89" s="191">
        <f t="shared" si="8"/>
        <v>0</v>
      </c>
      <c r="M89" s="191">
        <v>515.9</v>
      </c>
      <c r="N89" s="191">
        <f>+M89*1000/(80*1*110*60)*T89</f>
        <v>6.8395833333333336</v>
      </c>
      <c r="O89" s="191"/>
      <c r="P89" s="191">
        <f t="shared" si="9"/>
        <v>0</v>
      </c>
      <c r="Q89" s="191"/>
      <c r="R89" s="19">
        <f t="shared" si="10"/>
        <v>0</v>
      </c>
      <c r="S89" s="191">
        <f t="shared" si="11"/>
        <v>0</v>
      </c>
      <c r="T89" s="20">
        <v>7</v>
      </c>
      <c r="U89" s="20"/>
      <c r="V89" s="190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89">
        <v>300351</v>
      </c>
      <c r="B90" s="188" t="s">
        <v>87</v>
      </c>
      <c r="C90" s="219" t="s">
        <v>100</v>
      </c>
      <c r="D90" s="219" t="s">
        <v>95</v>
      </c>
      <c r="E90" s="193" t="s">
        <v>41</v>
      </c>
      <c r="F90" s="192"/>
      <c r="G90" s="133"/>
      <c r="H90" s="133"/>
      <c r="I90" s="133"/>
      <c r="J90" s="133"/>
      <c r="K90" s="191">
        <f t="shared" si="7"/>
        <v>0</v>
      </c>
      <c r="L90" s="191">
        <f t="shared" si="8"/>
        <v>0</v>
      </c>
      <c r="M90" s="191">
        <v>515.9</v>
      </c>
      <c r="N90" s="191">
        <f>+M90*1000/(80*1*110*60)*T90</f>
        <v>6.8395833333333336</v>
      </c>
      <c r="O90" s="191"/>
      <c r="P90" s="191">
        <f t="shared" si="9"/>
        <v>0</v>
      </c>
      <c r="Q90" s="191"/>
      <c r="R90" s="19">
        <f t="shared" si="10"/>
        <v>0</v>
      </c>
      <c r="S90" s="191">
        <f t="shared" si="11"/>
        <v>0</v>
      </c>
      <c r="T90" s="20">
        <v>7</v>
      </c>
      <c r="U90" s="20"/>
      <c r="V90" s="190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89">
        <v>300354</v>
      </c>
      <c r="B91" s="188" t="s">
        <v>87</v>
      </c>
      <c r="C91" s="219" t="s">
        <v>100</v>
      </c>
      <c r="D91" s="219" t="s">
        <v>95</v>
      </c>
      <c r="E91" s="193" t="s">
        <v>66</v>
      </c>
      <c r="F91" s="192"/>
      <c r="G91" s="133"/>
      <c r="H91" s="133"/>
      <c r="I91" s="133"/>
      <c r="J91" s="133"/>
      <c r="K91" s="191">
        <f t="shared" si="7"/>
        <v>0</v>
      </c>
      <c r="L91" s="191">
        <f t="shared" si="8"/>
        <v>0</v>
      </c>
      <c r="M91" s="191">
        <v>515.9</v>
      </c>
      <c r="N91" s="191">
        <f>+M91*1000/(80*1*110*60)*T91</f>
        <v>6.8395833333333336</v>
      </c>
      <c r="O91" s="191"/>
      <c r="P91" s="191">
        <f t="shared" si="9"/>
        <v>0</v>
      </c>
      <c r="Q91" s="191"/>
      <c r="R91" s="19">
        <f t="shared" si="10"/>
        <v>0</v>
      </c>
      <c r="S91" s="191">
        <f t="shared" si="11"/>
        <v>0</v>
      </c>
      <c r="T91" s="20">
        <v>7</v>
      </c>
      <c r="U91" s="20"/>
      <c r="V91" s="190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89">
        <v>300250</v>
      </c>
      <c r="B92" s="188" t="s">
        <v>87</v>
      </c>
      <c r="C92" s="219" t="s">
        <v>101</v>
      </c>
      <c r="D92" s="219" t="s">
        <v>95</v>
      </c>
      <c r="E92" s="193" t="s">
        <v>35</v>
      </c>
      <c r="F92" s="192"/>
      <c r="G92" s="133"/>
      <c r="H92" s="133"/>
      <c r="I92" s="133"/>
      <c r="J92" s="133"/>
      <c r="K92" s="191">
        <f t="shared" si="7"/>
        <v>0</v>
      </c>
      <c r="L92" s="191">
        <f t="shared" si="8"/>
        <v>0</v>
      </c>
      <c r="M92" s="191">
        <v>412.5</v>
      </c>
      <c r="N92" s="191">
        <f>+M92*1000/(84*1*110*60)*T92</f>
        <v>5.2083333333333339</v>
      </c>
      <c r="O92" s="191"/>
      <c r="P92" s="191">
        <f t="shared" si="9"/>
        <v>0</v>
      </c>
      <c r="Q92" s="191"/>
      <c r="R92" s="19">
        <f t="shared" si="10"/>
        <v>0</v>
      </c>
      <c r="S92" s="191">
        <f t="shared" si="11"/>
        <v>0</v>
      </c>
      <c r="T92" s="20">
        <v>7</v>
      </c>
      <c r="U92" s="20"/>
      <c r="V92" s="190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89">
        <v>300251</v>
      </c>
      <c r="B93" s="188" t="s">
        <v>87</v>
      </c>
      <c r="C93" s="219" t="s">
        <v>101</v>
      </c>
      <c r="D93" s="219" t="s">
        <v>95</v>
      </c>
      <c r="E93" s="193" t="s">
        <v>99</v>
      </c>
      <c r="F93" s="192"/>
      <c r="G93" s="133"/>
      <c r="H93" s="133"/>
      <c r="I93" s="133"/>
      <c r="J93" s="133"/>
      <c r="K93" s="191">
        <f t="shared" si="7"/>
        <v>0</v>
      </c>
      <c r="L93" s="191">
        <f t="shared" si="8"/>
        <v>0</v>
      </c>
      <c r="M93" s="191">
        <v>412.5</v>
      </c>
      <c r="N93" s="191">
        <f>+M93*1000/(84*1*110*60)*T93</f>
        <v>5.2083333333333339</v>
      </c>
      <c r="O93" s="191"/>
      <c r="P93" s="191">
        <f t="shared" si="9"/>
        <v>0</v>
      </c>
      <c r="Q93" s="191"/>
      <c r="R93" s="19">
        <f t="shared" si="10"/>
        <v>0</v>
      </c>
      <c r="S93" s="191">
        <f t="shared" si="11"/>
        <v>0</v>
      </c>
      <c r="T93" s="20">
        <v>7</v>
      </c>
      <c r="U93" s="20"/>
      <c r="V93" s="190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89">
        <v>300254</v>
      </c>
      <c r="B94" s="188" t="s">
        <v>87</v>
      </c>
      <c r="C94" s="219" t="s">
        <v>101</v>
      </c>
      <c r="D94" s="219" t="s">
        <v>95</v>
      </c>
      <c r="E94" s="193" t="s">
        <v>41</v>
      </c>
      <c r="F94" s="192"/>
      <c r="G94" s="133"/>
      <c r="H94" s="133"/>
      <c r="I94" s="133"/>
      <c r="J94" s="133"/>
      <c r="K94" s="191">
        <f t="shared" si="7"/>
        <v>0</v>
      </c>
      <c r="L94" s="191">
        <f t="shared" si="8"/>
        <v>0</v>
      </c>
      <c r="M94" s="191">
        <v>412.5</v>
      </c>
      <c r="N94" s="191">
        <f>+M94*1000/(84*1*110*60)*T94</f>
        <v>5.2083333333333339</v>
      </c>
      <c r="O94" s="191"/>
      <c r="P94" s="191">
        <f t="shared" si="9"/>
        <v>0</v>
      </c>
      <c r="Q94" s="191"/>
      <c r="R94" s="19">
        <f t="shared" si="10"/>
        <v>0</v>
      </c>
      <c r="S94" s="191">
        <f t="shared" si="11"/>
        <v>0</v>
      </c>
      <c r="T94" s="20">
        <v>7</v>
      </c>
      <c r="U94" s="20"/>
      <c r="V94" s="190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89">
        <v>300253</v>
      </c>
      <c r="B95" s="188" t="s">
        <v>87</v>
      </c>
      <c r="C95" s="219" t="s">
        <v>101</v>
      </c>
      <c r="D95" s="219" t="s">
        <v>95</v>
      </c>
      <c r="E95" s="193" t="s">
        <v>66</v>
      </c>
      <c r="F95" s="192"/>
      <c r="G95" s="133"/>
      <c r="H95" s="133"/>
      <c r="I95" s="133"/>
      <c r="J95" s="133"/>
      <c r="K95" s="191">
        <f t="shared" si="7"/>
        <v>0</v>
      </c>
      <c r="L95" s="191">
        <f t="shared" si="8"/>
        <v>0</v>
      </c>
      <c r="M95" s="191">
        <v>412.5</v>
      </c>
      <c r="N95" s="191">
        <f>+M95*1000/(84*1*110*60)*T95</f>
        <v>5.2083333333333339</v>
      </c>
      <c r="O95" s="191"/>
      <c r="P95" s="191">
        <f t="shared" si="9"/>
        <v>0</v>
      </c>
      <c r="Q95" s="191"/>
      <c r="R95" s="19">
        <f t="shared" si="10"/>
        <v>0</v>
      </c>
      <c r="S95" s="191">
        <f t="shared" si="11"/>
        <v>0</v>
      </c>
      <c r="T95" s="20">
        <v>7</v>
      </c>
      <c r="U95" s="20"/>
      <c r="V95" s="190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89">
        <v>300255</v>
      </c>
      <c r="B96" s="188" t="s">
        <v>87</v>
      </c>
      <c r="C96" s="219" t="s">
        <v>101</v>
      </c>
      <c r="D96" s="219" t="s">
        <v>95</v>
      </c>
      <c r="E96" s="193" t="s">
        <v>102</v>
      </c>
      <c r="F96" s="192"/>
      <c r="G96" s="133"/>
      <c r="H96" s="133"/>
      <c r="I96" s="133"/>
      <c r="J96" s="133"/>
      <c r="K96" s="191">
        <f t="shared" si="7"/>
        <v>0</v>
      </c>
      <c r="L96" s="191">
        <f t="shared" si="8"/>
        <v>0</v>
      </c>
      <c r="M96" s="191">
        <v>412.5</v>
      </c>
      <c r="N96" s="191">
        <f>+M96*1000/(84*1*110*60)*T96</f>
        <v>5.2083333333333339</v>
      </c>
      <c r="O96" s="191"/>
      <c r="P96" s="191">
        <f t="shared" si="9"/>
        <v>0</v>
      </c>
      <c r="Q96" s="191"/>
      <c r="R96" s="19">
        <f t="shared" si="10"/>
        <v>0</v>
      </c>
      <c r="S96" s="191">
        <f t="shared" si="11"/>
        <v>0</v>
      </c>
      <c r="T96" s="20">
        <v>7</v>
      </c>
      <c r="U96" s="20"/>
      <c r="V96" s="190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89">
        <v>300392</v>
      </c>
      <c r="B97" s="188" t="s">
        <v>87</v>
      </c>
      <c r="C97" s="230" t="s">
        <v>103</v>
      </c>
      <c r="D97" s="231"/>
      <c r="E97" s="193" t="s">
        <v>99</v>
      </c>
      <c r="F97" s="189"/>
      <c r="G97" s="133"/>
      <c r="H97" s="133"/>
      <c r="I97" s="133"/>
      <c r="J97" s="133"/>
      <c r="K97" s="191">
        <f t="shared" si="7"/>
        <v>0</v>
      </c>
      <c r="L97" s="191">
        <f t="shared" si="8"/>
        <v>0</v>
      </c>
      <c r="M97" s="191">
        <v>523</v>
      </c>
      <c r="N97" s="191">
        <f>+M97*1000/(98*1*80*60)*T97</f>
        <v>7.7827380952380958</v>
      </c>
      <c r="O97" s="191"/>
      <c r="P97" s="191">
        <f t="shared" si="9"/>
        <v>0</v>
      </c>
      <c r="Q97" s="191"/>
      <c r="R97" s="19">
        <f t="shared" si="10"/>
        <v>0</v>
      </c>
      <c r="S97" s="191">
        <f t="shared" si="11"/>
        <v>0</v>
      </c>
      <c r="T97" s="20">
        <v>7</v>
      </c>
      <c r="U97" s="20"/>
      <c r="V97" s="190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89">
        <v>300088</v>
      </c>
      <c r="B98" s="188" t="s">
        <v>87</v>
      </c>
      <c r="C98" s="219" t="s">
        <v>310</v>
      </c>
      <c r="D98" s="219" t="s">
        <v>91</v>
      </c>
      <c r="E98" s="193" t="s">
        <v>39</v>
      </c>
      <c r="F98" s="192"/>
      <c r="G98" s="133"/>
      <c r="H98" s="133"/>
      <c r="I98" s="133"/>
      <c r="J98" s="133"/>
      <c r="K98" s="191">
        <f t="shared" si="7"/>
        <v>0</v>
      </c>
      <c r="L98" s="191">
        <f t="shared" si="8"/>
        <v>0</v>
      </c>
      <c r="M98" s="191">
        <v>617.79999999999995</v>
      </c>
      <c r="N98" s="191">
        <f>+M98*1000/(123*1*80*60)*T98</f>
        <v>3.1392276422764223</v>
      </c>
      <c r="O98" s="191"/>
      <c r="P98" s="191">
        <f t="shared" si="9"/>
        <v>0</v>
      </c>
      <c r="Q98" s="191"/>
      <c r="R98" s="19">
        <f t="shared" si="10"/>
        <v>0</v>
      </c>
      <c r="S98" s="191">
        <f t="shared" si="11"/>
        <v>0</v>
      </c>
      <c r="T98" s="20">
        <v>3</v>
      </c>
      <c r="U98" s="20"/>
      <c r="V98" s="190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89">
        <v>300089</v>
      </c>
      <c r="B99" s="188" t="s">
        <v>87</v>
      </c>
      <c r="C99" s="219" t="s">
        <v>310</v>
      </c>
      <c r="D99" s="219" t="s">
        <v>91</v>
      </c>
      <c r="E99" s="193" t="s">
        <v>42</v>
      </c>
      <c r="F99" s="192"/>
      <c r="G99" s="133"/>
      <c r="H99" s="133"/>
      <c r="I99" s="133"/>
      <c r="J99" s="133"/>
      <c r="K99" s="191">
        <f t="shared" si="7"/>
        <v>0</v>
      </c>
      <c r="L99" s="191">
        <f t="shared" si="8"/>
        <v>0</v>
      </c>
      <c r="M99" s="191">
        <v>618.6</v>
      </c>
      <c r="N99" s="191">
        <f>+M99*1000/(124*1*80*60)*T99</f>
        <v>3.117943548387097</v>
      </c>
      <c r="O99" s="191"/>
      <c r="P99" s="191">
        <f t="shared" si="9"/>
        <v>0</v>
      </c>
      <c r="Q99" s="191"/>
      <c r="R99" s="19">
        <f t="shared" si="10"/>
        <v>0</v>
      </c>
      <c r="S99" s="191">
        <f t="shared" si="11"/>
        <v>0</v>
      </c>
      <c r="T99" s="20">
        <v>3</v>
      </c>
      <c r="U99" s="20"/>
      <c r="V99" s="190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89">
        <v>300128</v>
      </c>
      <c r="B100" s="188" t="s">
        <v>87</v>
      </c>
      <c r="C100" s="219" t="s">
        <v>104</v>
      </c>
      <c r="D100" s="219" t="s">
        <v>105</v>
      </c>
      <c r="E100" s="193" t="s">
        <v>35</v>
      </c>
      <c r="F100" s="192"/>
      <c r="G100" s="133"/>
      <c r="H100" s="133"/>
      <c r="I100" s="133"/>
      <c r="J100" s="133"/>
      <c r="K100" s="191">
        <f t="shared" si="7"/>
        <v>0</v>
      </c>
      <c r="L100" s="191">
        <f t="shared" si="8"/>
        <v>0</v>
      </c>
      <c r="M100" s="191">
        <v>621.29999999999995</v>
      </c>
      <c r="N100" s="191">
        <f t="shared" ref="N100:N105" si="12">+M100*1000/(130.5*1*80*60)*T100</f>
        <v>3.9674329501915708</v>
      </c>
      <c r="O100" s="191"/>
      <c r="P100" s="191">
        <f t="shared" si="9"/>
        <v>0</v>
      </c>
      <c r="Q100" s="191"/>
      <c r="R100" s="19">
        <f t="shared" si="10"/>
        <v>0</v>
      </c>
      <c r="S100" s="191">
        <f t="shared" si="11"/>
        <v>0</v>
      </c>
      <c r="T100" s="20">
        <v>4</v>
      </c>
      <c r="U100" s="20"/>
      <c r="V100" s="190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89">
        <v>300129</v>
      </c>
      <c r="B101" s="188" t="s">
        <v>87</v>
      </c>
      <c r="C101" s="219" t="s">
        <v>104</v>
      </c>
      <c r="D101" s="219" t="s">
        <v>105</v>
      </c>
      <c r="E101" s="193" t="s">
        <v>41</v>
      </c>
      <c r="F101" s="192"/>
      <c r="G101" s="133"/>
      <c r="H101" s="133"/>
      <c r="I101" s="133"/>
      <c r="J101" s="133"/>
      <c r="K101" s="191">
        <f t="shared" si="7"/>
        <v>0</v>
      </c>
      <c r="L101" s="191">
        <f t="shared" si="8"/>
        <v>0</v>
      </c>
      <c r="M101" s="191">
        <v>621.29999999999995</v>
      </c>
      <c r="N101" s="191">
        <f t="shared" si="12"/>
        <v>3.9674329501915708</v>
      </c>
      <c r="O101" s="191"/>
      <c r="P101" s="191">
        <f t="shared" si="9"/>
        <v>0</v>
      </c>
      <c r="Q101" s="191"/>
      <c r="R101" s="19">
        <f t="shared" si="10"/>
        <v>0</v>
      </c>
      <c r="S101" s="191">
        <f t="shared" si="11"/>
        <v>0</v>
      </c>
      <c r="T101" s="20">
        <v>4</v>
      </c>
      <c r="U101" s="20"/>
      <c r="V101" s="190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189">
        <v>300130</v>
      </c>
      <c r="B102" s="188" t="s">
        <v>87</v>
      </c>
      <c r="C102" s="219" t="s">
        <v>104</v>
      </c>
      <c r="D102" s="219" t="s">
        <v>105</v>
      </c>
      <c r="E102" s="193" t="s">
        <v>37</v>
      </c>
      <c r="F102" s="192"/>
      <c r="G102" s="133"/>
      <c r="H102" s="133"/>
      <c r="I102" s="133"/>
      <c r="J102" s="133"/>
      <c r="K102" s="191">
        <f t="shared" si="7"/>
        <v>0</v>
      </c>
      <c r="L102" s="191">
        <f t="shared" si="8"/>
        <v>0</v>
      </c>
      <c r="M102" s="191">
        <v>621.29999999999995</v>
      </c>
      <c r="N102" s="191">
        <f t="shared" si="12"/>
        <v>3.9674329501915708</v>
      </c>
      <c r="O102" s="191"/>
      <c r="P102" s="191">
        <f t="shared" si="9"/>
        <v>0</v>
      </c>
      <c r="Q102" s="191"/>
      <c r="R102" s="19">
        <f t="shared" si="10"/>
        <v>0</v>
      </c>
      <c r="S102" s="191">
        <f t="shared" si="11"/>
        <v>0</v>
      </c>
      <c r="T102" s="20">
        <v>4</v>
      </c>
      <c r="U102" s="20"/>
      <c r="V102" s="190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189">
        <v>300423</v>
      </c>
      <c r="B103" s="188" t="s">
        <v>292</v>
      </c>
      <c r="C103" s="230" t="s">
        <v>288</v>
      </c>
      <c r="D103" s="231"/>
      <c r="E103" s="193" t="s">
        <v>289</v>
      </c>
      <c r="F103" s="192"/>
      <c r="G103" s="133"/>
      <c r="H103" s="133"/>
      <c r="I103" s="133"/>
      <c r="J103" s="133"/>
      <c r="K103" s="191">
        <f t="shared" si="7"/>
        <v>0</v>
      </c>
      <c r="L103" s="191">
        <f t="shared" si="8"/>
        <v>0</v>
      </c>
      <c r="M103" s="191">
        <v>524.1</v>
      </c>
      <c r="N103" s="191">
        <f t="shared" si="12"/>
        <v>3.3467432950191571</v>
      </c>
      <c r="O103" s="191"/>
      <c r="P103" s="191">
        <f t="shared" si="9"/>
        <v>0</v>
      </c>
      <c r="Q103" s="191"/>
      <c r="R103" s="19">
        <f t="shared" si="10"/>
        <v>0</v>
      </c>
      <c r="S103" s="191">
        <f t="shared" si="11"/>
        <v>0</v>
      </c>
      <c r="T103" s="20">
        <v>4</v>
      </c>
      <c r="U103" s="20"/>
      <c r="V103" s="190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189">
        <v>300424</v>
      </c>
      <c r="B104" s="188" t="s">
        <v>292</v>
      </c>
      <c r="C104" s="230" t="s">
        <v>288</v>
      </c>
      <c r="D104" s="231"/>
      <c r="E104" s="193" t="s">
        <v>290</v>
      </c>
      <c r="F104" s="192"/>
      <c r="G104" s="133"/>
      <c r="H104" s="133"/>
      <c r="I104" s="133"/>
      <c r="J104" s="133"/>
      <c r="K104" s="191">
        <f t="shared" si="7"/>
        <v>0</v>
      </c>
      <c r="L104" s="191">
        <f t="shared" si="8"/>
        <v>0</v>
      </c>
      <c r="M104" s="191">
        <v>524.1</v>
      </c>
      <c r="N104" s="191">
        <f t="shared" si="12"/>
        <v>3.3467432950191571</v>
      </c>
      <c r="O104" s="191"/>
      <c r="P104" s="191">
        <f t="shared" si="9"/>
        <v>0</v>
      </c>
      <c r="Q104" s="191"/>
      <c r="R104" s="19">
        <f t="shared" si="10"/>
        <v>0</v>
      </c>
      <c r="S104" s="191">
        <f t="shared" si="11"/>
        <v>0</v>
      </c>
      <c r="T104" s="20">
        <v>4</v>
      </c>
      <c r="U104" s="20"/>
      <c r="V104" s="190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189">
        <v>300425</v>
      </c>
      <c r="B105" s="188" t="s">
        <v>292</v>
      </c>
      <c r="C105" s="230" t="s">
        <v>288</v>
      </c>
      <c r="D105" s="231"/>
      <c r="E105" s="193" t="s">
        <v>291</v>
      </c>
      <c r="F105" s="192"/>
      <c r="G105" s="133"/>
      <c r="H105" s="133"/>
      <c r="I105" s="133"/>
      <c r="J105" s="133"/>
      <c r="K105" s="191">
        <f t="shared" si="7"/>
        <v>0</v>
      </c>
      <c r="L105" s="191">
        <f t="shared" si="8"/>
        <v>0</v>
      </c>
      <c r="M105" s="191">
        <v>524.1</v>
      </c>
      <c r="N105" s="191">
        <f t="shared" si="12"/>
        <v>3.3467432950191571</v>
      </c>
      <c r="O105" s="191"/>
      <c r="P105" s="191">
        <f t="shared" si="9"/>
        <v>0</v>
      </c>
      <c r="Q105" s="191"/>
      <c r="R105" s="19">
        <f t="shared" si="10"/>
        <v>0</v>
      </c>
      <c r="S105" s="191">
        <f t="shared" si="11"/>
        <v>0</v>
      </c>
      <c r="T105" s="20">
        <v>4</v>
      </c>
      <c r="U105" s="20"/>
      <c r="V105" s="190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189">
        <v>300390</v>
      </c>
      <c r="B106" s="188" t="s">
        <v>292</v>
      </c>
      <c r="C106" s="230" t="s">
        <v>106</v>
      </c>
      <c r="D106" s="231"/>
      <c r="E106" s="193" t="s">
        <v>107</v>
      </c>
      <c r="F106" s="192"/>
      <c r="G106" s="133"/>
      <c r="H106" s="133"/>
      <c r="I106" s="133"/>
      <c r="J106" s="133"/>
      <c r="K106" s="191">
        <f t="shared" si="7"/>
        <v>0</v>
      </c>
      <c r="L106" s="191">
        <f t="shared" si="8"/>
        <v>0</v>
      </c>
      <c r="M106" s="191">
        <v>417.4</v>
      </c>
      <c r="N106" s="191">
        <f>+M106*1000/(87*1*80*60)*T106</f>
        <v>3.9980842911877397</v>
      </c>
      <c r="O106" s="191"/>
      <c r="P106" s="191">
        <f t="shared" si="9"/>
        <v>0</v>
      </c>
      <c r="Q106" s="191"/>
      <c r="R106" s="19">
        <f t="shared" si="10"/>
        <v>0</v>
      </c>
      <c r="S106" s="191">
        <f t="shared" si="11"/>
        <v>0</v>
      </c>
      <c r="T106" s="20">
        <v>4</v>
      </c>
      <c r="U106" s="20"/>
      <c r="V106" s="190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hidden="1" customHeight="1">
      <c r="A107" s="189">
        <v>300391</v>
      </c>
      <c r="B107" s="188" t="s">
        <v>292</v>
      </c>
      <c r="C107" s="230" t="s">
        <v>106</v>
      </c>
      <c r="D107" s="231"/>
      <c r="E107" s="193" t="s">
        <v>109</v>
      </c>
      <c r="F107" s="192"/>
      <c r="G107" s="133"/>
      <c r="H107" s="133"/>
      <c r="I107" s="133"/>
      <c r="J107" s="133"/>
      <c r="K107" s="191">
        <f t="shared" si="7"/>
        <v>0</v>
      </c>
      <c r="L107" s="191">
        <f t="shared" si="8"/>
        <v>0</v>
      </c>
      <c r="M107" s="191">
        <v>417.4</v>
      </c>
      <c r="N107" s="191">
        <f>+M107*1000/(87*1*80*60)*T107</f>
        <v>3.9980842911877397</v>
      </c>
      <c r="O107" s="191"/>
      <c r="P107" s="191">
        <f t="shared" si="9"/>
        <v>0</v>
      </c>
      <c r="Q107" s="191"/>
      <c r="R107" s="19">
        <f t="shared" si="10"/>
        <v>0</v>
      </c>
      <c r="S107" s="191">
        <f t="shared" si="11"/>
        <v>0</v>
      </c>
      <c r="T107" s="20">
        <v>4</v>
      </c>
      <c r="U107" s="20"/>
      <c r="V107" s="190" t="str">
        <f t="array" ref="V107">IF(ISERROR(L107/K107),"",L107/K107)</f>
        <v/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hidden="1" customHeight="1">
      <c r="A108" s="189">
        <v>300431</v>
      </c>
      <c r="B108" s="188" t="s">
        <v>292</v>
      </c>
      <c r="C108" s="230" t="s">
        <v>297</v>
      </c>
      <c r="D108" s="231"/>
      <c r="E108" s="193" t="s">
        <v>298</v>
      </c>
      <c r="F108" s="192"/>
      <c r="G108" s="133"/>
      <c r="H108" s="133"/>
      <c r="I108" s="133"/>
      <c r="J108" s="133"/>
      <c r="K108" s="191">
        <f t="shared" si="7"/>
        <v>0</v>
      </c>
      <c r="L108" s="191">
        <f t="shared" si="8"/>
        <v>0</v>
      </c>
      <c r="M108" s="191">
        <v>628.79999999999995</v>
      </c>
      <c r="N108" s="191">
        <f>+M108*1000/(87*1*80*60)*T108</f>
        <v>6.0229885057471266</v>
      </c>
      <c r="O108" s="191"/>
      <c r="P108" s="191">
        <f t="shared" si="9"/>
        <v>0</v>
      </c>
      <c r="Q108" s="191"/>
      <c r="R108" s="19">
        <f t="shared" si="10"/>
        <v>0</v>
      </c>
      <c r="S108" s="191">
        <f t="shared" si="11"/>
        <v>0</v>
      </c>
      <c r="T108" s="20">
        <v>4</v>
      </c>
      <c r="U108" s="20"/>
      <c r="V108" s="190" t="str">
        <f t="array" ref="V108">IF(ISERROR(L108/K108),"",L108/K108)</f>
        <v/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hidden="1" customHeight="1">
      <c r="A109" s="189">
        <v>300432</v>
      </c>
      <c r="B109" s="188" t="s">
        <v>292</v>
      </c>
      <c r="C109" s="230" t="s">
        <v>297</v>
      </c>
      <c r="D109" s="231"/>
      <c r="E109" s="193" t="s">
        <v>299</v>
      </c>
      <c r="F109" s="192"/>
      <c r="G109" s="133"/>
      <c r="H109" s="133"/>
      <c r="I109" s="133"/>
      <c r="J109" s="133"/>
      <c r="K109" s="191">
        <f t="shared" si="7"/>
        <v>0</v>
      </c>
      <c r="L109" s="191">
        <f t="shared" si="8"/>
        <v>0</v>
      </c>
      <c r="M109" s="191">
        <v>628.79999999999995</v>
      </c>
      <c r="N109" s="191">
        <f>+M109*1000/(87*1*80*60)*T109</f>
        <v>6.0229885057471266</v>
      </c>
      <c r="O109" s="191"/>
      <c r="P109" s="191">
        <f t="shared" si="9"/>
        <v>0</v>
      </c>
      <c r="Q109" s="191"/>
      <c r="R109" s="19">
        <f t="shared" si="10"/>
        <v>0</v>
      </c>
      <c r="S109" s="191">
        <f t="shared" si="11"/>
        <v>0</v>
      </c>
      <c r="T109" s="20">
        <v>4</v>
      </c>
      <c r="U109" s="20"/>
      <c r="V109" s="190" t="str">
        <f t="array" ref="V109">IF(ISERROR(L109/K109),"",L109/K109)</f>
        <v/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customHeight="1">
      <c r="A110" s="189">
        <v>300433</v>
      </c>
      <c r="B110" s="188">
        <v>5001</v>
      </c>
      <c r="C110" s="230" t="s">
        <v>297</v>
      </c>
      <c r="D110" s="231"/>
      <c r="E110" s="134" t="s">
        <v>300</v>
      </c>
      <c r="F110" s="192">
        <v>2031</v>
      </c>
      <c r="G110" s="133">
        <v>1</v>
      </c>
      <c r="H110" s="133"/>
      <c r="I110" s="133">
        <f>1-J110/600</f>
        <v>0.91666666666666663</v>
      </c>
      <c r="J110" s="133">
        <v>50</v>
      </c>
      <c r="K110" s="191">
        <f t="shared" si="7"/>
        <v>628.79999999999995</v>
      </c>
      <c r="L110" s="191">
        <f t="shared" si="8"/>
        <v>576.4</v>
      </c>
      <c r="M110" s="191">
        <v>628.79999999999995</v>
      </c>
      <c r="N110" s="191">
        <f>+M110*1000/(87*1*80*60)*T110</f>
        <v>6.0229885057471266</v>
      </c>
      <c r="O110" s="191">
        <v>0.5</v>
      </c>
      <c r="P110" s="191">
        <f t="shared" si="9"/>
        <v>8.0210727969348667</v>
      </c>
      <c r="Q110" s="191">
        <v>1</v>
      </c>
      <c r="R110" s="19">
        <f t="shared" si="10"/>
        <v>5</v>
      </c>
      <c r="S110" s="191">
        <f t="shared" si="11"/>
        <v>-3.0210727969348667</v>
      </c>
      <c r="T110" s="20">
        <v>4</v>
      </c>
      <c r="U110" s="20">
        <v>5</v>
      </c>
      <c r="V110" s="190">
        <f t="array" ref="V110">IF(ISERROR(L110/K110),"",L110/K110)</f>
        <v>0.91666666666666674</v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hidden="1" customHeight="1">
      <c r="A111" s="189">
        <v>300074</v>
      </c>
      <c r="B111" s="188" t="s">
        <v>110</v>
      </c>
      <c r="C111" s="219" t="s">
        <v>111</v>
      </c>
      <c r="D111" s="219" t="s">
        <v>112</v>
      </c>
      <c r="E111" s="193" t="s">
        <v>54</v>
      </c>
      <c r="F111" s="192"/>
      <c r="G111" s="133"/>
      <c r="H111" s="133"/>
      <c r="I111" s="133"/>
      <c r="J111" s="133"/>
      <c r="K111" s="191">
        <f t="shared" si="7"/>
        <v>0</v>
      </c>
      <c r="L111" s="191">
        <f t="shared" si="8"/>
        <v>0</v>
      </c>
      <c r="M111" s="191">
        <v>290.8</v>
      </c>
      <c r="N111" s="191">
        <f>+M111*1000/(88*4*13*60)*T111</f>
        <v>3.1774475524475525</v>
      </c>
      <c r="O111" s="191"/>
      <c r="P111" s="191">
        <f t="shared" si="9"/>
        <v>0</v>
      </c>
      <c r="Q111" s="191"/>
      <c r="R111" s="19">
        <f t="shared" si="10"/>
        <v>0</v>
      </c>
      <c r="S111" s="191">
        <f t="shared" si="11"/>
        <v>0</v>
      </c>
      <c r="T111" s="20">
        <v>3</v>
      </c>
      <c r="U111" s="20"/>
      <c r="V111" s="190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hidden="1" customHeight="1">
      <c r="A112" s="189">
        <v>300076</v>
      </c>
      <c r="B112" s="188" t="s">
        <v>110</v>
      </c>
      <c r="C112" s="219" t="s">
        <v>111</v>
      </c>
      <c r="D112" s="219" t="s">
        <v>112</v>
      </c>
      <c r="E112" s="193" t="s">
        <v>35</v>
      </c>
      <c r="F112" s="192"/>
      <c r="G112" s="133"/>
      <c r="H112" s="133"/>
      <c r="I112" s="133"/>
      <c r="J112" s="133"/>
      <c r="K112" s="191">
        <f t="shared" si="7"/>
        <v>0</v>
      </c>
      <c r="L112" s="191">
        <f t="shared" si="8"/>
        <v>0</v>
      </c>
      <c r="M112" s="191">
        <v>303.10000000000002</v>
      </c>
      <c r="N112" s="191">
        <f>+M112*1000/(88*4*12*60)*T112</f>
        <v>4.7837752525252526</v>
      </c>
      <c r="O112" s="191"/>
      <c r="P112" s="191">
        <f t="shared" si="9"/>
        <v>0</v>
      </c>
      <c r="Q112" s="191"/>
      <c r="R112" s="19">
        <f t="shared" si="10"/>
        <v>0</v>
      </c>
      <c r="S112" s="191">
        <f t="shared" si="11"/>
        <v>0</v>
      </c>
      <c r="T112" s="20">
        <v>4</v>
      </c>
      <c r="U112" s="20"/>
      <c r="V112" s="190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hidden="1" customHeight="1">
      <c r="A113" s="189">
        <v>300096</v>
      </c>
      <c r="B113" s="188" t="s">
        <v>110</v>
      </c>
      <c r="C113" s="219" t="s">
        <v>113</v>
      </c>
      <c r="D113" s="219" t="s">
        <v>114</v>
      </c>
      <c r="E113" s="193" t="s">
        <v>37</v>
      </c>
      <c r="F113" s="192"/>
      <c r="G113" s="133"/>
      <c r="H113" s="133"/>
      <c r="I113" s="133"/>
      <c r="J113" s="133"/>
      <c r="K113" s="191">
        <f t="shared" si="7"/>
        <v>0</v>
      </c>
      <c r="L113" s="191">
        <f t="shared" si="8"/>
        <v>0</v>
      </c>
      <c r="M113" s="191">
        <v>480.13</v>
      </c>
      <c r="N113" s="191">
        <f>+M113*1000/(126.5*4*12*60)*T113</f>
        <v>2.6357597716293371</v>
      </c>
      <c r="O113" s="191"/>
      <c r="P113" s="191">
        <f t="shared" si="9"/>
        <v>0</v>
      </c>
      <c r="Q113" s="191"/>
      <c r="R113" s="19">
        <f t="shared" si="10"/>
        <v>0</v>
      </c>
      <c r="S113" s="191">
        <f t="shared" si="11"/>
        <v>0</v>
      </c>
      <c r="T113" s="20">
        <v>2</v>
      </c>
      <c r="U113" s="20"/>
      <c r="V113" s="190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189"/>
      <c r="B114" s="188" t="s">
        <v>110</v>
      </c>
      <c r="C114" s="219" t="s">
        <v>113</v>
      </c>
      <c r="D114" s="219" t="s">
        <v>114</v>
      </c>
      <c r="E114" s="193" t="s">
        <v>35</v>
      </c>
      <c r="F114" s="192"/>
      <c r="G114" s="133"/>
      <c r="H114" s="133"/>
      <c r="I114" s="133"/>
      <c r="J114" s="133"/>
      <c r="K114" s="191">
        <f t="shared" si="7"/>
        <v>0</v>
      </c>
      <c r="L114" s="191">
        <f t="shared" si="8"/>
        <v>0</v>
      </c>
      <c r="M114" s="191">
        <v>480.13</v>
      </c>
      <c r="N114" s="191">
        <f>+M114*1000/(126.5*4*12*60)*T114</f>
        <v>2.6357597716293371</v>
      </c>
      <c r="O114" s="191"/>
      <c r="P114" s="191">
        <f t="shared" si="9"/>
        <v>0</v>
      </c>
      <c r="Q114" s="191"/>
      <c r="R114" s="19">
        <f t="shared" si="10"/>
        <v>0</v>
      </c>
      <c r="S114" s="191">
        <f t="shared" si="11"/>
        <v>0</v>
      </c>
      <c r="T114" s="20">
        <v>2</v>
      </c>
      <c r="U114" s="20"/>
      <c r="V114" s="190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1.75" customHeight="1">
      <c r="A115" s="189">
        <v>300097</v>
      </c>
      <c r="B115" s="188">
        <v>6502</v>
      </c>
      <c r="C115" s="219" t="s">
        <v>113</v>
      </c>
      <c r="D115" s="219" t="s">
        <v>114</v>
      </c>
      <c r="E115" s="193" t="s">
        <v>63</v>
      </c>
      <c r="F115" s="192">
        <v>2077</v>
      </c>
      <c r="G115" s="133">
        <v>10</v>
      </c>
      <c r="H115" s="133"/>
      <c r="I115" s="133">
        <f>10-J115/300</f>
        <v>9.6</v>
      </c>
      <c r="J115" s="133">
        <v>120</v>
      </c>
      <c r="K115" s="191">
        <f t="shared" si="7"/>
        <v>4801.3</v>
      </c>
      <c r="L115" s="191">
        <f t="shared" si="8"/>
        <v>4609.2479999999996</v>
      </c>
      <c r="M115" s="191">
        <v>480.13</v>
      </c>
      <c r="N115" s="191">
        <f>+M115*1000/(126.5*4*12*60)*T115</f>
        <v>2.6357597716293371</v>
      </c>
      <c r="O115" s="191"/>
      <c r="P115" s="191">
        <f t="shared" si="9"/>
        <v>25.303293807641634</v>
      </c>
      <c r="Q115" s="191">
        <v>11</v>
      </c>
      <c r="R115" s="19">
        <f t="shared" si="10"/>
        <v>22</v>
      </c>
      <c r="S115" s="191">
        <f t="shared" si="11"/>
        <v>-3.3032938076416336</v>
      </c>
      <c r="T115" s="20">
        <v>2</v>
      </c>
      <c r="U115" s="20">
        <v>2</v>
      </c>
      <c r="V115" s="190">
        <f t="array" ref="V115">IF(ISERROR(L115/K115),"",L115/K115)</f>
        <v>0.95999999999999985</v>
      </c>
      <c r="W115" s="20"/>
      <c r="X115" s="20"/>
      <c r="Y115" s="20"/>
      <c r="Z115" s="20"/>
      <c r="AA115" s="20"/>
      <c r="AB115" s="20"/>
      <c r="AC115" s="20"/>
    </row>
    <row r="116" spans="1:29" s="2" customFormat="1" ht="21.75" hidden="1" customHeight="1">
      <c r="A116" s="188">
        <v>300294</v>
      </c>
      <c r="B116" s="188" t="s">
        <v>110</v>
      </c>
      <c r="C116" s="219" t="s">
        <v>115</v>
      </c>
      <c r="D116" s="219"/>
      <c r="E116" s="193" t="s">
        <v>41</v>
      </c>
      <c r="F116" s="192"/>
      <c r="G116" s="133"/>
      <c r="H116" s="133"/>
      <c r="I116" s="133"/>
      <c r="J116" s="133"/>
      <c r="K116" s="191">
        <f t="shared" si="7"/>
        <v>0</v>
      </c>
      <c r="L116" s="191">
        <f t="shared" si="8"/>
        <v>0</v>
      </c>
      <c r="M116" s="191">
        <v>373.14</v>
      </c>
      <c r="N116" s="191">
        <f t="shared" ref="N116:N125" si="13">+M116*1000/(90*4*14*60)*T116</f>
        <v>3.7017857142857142</v>
      </c>
      <c r="O116" s="191"/>
      <c r="P116" s="191">
        <f t="shared" si="9"/>
        <v>0</v>
      </c>
      <c r="Q116" s="191"/>
      <c r="R116" s="19">
        <f t="shared" si="10"/>
        <v>0</v>
      </c>
      <c r="S116" s="191">
        <f t="shared" si="11"/>
        <v>0</v>
      </c>
      <c r="T116" s="20">
        <v>3</v>
      </c>
      <c r="U116" s="20"/>
      <c r="V116" s="190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88">
        <v>300295</v>
      </c>
      <c r="B117" s="188" t="s">
        <v>116</v>
      </c>
      <c r="C117" s="219" t="s">
        <v>117</v>
      </c>
      <c r="D117" s="219"/>
      <c r="E117" s="193" t="s">
        <v>118</v>
      </c>
      <c r="F117" s="192"/>
      <c r="G117" s="133"/>
      <c r="H117" s="133"/>
      <c r="I117" s="133"/>
      <c r="J117" s="133"/>
      <c r="K117" s="191">
        <f t="shared" si="7"/>
        <v>0</v>
      </c>
      <c r="L117" s="191">
        <f t="shared" si="8"/>
        <v>0</v>
      </c>
      <c r="M117" s="191">
        <v>373.14</v>
      </c>
      <c r="N117" s="191">
        <f t="shared" si="13"/>
        <v>3.7017857142857142</v>
      </c>
      <c r="O117" s="191"/>
      <c r="P117" s="191">
        <f t="shared" si="9"/>
        <v>0</v>
      </c>
      <c r="Q117" s="191"/>
      <c r="R117" s="19">
        <f t="shared" si="10"/>
        <v>0</v>
      </c>
      <c r="S117" s="191">
        <f t="shared" si="11"/>
        <v>0</v>
      </c>
      <c r="T117" s="20">
        <v>3</v>
      </c>
      <c r="U117" s="20"/>
      <c r="V117" s="190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88">
        <v>300258</v>
      </c>
      <c r="B118" s="188" t="s">
        <v>110</v>
      </c>
      <c r="C118" s="219" t="s">
        <v>115</v>
      </c>
      <c r="D118" s="219"/>
      <c r="E118" s="193" t="s">
        <v>42</v>
      </c>
      <c r="F118" s="192"/>
      <c r="G118" s="133"/>
      <c r="H118" s="133"/>
      <c r="I118" s="133"/>
      <c r="J118" s="133"/>
      <c r="K118" s="191">
        <f t="shared" si="7"/>
        <v>0</v>
      </c>
      <c r="L118" s="191">
        <f t="shared" si="8"/>
        <v>0</v>
      </c>
      <c r="M118" s="191">
        <v>373.14</v>
      </c>
      <c r="N118" s="191">
        <f t="shared" si="13"/>
        <v>3.7017857142857142</v>
      </c>
      <c r="O118" s="191"/>
      <c r="P118" s="191">
        <f t="shared" si="9"/>
        <v>0</v>
      </c>
      <c r="Q118" s="191"/>
      <c r="R118" s="19">
        <f t="shared" si="10"/>
        <v>0</v>
      </c>
      <c r="S118" s="191">
        <f t="shared" si="11"/>
        <v>0</v>
      </c>
      <c r="T118" s="20">
        <v>3</v>
      </c>
      <c r="U118" s="20"/>
      <c r="V118" s="190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88">
        <v>300256</v>
      </c>
      <c r="B119" s="188" t="s">
        <v>110</v>
      </c>
      <c r="C119" s="219" t="s">
        <v>115</v>
      </c>
      <c r="D119" s="219"/>
      <c r="E119" s="193" t="s">
        <v>74</v>
      </c>
      <c r="F119" s="192"/>
      <c r="G119" s="133"/>
      <c r="H119" s="133"/>
      <c r="I119" s="133"/>
      <c r="J119" s="133"/>
      <c r="K119" s="191">
        <f t="shared" si="7"/>
        <v>0</v>
      </c>
      <c r="L119" s="191">
        <f t="shared" si="8"/>
        <v>0</v>
      </c>
      <c r="M119" s="191">
        <v>373.14</v>
      </c>
      <c r="N119" s="191">
        <f t="shared" si="13"/>
        <v>3.7017857142857142</v>
      </c>
      <c r="O119" s="191"/>
      <c r="P119" s="191">
        <f t="shared" si="9"/>
        <v>0</v>
      </c>
      <c r="Q119" s="191"/>
      <c r="R119" s="19">
        <f t="shared" si="10"/>
        <v>0</v>
      </c>
      <c r="S119" s="191">
        <f t="shared" si="11"/>
        <v>0</v>
      </c>
      <c r="T119" s="20">
        <v>3</v>
      </c>
      <c r="U119" s="20"/>
      <c r="V119" s="190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88">
        <v>300259</v>
      </c>
      <c r="B120" s="188" t="s">
        <v>110</v>
      </c>
      <c r="C120" s="219" t="s">
        <v>115</v>
      </c>
      <c r="D120" s="219"/>
      <c r="E120" s="193" t="s">
        <v>40</v>
      </c>
      <c r="F120" s="192"/>
      <c r="G120" s="133"/>
      <c r="H120" s="133"/>
      <c r="I120" s="133"/>
      <c r="J120" s="133"/>
      <c r="K120" s="191">
        <f t="shared" si="7"/>
        <v>0</v>
      </c>
      <c r="L120" s="191">
        <f t="shared" si="8"/>
        <v>0</v>
      </c>
      <c r="M120" s="191">
        <v>373.14</v>
      </c>
      <c r="N120" s="191">
        <f t="shared" si="13"/>
        <v>3.7017857142857142</v>
      </c>
      <c r="O120" s="191"/>
      <c r="P120" s="191">
        <f t="shared" si="9"/>
        <v>0</v>
      </c>
      <c r="Q120" s="191"/>
      <c r="R120" s="19">
        <f t="shared" si="10"/>
        <v>0</v>
      </c>
      <c r="S120" s="191">
        <f t="shared" si="11"/>
        <v>0</v>
      </c>
      <c r="T120" s="20">
        <v>3</v>
      </c>
      <c r="U120" s="20"/>
      <c r="V120" s="190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88">
        <v>300345</v>
      </c>
      <c r="B121" s="188" t="s">
        <v>110</v>
      </c>
      <c r="C121" s="219" t="s">
        <v>119</v>
      </c>
      <c r="D121" s="219"/>
      <c r="E121" s="193" t="s">
        <v>74</v>
      </c>
      <c r="F121" s="192"/>
      <c r="G121" s="133"/>
      <c r="H121" s="133"/>
      <c r="I121" s="133"/>
      <c r="J121" s="133"/>
      <c r="K121" s="191">
        <f t="shared" si="7"/>
        <v>0</v>
      </c>
      <c r="L121" s="191">
        <f t="shared" si="8"/>
        <v>0</v>
      </c>
      <c r="M121" s="191">
        <v>373.14</v>
      </c>
      <c r="N121" s="191">
        <f t="shared" si="13"/>
        <v>3.7017857142857142</v>
      </c>
      <c r="O121" s="41"/>
      <c r="P121" s="191">
        <f t="shared" si="9"/>
        <v>0</v>
      </c>
      <c r="Q121" s="41"/>
      <c r="R121" s="19">
        <f t="shared" si="10"/>
        <v>0</v>
      </c>
      <c r="S121" s="191">
        <f t="shared" si="11"/>
        <v>0</v>
      </c>
      <c r="T121" s="20">
        <v>3</v>
      </c>
      <c r="U121" s="41"/>
      <c r="V121" s="190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88">
        <v>300346</v>
      </c>
      <c r="B122" s="188" t="s">
        <v>110</v>
      </c>
      <c r="C122" s="219" t="s">
        <v>119</v>
      </c>
      <c r="D122" s="219"/>
      <c r="E122" s="193" t="s">
        <v>42</v>
      </c>
      <c r="F122" s="192"/>
      <c r="G122" s="133"/>
      <c r="H122" s="133"/>
      <c r="I122" s="133"/>
      <c r="J122" s="133"/>
      <c r="K122" s="191">
        <f t="shared" si="7"/>
        <v>0</v>
      </c>
      <c r="L122" s="191">
        <f t="shared" si="8"/>
        <v>0</v>
      </c>
      <c r="M122" s="191">
        <v>373.14</v>
      </c>
      <c r="N122" s="191">
        <f t="shared" si="13"/>
        <v>3.7017857142857142</v>
      </c>
      <c r="O122" s="41"/>
      <c r="P122" s="191">
        <f t="shared" si="9"/>
        <v>0</v>
      </c>
      <c r="Q122" s="41"/>
      <c r="R122" s="19">
        <f t="shared" si="10"/>
        <v>0</v>
      </c>
      <c r="S122" s="191">
        <f t="shared" si="11"/>
        <v>0</v>
      </c>
      <c r="T122" s="20">
        <v>3</v>
      </c>
      <c r="U122" s="41"/>
      <c r="V122" s="190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88">
        <v>300347</v>
      </c>
      <c r="B123" s="188" t="s">
        <v>110</v>
      </c>
      <c r="C123" s="219" t="s">
        <v>119</v>
      </c>
      <c r="D123" s="219"/>
      <c r="E123" s="193" t="s">
        <v>41</v>
      </c>
      <c r="F123" s="192"/>
      <c r="G123" s="133"/>
      <c r="H123" s="133"/>
      <c r="I123" s="133"/>
      <c r="J123" s="133"/>
      <c r="K123" s="191">
        <f t="shared" si="7"/>
        <v>0</v>
      </c>
      <c r="L123" s="191">
        <f t="shared" si="8"/>
        <v>0</v>
      </c>
      <c r="M123" s="191">
        <v>373.14</v>
      </c>
      <c r="N123" s="191">
        <f t="shared" si="13"/>
        <v>3.7017857142857142</v>
      </c>
      <c r="O123" s="41"/>
      <c r="P123" s="191">
        <f t="shared" si="9"/>
        <v>0</v>
      </c>
      <c r="Q123" s="41"/>
      <c r="R123" s="19">
        <f t="shared" si="10"/>
        <v>0</v>
      </c>
      <c r="S123" s="191">
        <f t="shared" si="11"/>
        <v>0</v>
      </c>
      <c r="T123" s="20">
        <v>3</v>
      </c>
      <c r="U123" s="41"/>
      <c r="V123" s="190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88">
        <v>300348</v>
      </c>
      <c r="B124" s="188" t="s">
        <v>110</v>
      </c>
      <c r="C124" s="219" t="s">
        <v>119</v>
      </c>
      <c r="D124" s="219"/>
      <c r="E124" s="193" t="s">
        <v>118</v>
      </c>
      <c r="F124" s="192"/>
      <c r="G124" s="133"/>
      <c r="H124" s="133"/>
      <c r="I124" s="133"/>
      <c r="J124" s="133"/>
      <c r="K124" s="191">
        <f t="shared" si="7"/>
        <v>0</v>
      </c>
      <c r="L124" s="191">
        <f t="shared" si="8"/>
        <v>0</v>
      </c>
      <c r="M124" s="191">
        <v>373.14</v>
      </c>
      <c r="N124" s="191">
        <f t="shared" si="13"/>
        <v>3.7017857142857142</v>
      </c>
      <c r="O124" s="41"/>
      <c r="P124" s="191">
        <f t="shared" si="9"/>
        <v>0</v>
      </c>
      <c r="Q124" s="41"/>
      <c r="R124" s="19">
        <f t="shared" si="10"/>
        <v>0</v>
      </c>
      <c r="S124" s="191">
        <f t="shared" si="11"/>
        <v>0</v>
      </c>
      <c r="T124" s="20">
        <v>3</v>
      </c>
      <c r="U124" s="41"/>
      <c r="V124" s="190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88">
        <v>300349</v>
      </c>
      <c r="B125" s="188" t="s">
        <v>110</v>
      </c>
      <c r="C125" s="219" t="s">
        <v>119</v>
      </c>
      <c r="D125" s="219"/>
      <c r="E125" s="193" t="s">
        <v>40</v>
      </c>
      <c r="F125" s="192"/>
      <c r="G125" s="133"/>
      <c r="H125" s="133"/>
      <c r="I125" s="133"/>
      <c r="J125" s="133"/>
      <c r="K125" s="191">
        <f t="shared" si="7"/>
        <v>0</v>
      </c>
      <c r="L125" s="191">
        <f t="shared" si="8"/>
        <v>0</v>
      </c>
      <c r="M125" s="191">
        <v>373.14</v>
      </c>
      <c r="N125" s="191">
        <f t="shared" si="13"/>
        <v>3.7017857142857142</v>
      </c>
      <c r="O125" s="41"/>
      <c r="P125" s="191">
        <f t="shared" si="9"/>
        <v>0</v>
      </c>
      <c r="Q125" s="41"/>
      <c r="R125" s="19">
        <f t="shared" si="10"/>
        <v>0</v>
      </c>
      <c r="S125" s="191">
        <f t="shared" si="11"/>
        <v>0</v>
      </c>
      <c r="T125" s="20">
        <v>3</v>
      </c>
      <c r="U125" s="41"/>
      <c r="V125" s="190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88">
        <v>300298</v>
      </c>
      <c r="B126" s="188" t="s">
        <v>110</v>
      </c>
      <c r="C126" s="219" t="s">
        <v>120</v>
      </c>
      <c r="D126" s="219"/>
      <c r="E126" s="193" t="s">
        <v>54</v>
      </c>
      <c r="F126" s="192"/>
      <c r="G126" s="133"/>
      <c r="H126" s="133"/>
      <c r="I126" s="133"/>
      <c r="J126" s="133"/>
      <c r="K126" s="191">
        <f t="shared" si="7"/>
        <v>0</v>
      </c>
      <c r="L126" s="191">
        <f t="shared" si="8"/>
        <v>0</v>
      </c>
      <c r="M126" s="191">
        <v>380.63</v>
      </c>
      <c r="N126" s="191">
        <f t="shared" ref="N126:N131" si="14">+M126*1000/(94.7*4*15*60)*T126</f>
        <v>4.4659157573624313</v>
      </c>
      <c r="O126" s="191"/>
      <c r="P126" s="191">
        <f t="shared" si="9"/>
        <v>0</v>
      </c>
      <c r="Q126" s="191"/>
      <c r="R126" s="19">
        <f t="shared" si="10"/>
        <v>0</v>
      </c>
      <c r="S126" s="191">
        <f t="shared" si="11"/>
        <v>0</v>
      </c>
      <c r="T126" s="20">
        <v>4</v>
      </c>
      <c r="U126" s="20"/>
      <c r="V126" s="190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88">
        <v>300299</v>
      </c>
      <c r="B127" s="188" t="s">
        <v>110</v>
      </c>
      <c r="C127" s="219" t="s">
        <v>120</v>
      </c>
      <c r="D127" s="219"/>
      <c r="E127" s="193" t="s">
        <v>39</v>
      </c>
      <c r="F127" s="192"/>
      <c r="G127" s="133"/>
      <c r="H127" s="133"/>
      <c r="I127" s="133"/>
      <c r="J127" s="133"/>
      <c r="K127" s="191">
        <f t="shared" si="7"/>
        <v>0</v>
      </c>
      <c r="L127" s="191">
        <f t="shared" si="8"/>
        <v>0</v>
      </c>
      <c r="M127" s="191">
        <v>380.63</v>
      </c>
      <c r="N127" s="191">
        <f t="shared" si="14"/>
        <v>4.4659157573624313</v>
      </c>
      <c r="O127" s="191"/>
      <c r="P127" s="191">
        <f t="shared" si="9"/>
        <v>0</v>
      </c>
      <c r="Q127" s="191"/>
      <c r="R127" s="19">
        <f t="shared" si="10"/>
        <v>0</v>
      </c>
      <c r="S127" s="191">
        <f t="shared" si="11"/>
        <v>0</v>
      </c>
      <c r="T127" s="20">
        <v>4</v>
      </c>
      <c r="U127" s="20"/>
      <c r="V127" s="190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88">
        <v>300296</v>
      </c>
      <c r="B128" s="188" t="s">
        <v>110</v>
      </c>
      <c r="C128" s="219" t="s">
        <v>120</v>
      </c>
      <c r="D128" s="219"/>
      <c r="E128" s="193" t="s">
        <v>41</v>
      </c>
      <c r="F128" s="192"/>
      <c r="G128" s="133"/>
      <c r="H128" s="133"/>
      <c r="I128" s="133"/>
      <c r="J128" s="133"/>
      <c r="K128" s="191">
        <f t="shared" si="7"/>
        <v>0</v>
      </c>
      <c r="L128" s="191">
        <f t="shared" si="8"/>
        <v>0</v>
      </c>
      <c r="M128" s="191">
        <v>380.63</v>
      </c>
      <c r="N128" s="191">
        <f t="shared" si="14"/>
        <v>4.4659157573624313</v>
      </c>
      <c r="O128" s="191"/>
      <c r="P128" s="191">
        <f t="shared" si="9"/>
        <v>0</v>
      </c>
      <c r="Q128" s="191"/>
      <c r="R128" s="19">
        <f t="shared" si="10"/>
        <v>0</v>
      </c>
      <c r="S128" s="191">
        <f t="shared" si="11"/>
        <v>0</v>
      </c>
      <c r="T128" s="20">
        <v>4</v>
      </c>
      <c r="U128" s="20"/>
      <c r="V128" s="190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88">
        <v>300297</v>
      </c>
      <c r="B129" s="188" t="s">
        <v>110</v>
      </c>
      <c r="C129" s="219" t="s">
        <v>120</v>
      </c>
      <c r="D129" s="219"/>
      <c r="E129" s="193" t="s">
        <v>37</v>
      </c>
      <c r="F129" s="192"/>
      <c r="G129" s="133"/>
      <c r="H129" s="133"/>
      <c r="I129" s="133"/>
      <c r="J129" s="133"/>
      <c r="K129" s="191">
        <f t="shared" si="7"/>
        <v>0</v>
      </c>
      <c r="L129" s="191">
        <f t="shared" si="8"/>
        <v>0</v>
      </c>
      <c r="M129" s="191">
        <v>380.63</v>
      </c>
      <c r="N129" s="191">
        <f t="shared" si="14"/>
        <v>4.4659157573624313</v>
      </c>
      <c r="O129" s="191"/>
      <c r="P129" s="191">
        <f t="shared" si="9"/>
        <v>0</v>
      </c>
      <c r="Q129" s="191"/>
      <c r="R129" s="19">
        <f t="shared" si="10"/>
        <v>0</v>
      </c>
      <c r="S129" s="191">
        <f t="shared" si="11"/>
        <v>0</v>
      </c>
      <c r="T129" s="20">
        <v>4</v>
      </c>
      <c r="U129" s="20"/>
      <c r="V129" s="190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88">
        <v>300340</v>
      </c>
      <c r="B130" s="188" t="s">
        <v>110</v>
      </c>
      <c r="C130" s="230" t="s">
        <v>121</v>
      </c>
      <c r="D130" s="231"/>
      <c r="E130" s="193" t="s">
        <v>41</v>
      </c>
      <c r="F130" s="192"/>
      <c r="G130" s="133"/>
      <c r="H130" s="133"/>
      <c r="I130" s="133"/>
      <c r="J130" s="133"/>
      <c r="K130" s="191">
        <f t="shared" si="7"/>
        <v>0</v>
      </c>
      <c r="L130" s="191">
        <f t="shared" si="8"/>
        <v>0</v>
      </c>
      <c r="M130" s="191">
        <v>325.60000000000002</v>
      </c>
      <c r="N130" s="191">
        <f t="shared" si="14"/>
        <v>3.8202510852986036</v>
      </c>
      <c r="O130" s="191"/>
      <c r="P130" s="191">
        <f t="shared" si="9"/>
        <v>0</v>
      </c>
      <c r="Q130" s="191"/>
      <c r="R130" s="19">
        <f t="shared" si="10"/>
        <v>0</v>
      </c>
      <c r="S130" s="191">
        <f t="shared" si="11"/>
        <v>0</v>
      </c>
      <c r="T130" s="20">
        <v>4</v>
      </c>
      <c r="U130" s="20"/>
      <c r="V130" s="190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88">
        <v>300339</v>
      </c>
      <c r="B131" s="188" t="s">
        <v>110</v>
      </c>
      <c r="C131" s="230" t="s">
        <v>121</v>
      </c>
      <c r="D131" s="231"/>
      <c r="E131" s="193" t="s">
        <v>39</v>
      </c>
      <c r="F131" s="192"/>
      <c r="G131" s="133"/>
      <c r="H131" s="133"/>
      <c r="I131" s="133"/>
      <c r="J131" s="133"/>
      <c r="K131" s="191">
        <f t="shared" si="7"/>
        <v>0</v>
      </c>
      <c r="L131" s="191">
        <f t="shared" si="8"/>
        <v>0</v>
      </c>
      <c r="M131" s="191">
        <v>325.60000000000002</v>
      </c>
      <c r="N131" s="191">
        <f t="shared" si="14"/>
        <v>3.8202510852986036</v>
      </c>
      <c r="O131" s="191"/>
      <c r="P131" s="191">
        <f t="shared" si="9"/>
        <v>0</v>
      </c>
      <c r="Q131" s="191"/>
      <c r="R131" s="19">
        <f t="shared" si="10"/>
        <v>0</v>
      </c>
      <c r="S131" s="191">
        <f t="shared" si="11"/>
        <v>0</v>
      </c>
      <c r="T131" s="20">
        <v>4</v>
      </c>
      <c r="U131" s="20"/>
      <c r="V131" s="190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88">
        <v>300303</v>
      </c>
      <c r="B132" s="188" t="s">
        <v>110</v>
      </c>
      <c r="C132" s="219" t="s">
        <v>122</v>
      </c>
      <c r="D132" s="219" t="s">
        <v>123</v>
      </c>
      <c r="E132" s="193" t="s">
        <v>57</v>
      </c>
      <c r="F132" s="192"/>
      <c r="G132" s="133"/>
      <c r="H132" s="133"/>
      <c r="I132" s="133"/>
      <c r="J132" s="133"/>
      <c r="K132" s="191">
        <f t="shared" si="7"/>
        <v>0</v>
      </c>
      <c r="L132" s="191">
        <f t="shared" si="8"/>
        <v>0</v>
      </c>
      <c r="M132" s="191">
        <v>396.92</v>
      </c>
      <c r="N132" s="191">
        <f>+M132*1000/(113.8*4*15*60)*T132</f>
        <v>4.8442686975200155</v>
      </c>
      <c r="O132" s="191"/>
      <c r="P132" s="191">
        <f t="shared" si="9"/>
        <v>0</v>
      </c>
      <c r="Q132" s="191"/>
      <c r="R132" s="19">
        <f t="shared" si="10"/>
        <v>0</v>
      </c>
      <c r="S132" s="191">
        <f t="shared" si="11"/>
        <v>0</v>
      </c>
      <c r="T132" s="20">
        <v>5</v>
      </c>
      <c r="U132" s="20"/>
      <c r="V132" s="190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88">
        <v>300302</v>
      </c>
      <c r="B133" s="188" t="s">
        <v>110</v>
      </c>
      <c r="C133" s="219" t="s">
        <v>122</v>
      </c>
      <c r="D133" s="219" t="s">
        <v>123</v>
      </c>
      <c r="E133" s="193" t="s">
        <v>109</v>
      </c>
      <c r="F133" s="192"/>
      <c r="G133" s="133"/>
      <c r="H133" s="133"/>
      <c r="I133" s="133"/>
      <c r="J133" s="133"/>
      <c r="K133" s="191">
        <f t="shared" si="7"/>
        <v>0</v>
      </c>
      <c r="L133" s="191">
        <f t="shared" si="8"/>
        <v>0</v>
      </c>
      <c r="M133" s="191">
        <v>396.06</v>
      </c>
      <c r="N133" s="191">
        <f>+M133*1000/(113.8*4*15*60)*T133</f>
        <v>4.8337727006444053</v>
      </c>
      <c r="O133" s="191"/>
      <c r="P133" s="191">
        <f t="shared" si="9"/>
        <v>0</v>
      </c>
      <c r="Q133" s="191"/>
      <c r="R133" s="19">
        <f t="shared" si="10"/>
        <v>0</v>
      </c>
      <c r="S133" s="191">
        <f t="shared" si="11"/>
        <v>0</v>
      </c>
      <c r="T133" s="20">
        <v>5</v>
      </c>
      <c r="U133" s="20"/>
      <c r="V133" s="190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88">
        <v>300301</v>
      </c>
      <c r="B134" s="188" t="s">
        <v>110</v>
      </c>
      <c r="C134" s="219" t="s">
        <v>122</v>
      </c>
      <c r="D134" s="219" t="s">
        <v>123</v>
      </c>
      <c r="E134" s="193" t="s">
        <v>124</v>
      </c>
      <c r="F134" s="192"/>
      <c r="G134" s="133"/>
      <c r="H134" s="133"/>
      <c r="I134" s="133"/>
      <c r="J134" s="133"/>
      <c r="K134" s="191">
        <f t="shared" si="7"/>
        <v>0</v>
      </c>
      <c r="L134" s="191">
        <f t="shared" si="8"/>
        <v>0</v>
      </c>
      <c r="M134" s="191">
        <v>401.25</v>
      </c>
      <c r="N134" s="191">
        <f>+M134*1000/(113.8*4*15*60)*T134</f>
        <v>4.8971148213239601</v>
      </c>
      <c r="O134" s="191"/>
      <c r="P134" s="191">
        <f t="shared" si="9"/>
        <v>0</v>
      </c>
      <c r="Q134" s="191"/>
      <c r="R134" s="19">
        <f t="shared" si="10"/>
        <v>0</v>
      </c>
      <c r="S134" s="191">
        <f t="shared" si="11"/>
        <v>0</v>
      </c>
      <c r="T134" s="20">
        <v>5</v>
      </c>
      <c r="U134" s="20"/>
      <c r="V134" s="190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89">
        <v>300304</v>
      </c>
      <c r="B135" s="188" t="s">
        <v>110</v>
      </c>
      <c r="C135" s="219" t="s">
        <v>122</v>
      </c>
      <c r="D135" s="219"/>
      <c r="E135" s="193" t="s">
        <v>125</v>
      </c>
      <c r="F135" s="192"/>
      <c r="G135" s="133"/>
      <c r="H135" s="133"/>
      <c r="I135" s="133"/>
      <c r="J135" s="133"/>
      <c r="K135" s="191">
        <f t="shared" si="7"/>
        <v>0</v>
      </c>
      <c r="L135" s="191">
        <f t="shared" si="8"/>
        <v>0</v>
      </c>
      <c r="M135" s="191">
        <v>401.25</v>
      </c>
      <c r="N135" s="191">
        <f>+M135*1000/(113.8*4*15*60)*T135</f>
        <v>4.8971148213239601</v>
      </c>
      <c r="O135" s="191"/>
      <c r="P135" s="191">
        <f t="shared" si="9"/>
        <v>0</v>
      </c>
      <c r="Q135" s="191"/>
      <c r="R135" s="19">
        <f t="shared" si="10"/>
        <v>0</v>
      </c>
      <c r="S135" s="191">
        <f t="shared" si="11"/>
        <v>0</v>
      </c>
      <c r="T135" s="20">
        <v>5</v>
      </c>
      <c r="U135" s="20"/>
      <c r="V135" s="190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89">
        <v>300300</v>
      </c>
      <c r="B136" s="188" t="s">
        <v>110</v>
      </c>
      <c r="C136" s="219" t="s">
        <v>122</v>
      </c>
      <c r="D136" s="219" t="s">
        <v>123</v>
      </c>
      <c r="E136" s="193" t="s">
        <v>54</v>
      </c>
      <c r="F136" s="192"/>
      <c r="G136" s="133"/>
      <c r="H136" s="133"/>
      <c r="I136" s="133"/>
      <c r="J136" s="133"/>
      <c r="K136" s="191">
        <f t="shared" si="7"/>
        <v>0</v>
      </c>
      <c r="L136" s="191">
        <f t="shared" si="8"/>
        <v>0</v>
      </c>
      <c r="M136" s="191">
        <v>399.07</v>
      </c>
      <c r="N136" s="191">
        <f>+M136*1000/(113.8*4*15*60)*T136</f>
        <v>4.8705086897090411</v>
      </c>
      <c r="O136" s="191"/>
      <c r="P136" s="191">
        <f t="shared" si="9"/>
        <v>0</v>
      </c>
      <c r="Q136" s="191"/>
      <c r="R136" s="19">
        <f t="shared" si="10"/>
        <v>0</v>
      </c>
      <c r="S136" s="191">
        <f t="shared" si="11"/>
        <v>0</v>
      </c>
      <c r="T136" s="20">
        <v>5</v>
      </c>
      <c r="U136" s="20"/>
      <c r="V136" s="190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89">
        <v>300085</v>
      </c>
      <c r="B137" s="188">
        <v>6503</v>
      </c>
      <c r="C137" s="219" t="s">
        <v>126</v>
      </c>
      <c r="D137" s="219" t="s">
        <v>123</v>
      </c>
      <c r="E137" s="193" t="s">
        <v>127</v>
      </c>
      <c r="F137" s="192"/>
      <c r="G137" s="133"/>
      <c r="H137" s="133"/>
      <c r="I137" s="133"/>
      <c r="J137" s="133"/>
      <c r="K137" s="191">
        <f t="shared" si="7"/>
        <v>0</v>
      </c>
      <c r="L137" s="191">
        <f t="shared" si="8"/>
        <v>0</v>
      </c>
      <c r="M137" s="191">
        <v>394.3</v>
      </c>
      <c r="N137" s="191">
        <f>+M137*1000/(104.2*4*15*60)*T137</f>
        <v>6.3067818298144598</v>
      </c>
      <c r="O137" s="191"/>
      <c r="P137" s="191">
        <f t="shared" si="9"/>
        <v>0</v>
      </c>
      <c r="Q137" s="191"/>
      <c r="R137" s="19">
        <f t="shared" si="10"/>
        <v>0</v>
      </c>
      <c r="S137" s="191">
        <f t="shared" si="11"/>
        <v>0</v>
      </c>
      <c r="T137" s="20">
        <v>6</v>
      </c>
      <c r="U137" s="20"/>
      <c r="V137" s="190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89">
        <v>300087</v>
      </c>
      <c r="B138" s="188">
        <v>6503</v>
      </c>
      <c r="C138" s="219" t="s">
        <v>126</v>
      </c>
      <c r="D138" s="219" t="s">
        <v>123</v>
      </c>
      <c r="E138" s="193" t="s">
        <v>80</v>
      </c>
      <c r="F138" s="192">
        <v>2051</v>
      </c>
      <c r="G138" s="133">
        <v>8</v>
      </c>
      <c r="H138" s="133"/>
      <c r="I138" s="133">
        <f>8-J138/300</f>
        <v>7.5</v>
      </c>
      <c r="J138" s="133">
        <v>150</v>
      </c>
      <c r="K138" s="191">
        <f t="shared" si="7"/>
        <v>3040.8</v>
      </c>
      <c r="L138" s="191">
        <f t="shared" si="8"/>
        <v>2850.75</v>
      </c>
      <c r="M138" s="191">
        <v>380.1</v>
      </c>
      <c r="N138" s="191">
        <f>+M138*1000/(104.2*4*16*60)*T138</f>
        <v>4.7497300863723604</v>
      </c>
      <c r="O138" s="191">
        <v>0.5</v>
      </c>
      <c r="P138" s="191">
        <f t="shared" si="9"/>
        <v>37.6229756477927</v>
      </c>
      <c r="Q138" s="191">
        <v>10</v>
      </c>
      <c r="R138" s="19">
        <f t="shared" si="10"/>
        <v>40</v>
      </c>
      <c r="S138" s="191">
        <f t="shared" si="11"/>
        <v>2.3770243522073002</v>
      </c>
      <c r="T138" s="20">
        <v>5</v>
      </c>
      <c r="U138" s="20">
        <v>4</v>
      </c>
      <c r="V138" s="190">
        <f t="array" ref="V138">IF(ISERROR(L138/K138),"",L138/K138)</f>
        <v>0.93749999999999989</v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89">
        <v>300387</v>
      </c>
      <c r="B139" s="188" t="s">
        <v>128</v>
      </c>
      <c r="C139" s="230" t="s">
        <v>129</v>
      </c>
      <c r="D139" s="231"/>
      <c r="E139" s="193" t="s">
        <v>57</v>
      </c>
      <c r="F139" s="192"/>
      <c r="G139" s="133"/>
      <c r="H139" s="133"/>
      <c r="I139" s="133"/>
      <c r="J139" s="133"/>
      <c r="K139" s="191">
        <f t="shared" si="7"/>
        <v>0</v>
      </c>
      <c r="L139" s="191">
        <f t="shared" si="8"/>
        <v>0</v>
      </c>
      <c r="M139" s="191">
        <v>352.29</v>
      </c>
      <c r="N139" s="191">
        <f>+M139*1000/(104.2*4*16*60)*T139</f>
        <v>4.4022162907869484</v>
      </c>
      <c r="O139" s="191"/>
      <c r="P139" s="191">
        <f t="shared" si="9"/>
        <v>0</v>
      </c>
      <c r="Q139" s="191"/>
      <c r="R139" s="19">
        <f t="shared" si="10"/>
        <v>0</v>
      </c>
      <c r="S139" s="191">
        <f t="shared" si="11"/>
        <v>0</v>
      </c>
      <c r="T139" s="20">
        <v>5</v>
      </c>
      <c r="U139" s="20"/>
      <c r="V139" s="190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89">
        <v>300388</v>
      </c>
      <c r="B140" s="188" t="s">
        <v>130</v>
      </c>
      <c r="C140" s="230" t="s">
        <v>129</v>
      </c>
      <c r="D140" s="231"/>
      <c r="E140" s="193" t="s">
        <v>109</v>
      </c>
      <c r="F140" s="192"/>
      <c r="G140" s="133"/>
      <c r="H140" s="133"/>
      <c r="I140" s="133"/>
      <c r="J140" s="133"/>
      <c r="K140" s="191">
        <f t="shared" si="7"/>
        <v>0</v>
      </c>
      <c r="L140" s="191">
        <f t="shared" si="8"/>
        <v>0</v>
      </c>
      <c r="M140" s="191">
        <v>352.29</v>
      </c>
      <c r="N140" s="191">
        <f>+M140*1000/(104.2*4*16*60)*T140</f>
        <v>4.4022162907869484</v>
      </c>
      <c r="O140" s="191"/>
      <c r="P140" s="191">
        <f t="shared" si="9"/>
        <v>0</v>
      </c>
      <c r="Q140" s="191"/>
      <c r="R140" s="19">
        <f t="shared" si="10"/>
        <v>0</v>
      </c>
      <c r="S140" s="191">
        <f t="shared" si="11"/>
        <v>0</v>
      </c>
      <c r="T140" s="20">
        <v>5</v>
      </c>
      <c r="U140" s="20"/>
      <c r="V140" s="190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89">
        <v>300123</v>
      </c>
      <c r="B141" s="188">
        <v>6503</v>
      </c>
      <c r="C141" s="219" t="s">
        <v>131</v>
      </c>
      <c r="D141" s="219" t="s">
        <v>132</v>
      </c>
      <c r="E141" s="193" t="s">
        <v>127</v>
      </c>
      <c r="F141" s="192"/>
      <c r="G141" s="133">
        <v>0.6</v>
      </c>
      <c r="H141" s="133">
        <v>0.6</v>
      </c>
      <c r="I141" s="133">
        <f>+H141</f>
        <v>0.6</v>
      </c>
      <c r="J141" s="133"/>
      <c r="K141" s="191">
        <f t="shared" si="7"/>
        <v>334.2</v>
      </c>
      <c r="L141" s="191">
        <f t="shared" si="8"/>
        <v>334.2</v>
      </c>
      <c r="M141" s="191">
        <v>557</v>
      </c>
      <c r="N141" s="191">
        <f>+M141*1000/(126.5*4*15*60)*T141</f>
        <v>6.1155028546332888</v>
      </c>
      <c r="O141" s="191"/>
      <c r="P141" s="191">
        <f t="shared" si="9"/>
        <v>3.6693017127799732</v>
      </c>
      <c r="Q141" s="191">
        <v>1</v>
      </c>
      <c r="R141" s="19">
        <f t="shared" si="10"/>
        <v>4</v>
      </c>
      <c r="S141" s="191">
        <f t="shared" si="11"/>
        <v>0.33069828722002681</v>
      </c>
      <c r="T141" s="20">
        <v>5</v>
      </c>
      <c r="U141" s="20">
        <v>4</v>
      </c>
      <c r="V141" s="190">
        <f t="array" ref="V141">IF(ISERROR(L141/K141),"",L141/K141)</f>
        <v>1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89">
        <v>300270</v>
      </c>
      <c r="B142" s="188" t="s">
        <v>110</v>
      </c>
      <c r="C142" s="219" t="s">
        <v>133</v>
      </c>
      <c r="D142" s="219"/>
      <c r="E142" s="193" t="s">
        <v>134</v>
      </c>
      <c r="F142" s="192"/>
      <c r="G142" s="133"/>
      <c r="H142" s="133"/>
      <c r="I142" s="133"/>
      <c r="J142" s="133"/>
      <c r="K142" s="191">
        <f t="shared" si="7"/>
        <v>0</v>
      </c>
      <c r="L142" s="191">
        <f t="shared" si="8"/>
        <v>0</v>
      </c>
      <c r="M142" s="191">
        <v>485.7</v>
      </c>
      <c r="N142" s="191">
        <f>+M142*1000/(126.5*4*15*60)*T142</f>
        <v>4.2661396574440049</v>
      </c>
      <c r="O142" s="191"/>
      <c r="P142" s="191">
        <f t="shared" si="9"/>
        <v>0</v>
      </c>
      <c r="Q142" s="191"/>
      <c r="R142" s="19">
        <f t="shared" si="10"/>
        <v>0</v>
      </c>
      <c r="S142" s="191">
        <f t="shared" si="11"/>
        <v>0</v>
      </c>
      <c r="T142" s="20">
        <v>4</v>
      </c>
      <c r="U142" s="20"/>
      <c r="V142" s="190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89">
        <v>300336</v>
      </c>
      <c r="B143" s="188" t="s">
        <v>128</v>
      </c>
      <c r="C143" s="219" t="s">
        <v>135</v>
      </c>
      <c r="D143" s="219"/>
      <c r="E143" s="193" t="s">
        <v>84</v>
      </c>
      <c r="F143" s="192"/>
      <c r="G143" s="133"/>
      <c r="H143" s="133"/>
      <c r="I143" s="133"/>
      <c r="J143" s="133"/>
      <c r="K143" s="191">
        <f t="shared" si="7"/>
        <v>0</v>
      </c>
      <c r="L143" s="191">
        <f t="shared" si="8"/>
        <v>0</v>
      </c>
      <c r="M143" s="191">
        <v>411.4</v>
      </c>
      <c r="N143" s="191">
        <f>+M143*1000/(104.2*4*16*60)*T143</f>
        <v>2.0563419705694179</v>
      </c>
      <c r="O143" s="191"/>
      <c r="P143" s="191">
        <f t="shared" si="9"/>
        <v>0</v>
      </c>
      <c r="Q143" s="191"/>
      <c r="R143" s="19">
        <f t="shared" si="10"/>
        <v>0</v>
      </c>
      <c r="S143" s="191">
        <f t="shared" si="11"/>
        <v>0</v>
      </c>
      <c r="T143" s="20">
        <v>2</v>
      </c>
      <c r="U143" s="20"/>
      <c r="V143" s="190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89">
        <v>300337</v>
      </c>
      <c r="B144" s="188" t="s">
        <v>130</v>
      </c>
      <c r="C144" s="219" t="s">
        <v>135</v>
      </c>
      <c r="D144" s="219"/>
      <c r="E144" s="193" t="s">
        <v>49</v>
      </c>
      <c r="F144" s="192"/>
      <c r="G144" s="133"/>
      <c r="H144" s="133"/>
      <c r="I144" s="133"/>
      <c r="J144" s="133"/>
      <c r="K144" s="191">
        <f t="shared" si="7"/>
        <v>0</v>
      </c>
      <c r="L144" s="191">
        <f t="shared" si="8"/>
        <v>0</v>
      </c>
      <c r="M144" s="191">
        <v>411.4</v>
      </c>
      <c r="N144" s="191">
        <f>+M144*1000/(104.2*4*16*60)*T144</f>
        <v>2.0563419705694179</v>
      </c>
      <c r="O144" s="191"/>
      <c r="P144" s="191">
        <f t="shared" si="9"/>
        <v>0</v>
      </c>
      <c r="Q144" s="191"/>
      <c r="R144" s="19">
        <f t="shared" si="10"/>
        <v>0</v>
      </c>
      <c r="S144" s="191">
        <f t="shared" si="11"/>
        <v>0</v>
      </c>
      <c r="T144" s="20">
        <v>2</v>
      </c>
      <c r="U144" s="20"/>
      <c r="V144" s="190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89">
        <v>300338</v>
      </c>
      <c r="B145" s="188" t="s">
        <v>136</v>
      </c>
      <c r="C145" s="219" t="s">
        <v>135</v>
      </c>
      <c r="D145" s="219"/>
      <c r="E145" s="193" t="s">
        <v>85</v>
      </c>
      <c r="F145" s="192"/>
      <c r="G145" s="133"/>
      <c r="H145" s="133"/>
      <c r="I145" s="133"/>
      <c r="J145" s="133"/>
      <c r="K145" s="191">
        <f t="shared" si="7"/>
        <v>0</v>
      </c>
      <c r="L145" s="191">
        <f t="shared" si="8"/>
        <v>0</v>
      </c>
      <c r="M145" s="191">
        <v>411.4</v>
      </c>
      <c r="N145" s="191">
        <f>+M145*1000/(104.2*4*16*60)*T145</f>
        <v>2.0563419705694179</v>
      </c>
      <c r="O145" s="191"/>
      <c r="P145" s="191">
        <f t="shared" si="9"/>
        <v>0</v>
      </c>
      <c r="Q145" s="191"/>
      <c r="R145" s="19">
        <f t="shared" si="10"/>
        <v>0</v>
      </c>
      <c r="S145" s="191">
        <f t="shared" si="11"/>
        <v>0</v>
      </c>
      <c r="T145" s="20">
        <v>2</v>
      </c>
      <c r="U145" s="20"/>
      <c r="V145" s="190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89">
        <v>300309</v>
      </c>
      <c r="B146" s="188">
        <v>6504</v>
      </c>
      <c r="C146" s="219" t="s">
        <v>137</v>
      </c>
      <c r="D146" s="219"/>
      <c r="E146" s="193" t="s">
        <v>47</v>
      </c>
      <c r="F146" s="192"/>
      <c r="G146" s="133"/>
      <c r="H146" s="133"/>
      <c r="I146" s="133"/>
      <c r="J146" s="133"/>
      <c r="K146" s="191">
        <f t="shared" si="7"/>
        <v>0</v>
      </c>
      <c r="L146" s="191">
        <f t="shared" si="8"/>
        <v>0</v>
      </c>
      <c r="M146" s="191">
        <v>316.88</v>
      </c>
      <c r="N146" s="191">
        <f>+M146*1000/(75.2*4*16*60)*T146</f>
        <v>6.5841090425531918</v>
      </c>
      <c r="O146" s="191"/>
      <c r="P146" s="191">
        <f t="shared" si="9"/>
        <v>0</v>
      </c>
      <c r="Q146" s="191"/>
      <c r="R146" s="19">
        <f t="shared" si="10"/>
        <v>0</v>
      </c>
      <c r="S146" s="191">
        <f t="shared" si="11"/>
        <v>0</v>
      </c>
      <c r="T146" s="20">
        <v>6</v>
      </c>
      <c r="U146" s="20"/>
      <c r="V146" s="190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89">
        <v>300310</v>
      </c>
      <c r="B147" s="188">
        <v>6504</v>
      </c>
      <c r="C147" s="219" t="s">
        <v>137</v>
      </c>
      <c r="D147" s="219"/>
      <c r="E147" s="193" t="s">
        <v>138</v>
      </c>
      <c r="F147" s="192"/>
      <c r="G147" s="133"/>
      <c r="H147" s="133"/>
      <c r="I147" s="133"/>
      <c r="J147" s="133"/>
      <c r="K147" s="191">
        <f t="shared" si="7"/>
        <v>0</v>
      </c>
      <c r="L147" s="191">
        <f t="shared" si="8"/>
        <v>0</v>
      </c>
      <c r="M147" s="191">
        <v>316.88</v>
      </c>
      <c r="N147" s="191">
        <f>+M147*1000/(75.2*4*16*60)*T147</f>
        <v>6.5841090425531918</v>
      </c>
      <c r="O147" s="191"/>
      <c r="P147" s="191">
        <f t="shared" si="9"/>
        <v>0</v>
      </c>
      <c r="Q147" s="191"/>
      <c r="R147" s="19">
        <f t="shared" si="10"/>
        <v>0</v>
      </c>
      <c r="S147" s="191">
        <f t="shared" si="11"/>
        <v>0</v>
      </c>
      <c r="T147" s="20">
        <v>6</v>
      </c>
      <c r="U147" s="20"/>
      <c r="V147" s="190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89">
        <v>300312</v>
      </c>
      <c r="B148" s="188">
        <v>6504</v>
      </c>
      <c r="C148" s="219" t="s">
        <v>137</v>
      </c>
      <c r="D148" s="219"/>
      <c r="E148" s="193" t="s">
        <v>139</v>
      </c>
      <c r="F148" s="192"/>
      <c r="G148" s="133"/>
      <c r="H148" s="133"/>
      <c r="I148" s="133"/>
      <c r="J148" s="133"/>
      <c r="K148" s="191">
        <f t="shared" si="7"/>
        <v>0</v>
      </c>
      <c r="L148" s="191">
        <f t="shared" si="8"/>
        <v>0</v>
      </c>
      <c r="M148" s="191">
        <v>316.88</v>
      </c>
      <c r="N148" s="191">
        <f>+M148*1000/(75.2*4*16*60)*T148</f>
        <v>6.5841090425531918</v>
      </c>
      <c r="O148" s="191"/>
      <c r="P148" s="191">
        <f t="shared" si="9"/>
        <v>0</v>
      </c>
      <c r="Q148" s="191"/>
      <c r="R148" s="19">
        <f t="shared" si="10"/>
        <v>0</v>
      </c>
      <c r="S148" s="191">
        <f t="shared" si="11"/>
        <v>0</v>
      </c>
      <c r="T148" s="20">
        <v>6</v>
      </c>
      <c r="U148" s="20"/>
      <c r="V148" s="190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89">
        <v>300311</v>
      </c>
      <c r="B149" s="188">
        <v>6504</v>
      </c>
      <c r="C149" s="230" t="s">
        <v>137</v>
      </c>
      <c r="D149" s="231"/>
      <c r="E149" s="193" t="s">
        <v>74</v>
      </c>
      <c r="F149" s="192"/>
      <c r="G149" s="133"/>
      <c r="H149" s="133"/>
      <c r="I149" s="133"/>
      <c r="J149" s="133"/>
      <c r="K149" s="191">
        <f t="shared" si="7"/>
        <v>0</v>
      </c>
      <c r="L149" s="191">
        <f t="shared" si="8"/>
        <v>0</v>
      </c>
      <c r="M149" s="191">
        <v>316.88</v>
      </c>
      <c r="N149" s="191">
        <f>+M149*1000/(75.2*4*16*60)*T149</f>
        <v>6.5841090425531918</v>
      </c>
      <c r="O149" s="191"/>
      <c r="P149" s="191">
        <f t="shared" si="9"/>
        <v>0</v>
      </c>
      <c r="Q149" s="191"/>
      <c r="R149" s="19">
        <f t="shared" si="10"/>
        <v>0</v>
      </c>
      <c r="S149" s="191">
        <f t="shared" si="11"/>
        <v>0</v>
      </c>
      <c r="T149" s="20">
        <v>6</v>
      </c>
      <c r="U149" s="20"/>
      <c r="V149" s="190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89">
        <v>300399</v>
      </c>
      <c r="B150" s="188">
        <v>18501</v>
      </c>
      <c r="C150" s="230" t="s">
        <v>140</v>
      </c>
      <c r="D150" s="231"/>
      <c r="E150" s="193" t="s">
        <v>41</v>
      </c>
      <c r="F150" s="192"/>
      <c r="G150" s="133"/>
      <c r="H150" s="133"/>
      <c r="I150" s="133"/>
      <c r="J150" s="133"/>
      <c r="K150" s="191">
        <f t="shared" si="7"/>
        <v>0</v>
      </c>
      <c r="L150" s="191">
        <f t="shared" si="8"/>
        <v>0</v>
      </c>
      <c r="M150" s="191">
        <v>311.2</v>
      </c>
      <c r="N150" s="191">
        <f>+M150*1000/(100*4*16*60)*T150</f>
        <v>4.8624999999999998</v>
      </c>
      <c r="O150" s="191"/>
      <c r="P150" s="191">
        <f t="shared" si="9"/>
        <v>0</v>
      </c>
      <c r="Q150" s="191"/>
      <c r="R150" s="19">
        <f t="shared" si="10"/>
        <v>0</v>
      </c>
      <c r="S150" s="191">
        <f t="shared" si="11"/>
        <v>0</v>
      </c>
      <c r="T150" s="20">
        <v>6</v>
      </c>
      <c r="U150" s="20"/>
      <c r="V150" s="190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89">
        <v>300400</v>
      </c>
      <c r="B151" s="188">
        <v>18501</v>
      </c>
      <c r="C151" s="230" t="s">
        <v>140</v>
      </c>
      <c r="D151" s="231"/>
      <c r="E151" s="193" t="s">
        <v>66</v>
      </c>
      <c r="F151" s="192"/>
      <c r="G151" s="133"/>
      <c r="H151" s="133"/>
      <c r="I151" s="133"/>
      <c r="J151" s="133"/>
      <c r="K151" s="191">
        <f t="shared" si="7"/>
        <v>0</v>
      </c>
      <c r="L151" s="191">
        <f t="shared" si="8"/>
        <v>0</v>
      </c>
      <c r="M151" s="191">
        <v>311.2</v>
      </c>
      <c r="N151" s="191">
        <f>+M151*1000/(100*4*16*60)*T151</f>
        <v>4.8624999999999998</v>
      </c>
      <c r="O151" s="191"/>
      <c r="P151" s="191">
        <f t="shared" si="9"/>
        <v>0</v>
      </c>
      <c r="Q151" s="191"/>
      <c r="R151" s="19">
        <f t="shared" si="10"/>
        <v>0</v>
      </c>
      <c r="S151" s="191">
        <f t="shared" si="11"/>
        <v>0</v>
      </c>
      <c r="T151" s="20">
        <v>6</v>
      </c>
      <c r="U151" s="20"/>
      <c r="V151" s="190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89">
        <v>300401</v>
      </c>
      <c r="B152" s="188">
        <v>18501</v>
      </c>
      <c r="C152" s="230" t="s">
        <v>140</v>
      </c>
      <c r="D152" s="231"/>
      <c r="E152" s="193" t="s">
        <v>141</v>
      </c>
      <c r="F152" s="192"/>
      <c r="G152" s="133"/>
      <c r="H152" s="133"/>
      <c r="I152" s="133"/>
      <c r="J152" s="133"/>
      <c r="K152" s="191">
        <f t="shared" si="7"/>
        <v>0</v>
      </c>
      <c r="L152" s="191">
        <f t="shared" si="8"/>
        <v>0</v>
      </c>
      <c r="M152" s="191">
        <v>311.2</v>
      </c>
      <c r="N152" s="191">
        <f>+M152*1000/(100*4*16*60)*T152</f>
        <v>4.8624999999999998</v>
      </c>
      <c r="O152" s="191"/>
      <c r="P152" s="191">
        <f t="shared" si="9"/>
        <v>0</v>
      </c>
      <c r="Q152" s="191"/>
      <c r="R152" s="19">
        <f t="shared" si="10"/>
        <v>0</v>
      </c>
      <c r="S152" s="191">
        <f t="shared" si="11"/>
        <v>0</v>
      </c>
      <c r="T152" s="20">
        <v>6</v>
      </c>
      <c r="U152" s="20"/>
      <c r="V152" s="190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89">
        <v>300402</v>
      </c>
      <c r="B153" s="188">
        <v>18501</v>
      </c>
      <c r="C153" s="230" t="s">
        <v>142</v>
      </c>
      <c r="D153" s="231"/>
      <c r="E153" s="193" t="s">
        <v>143</v>
      </c>
      <c r="F153" s="192"/>
      <c r="G153" s="133"/>
      <c r="H153" s="133"/>
      <c r="I153" s="133"/>
      <c r="J153" s="133"/>
      <c r="K153" s="191">
        <f t="shared" si="7"/>
        <v>0</v>
      </c>
      <c r="L153" s="191">
        <f t="shared" si="8"/>
        <v>0</v>
      </c>
      <c r="M153" s="191">
        <v>465.3</v>
      </c>
      <c r="N153" s="191">
        <f>+M153*1000/(137*4*16*60)*T153</f>
        <v>5.3067974452554747</v>
      </c>
      <c r="O153" s="191"/>
      <c r="P153" s="191">
        <f t="shared" si="9"/>
        <v>0</v>
      </c>
      <c r="Q153" s="191"/>
      <c r="R153" s="19">
        <f t="shared" si="10"/>
        <v>0</v>
      </c>
      <c r="S153" s="191">
        <f t="shared" si="11"/>
        <v>0</v>
      </c>
      <c r="T153" s="20">
        <v>6</v>
      </c>
      <c r="U153" s="20"/>
      <c r="V153" s="190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89">
        <v>300403</v>
      </c>
      <c r="B154" s="188">
        <v>18501</v>
      </c>
      <c r="C154" s="230" t="s">
        <v>142</v>
      </c>
      <c r="D154" s="231"/>
      <c r="E154" s="193" t="s">
        <v>144</v>
      </c>
      <c r="F154" s="192"/>
      <c r="G154" s="133"/>
      <c r="H154" s="133"/>
      <c r="I154" s="133"/>
      <c r="J154" s="133"/>
      <c r="K154" s="191">
        <f t="shared" ref="K154:K198" si="15">G154*M154</f>
        <v>0</v>
      </c>
      <c r="L154" s="191">
        <f t="shared" ref="L154:L198" si="16">I154*M154</f>
        <v>0</v>
      </c>
      <c r="M154" s="191">
        <v>465.3</v>
      </c>
      <c r="N154" s="191">
        <f>+M154*1000/(137*4*16*60)*T154</f>
        <v>5.3067974452554747</v>
      </c>
      <c r="O154" s="191"/>
      <c r="P154" s="191">
        <f t="shared" ref="P154:P198" si="17">N154*I154+O154*U154</f>
        <v>0</v>
      </c>
      <c r="Q154" s="191"/>
      <c r="R154" s="19">
        <f t="shared" ref="R154:R198" si="18">Q154*U154</f>
        <v>0</v>
      </c>
      <c r="S154" s="191">
        <f t="shared" ref="S154:S198" si="19">R154-P154</f>
        <v>0</v>
      </c>
      <c r="T154" s="20">
        <v>6</v>
      </c>
      <c r="U154" s="20"/>
      <c r="V154" s="190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89">
        <v>300404</v>
      </c>
      <c r="B155" s="188">
        <v>18501</v>
      </c>
      <c r="C155" s="230" t="s">
        <v>142</v>
      </c>
      <c r="D155" s="231"/>
      <c r="E155" s="193" t="s">
        <v>70</v>
      </c>
      <c r="F155" s="192"/>
      <c r="G155" s="133"/>
      <c r="H155" s="133"/>
      <c r="I155" s="133"/>
      <c r="J155" s="133"/>
      <c r="K155" s="191">
        <f t="shared" si="15"/>
        <v>0</v>
      </c>
      <c r="L155" s="191">
        <f t="shared" si="16"/>
        <v>0</v>
      </c>
      <c r="M155" s="191">
        <v>465.3</v>
      </c>
      <c r="N155" s="191">
        <f>+M155*1000/(137*4*16*60)*T155</f>
        <v>5.3067974452554747</v>
      </c>
      <c r="O155" s="191"/>
      <c r="P155" s="191">
        <f t="shared" si="17"/>
        <v>0</v>
      </c>
      <c r="Q155" s="191"/>
      <c r="R155" s="19">
        <f t="shared" si="18"/>
        <v>0</v>
      </c>
      <c r="S155" s="191">
        <f t="shared" si="19"/>
        <v>0</v>
      </c>
      <c r="T155" s="20">
        <v>6</v>
      </c>
      <c r="U155" s="20"/>
      <c r="V155" s="190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89">
        <v>300405</v>
      </c>
      <c r="B156" s="188">
        <v>18501</v>
      </c>
      <c r="C156" s="230" t="s">
        <v>142</v>
      </c>
      <c r="D156" s="231"/>
      <c r="E156" s="193" t="s">
        <v>35</v>
      </c>
      <c r="F156" s="192"/>
      <c r="G156" s="133"/>
      <c r="H156" s="133"/>
      <c r="I156" s="133"/>
      <c r="J156" s="133"/>
      <c r="K156" s="191">
        <f t="shared" si="15"/>
        <v>0</v>
      </c>
      <c r="L156" s="191">
        <f t="shared" si="16"/>
        <v>0</v>
      </c>
      <c r="M156" s="191">
        <v>465.3</v>
      </c>
      <c r="N156" s="191">
        <f>+M156*1000/(137*4*16*60)*T156</f>
        <v>5.3067974452554747</v>
      </c>
      <c r="O156" s="191"/>
      <c r="P156" s="191">
        <f t="shared" si="17"/>
        <v>0</v>
      </c>
      <c r="Q156" s="191"/>
      <c r="R156" s="19">
        <f t="shared" si="18"/>
        <v>0</v>
      </c>
      <c r="S156" s="191">
        <f t="shared" si="19"/>
        <v>0</v>
      </c>
      <c r="T156" s="20">
        <v>6</v>
      </c>
      <c r="U156" s="20"/>
      <c r="V156" s="190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89">
        <v>300372</v>
      </c>
      <c r="B157" s="188">
        <v>18501</v>
      </c>
      <c r="C157" s="230" t="s">
        <v>145</v>
      </c>
      <c r="D157" s="231"/>
      <c r="E157" s="193" t="s">
        <v>47</v>
      </c>
      <c r="F157" s="192"/>
      <c r="G157" s="133"/>
      <c r="H157" s="133"/>
      <c r="I157" s="133"/>
      <c r="J157" s="133"/>
      <c r="K157" s="191">
        <f t="shared" si="15"/>
        <v>0</v>
      </c>
      <c r="L157" s="191">
        <f t="shared" si="16"/>
        <v>0</v>
      </c>
      <c r="M157" s="191">
        <v>420.58</v>
      </c>
      <c r="N157" s="191">
        <f>+M157*1000/(140*4*16*60)*T157</f>
        <v>4.6939732142857142</v>
      </c>
      <c r="O157" s="191"/>
      <c r="P157" s="191">
        <f t="shared" si="17"/>
        <v>0</v>
      </c>
      <c r="Q157" s="191"/>
      <c r="R157" s="19">
        <f t="shared" si="18"/>
        <v>0</v>
      </c>
      <c r="S157" s="191">
        <f t="shared" si="19"/>
        <v>0</v>
      </c>
      <c r="T157" s="20">
        <v>6</v>
      </c>
      <c r="U157" s="20"/>
      <c r="V157" s="190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89">
        <v>300373</v>
      </c>
      <c r="B158" s="188">
        <v>18501</v>
      </c>
      <c r="C158" s="230" t="s">
        <v>145</v>
      </c>
      <c r="D158" s="231"/>
      <c r="E158" s="193" t="s">
        <v>138</v>
      </c>
      <c r="F158" s="192"/>
      <c r="G158" s="133"/>
      <c r="H158" s="133"/>
      <c r="I158" s="133"/>
      <c r="J158" s="133"/>
      <c r="K158" s="191">
        <f t="shared" si="15"/>
        <v>0</v>
      </c>
      <c r="L158" s="191">
        <f t="shared" si="16"/>
        <v>0</v>
      </c>
      <c r="M158" s="191">
        <v>420.58</v>
      </c>
      <c r="N158" s="191">
        <f>+M158*1000/(140*4*16*60)*T158</f>
        <v>4.6939732142857142</v>
      </c>
      <c r="O158" s="191"/>
      <c r="P158" s="191">
        <f t="shared" si="17"/>
        <v>0</v>
      </c>
      <c r="Q158" s="191"/>
      <c r="R158" s="19">
        <f t="shared" si="18"/>
        <v>0</v>
      </c>
      <c r="S158" s="191">
        <f t="shared" si="19"/>
        <v>0</v>
      </c>
      <c r="T158" s="20">
        <v>6</v>
      </c>
      <c r="U158" s="20"/>
      <c r="V158" s="190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89">
        <v>300374</v>
      </c>
      <c r="B159" s="188">
        <v>18501</v>
      </c>
      <c r="C159" s="230" t="s">
        <v>145</v>
      </c>
      <c r="D159" s="231"/>
      <c r="E159" s="193" t="s">
        <v>139</v>
      </c>
      <c r="F159" s="192"/>
      <c r="G159" s="133"/>
      <c r="H159" s="133"/>
      <c r="I159" s="133"/>
      <c r="J159" s="133"/>
      <c r="K159" s="191">
        <f t="shared" si="15"/>
        <v>0</v>
      </c>
      <c r="L159" s="191">
        <f t="shared" si="16"/>
        <v>0</v>
      </c>
      <c r="M159" s="191">
        <v>420.58</v>
      </c>
      <c r="N159" s="191">
        <f>+M159*1000/(140*4*16*60)*T159</f>
        <v>4.6939732142857142</v>
      </c>
      <c r="O159" s="191"/>
      <c r="P159" s="191">
        <f t="shared" si="17"/>
        <v>0</v>
      </c>
      <c r="Q159" s="191"/>
      <c r="R159" s="19">
        <f t="shared" si="18"/>
        <v>0</v>
      </c>
      <c r="S159" s="191">
        <f t="shared" si="19"/>
        <v>0</v>
      </c>
      <c r="T159" s="20">
        <v>6</v>
      </c>
      <c r="U159" s="20"/>
      <c r="V159" s="190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89">
        <v>300375</v>
      </c>
      <c r="B160" s="188">
        <v>18501</v>
      </c>
      <c r="C160" s="230" t="s">
        <v>145</v>
      </c>
      <c r="D160" s="231"/>
      <c r="E160" s="193" t="s">
        <v>74</v>
      </c>
      <c r="F160" s="192"/>
      <c r="G160" s="133"/>
      <c r="H160" s="133"/>
      <c r="I160" s="133"/>
      <c r="J160" s="133"/>
      <c r="K160" s="191">
        <f t="shared" si="15"/>
        <v>0</v>
      </c>
      <c r="L160" s="191">
        <f t="shared" si="16"/>
        <v>0</v>
      </c>
      <c r="M160" s="191">
        <v>420.58</v>
      </c>
      <c r="N160" s="191">
        <f>+M160*1000/(140*4*16*60)*T160</f>
        <v>4.6939732142857142</v>
      </c>
      <c r="O160" s="191"/>
      <c r="P160" s="191">
        <f t="shared" si="17"/>
        <v>0</v>
      </c>
      <c r="Q160" s="191"/>
      <c r="R160" s="19">
        <f t="shared" si="18"/>
        <v>0</v>
      </c>
      <c r="S160" s="191">
        <f t="shared" si="19"/>
        <v>0</v>
      </c>
      <c r="T160" s="20">
        <v>6</v>
      </c>
      <c r="U160" s="20"/>
      <c r="V160" s="190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89">
        <v>300341</v>
      </c>
      <c r="B161" s="188">
        <v>18501</v>
      </c>
      <c r="C161" s="237" t="s">
        <v>146</v>
      </c>
      <c r="D161" s="238"/>
      <c r="E161" s="193" t="s">
        <v>39</v>
      </c>
      <c r="F161" s="192"/>
      <c r="G161" s="133"/>
      <c r="H161" s="133"/>
      <c r="I161" s="133"/>
      <c r="J161" s="133"/>
      <c r="K161" s="191">
        <f t="shared" si="15"/>
        <v>0</v>
      </c>
      <c r="L161" s="191">
        <f t="shared" si="16"/>
        <v>0</v>
      </c>
      <c r="M161" s="191">
        <v>439.3</v>
      </c>
      <c r="N161" s="191">
        <f t="shared" ref="N161:N167" si="20">+M161*1000/(169.7*4*13*60)*T161</f>
        <v>4.1485351223123761</v>
      </c>
      <c r="O161" s="191"/>
      <c r="P161" s="191">
        <f t="shared" si="17"/>
        <v>0</v>
      </c>
      <c r="Q161" s="191"/>
      <c r="R161" s="19">
        <f t="shared" si="18"/>
        <v>0</v>
      </c>
      <c r="S161" s="191">
        <f t="shared" si="19"/>
        <v>0</v>
      </c>
      <c r="T161" s="20">
        <v>5</v>
      </c>
      <c r="U161" s="20"/>
      <c r="V161" s="190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89">
        <v>300342</v>
      </c>
      <c r="B162" s="188">
        <v>18501</v>
      </c>
      <c r="C162" s="237" t="s">
        <v>146</v>
      </c>
      <c r="D162" s="238"/>
      <c r="E162" s="193" t="s">
        <v>80</v>
      </c>
      <c r="F162" s="192"/>
      <c r="G162" s="133"/>
      <c r="H162" s="133"/>
      <c r="I162" s="133"/>
      <c r="J162" s="133"/>
      <c r="K162" s="191">
        <f t="shared" si="15"/>
        <v>0</v>
      </c>
      <c r="L162" s="191">
        <f t="shared" si="16"/>
        <v>0</v>
      </c>
      <c r="M162" s="191">
        <v>439.3</v>
      </c>
      <c r="N162" s="191">
        <f t="shared" si="20"/>
        <v>4.1485351223123761</v>
      </c>
      <c r="O162" s="191"/>
      <c r="P162" s="191">
        <f t="shared" si="17"/>
        <v>0</v>
      </c>
      <c r="Q162" s="191"/>
      <c r="R162" s="19">
        <f t="shared" si="18"/>
        <v>0</v>
      </c>
      <c r="S162" s="191">
        <f t="shared" si="19"/>
        <v>0</v>
      </c>
      <c r="T162" s="20">
        <v>5</v>
      </c>
      <c r="U162" s="20"/>
      <c r="V162" s="190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89">
        <v>300343</v>
      </c>
      <c r="B163" s="188">
        <v>18501</v>
      </c>
      <c r="C163" s="237" t="s">
        <v>146</v>
      </c>
      <c r="D163" s="238"/>
      <c r="E163" s="193" t="s">
        <v>35</v>
      </c>
      <c r="F163" s="192"/>
      <c r="G163" s="133"/>
      <c r="H163" s="133"/>
      <c r="I163" s="133"/>
      <c r="J163" s="133"/>
      <c r="K163" s="191">
        <f t="shared" si="15"/>
        <v>0</v>
      </c>
      <c r="L163" s="191">
        <f t="shared" si="16"/>
        <v>0</v>
      </c>
      <c r="M163" s="191">
        <v>455.4</v>
      </c>
      <c r="N163" s="191">
        <f t="shared" si="20"/>
        <v>4.3005756765332483</v>
      </c>
      <c r="O163" s="191"/>
      <c r="P163" s="191">
        <f t="shared" si="17"/>
        <v>0</v>
      </c>
      <c r="Q163" s="191"/>
      <c r="R163" s="19">
        <f t="shared" si="18"/>
        <v>0</v>
      </c>
      <c r="S163" s="191">
        <f t="shared" si="19"/>
        <v>0</v>
      </c>
      <c r="T163" s="20">
        <v>5</v>
      </c>
      <c r="U163" s="20"/>
      <c r="V163" s="190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89">
        <v>300344</v>
      </c>
      <c r="B164" s="188">
        <v>18501</v>
      </c>
      <c r="C164" s="237" t="s">
        <v>146</v>
      </c>
      <c r="D164" s="238"/>
      <c r="E164" s="193" t="s">
        <v>40</v>
      </c>
      <c r="F164" s="192"/>
      <c r="G164" s="133"/>
      <c r="H164" s="133"/>
      <c r="I164" s="133"/>
      <c r="J164" s="133"/>
      <c r="K164" s="191">
        <f t="shared" si="15"/>
        <v>0</v>
      </c>
      <c r="L164" s="191">
        <f t="shared" si="16"/>
        <v>0</v>
      </c>
      <c r="M164" s="191">
        <v>455.4</v>
      </c>
      <c r="N164" s="191">
        <f t="shared" si="20"/>
        <v>4.3005756765332483</v>
      </c>
      <c r="O164" s="191"/>
      <c r="P164" s="191">
        <f t="shared" si="17"/>
        <v>0</v>
      </c>
      <c r="Q164" s="191"/>
      <c r="R164" s="19">
        <f t="shared" si="18"/>
        <v>0</v>
      </c>
      <c r="S164" s="191">
        <f t="shared" si="19"/>
        <v>0</v>
      </c>
      <c r="T164" s="20">
        <v>5</v>
      </c>
      <c r="U164" s="20"/>
      <c r="V164" s="190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89">
        <v>300396</v>
      </c>
      <c r="B165" s="188">
        <v>18501</v>
      </c>
      <c r="C165" s="237" t="s">
        <v>147</v>
      </c>
      <c r="D165" s="238"/>
      <c r="E165" s="193" t="s">
        <v>41</v>
      </c>
      <c r="F165" s="192"/>
      <c r="G165" s="133"/>
      <c r="H165" s="133"/>
      <c r="I165" s="133"/>
      <c r="J165" s="133"/>
      <c r="K165" s="191">
        <f t="shared" si="15"/>
        <v>0</v>
      </c>
      <c r="L165" s="191">
        <f t="shared" si="16"/>
        <v>0</v>
      </c>
      <c r="M165" s="191">
        <v>417.1</v>
      </c>
      <c r="N165" s="191">
        <f t="shared" si="20"/>
        <v>3.9388891407158937</v>
      </c>
      <c r="O165" s="191"/>
      <c r="P165" s="191">
        <f t="shared" si="17"/>
        <v>0</v>
      </c>
      <c r="Q165" s="191"/>
      <c r="R165" s="19">
        <f t="shared" si="18"/>
        <v>0</v>
      </c>
      <c r="S165" s="191">
        <f t="shared" si="19"/>
        <v>0</v>
      </c>
      <c r="T165" s="20">
        <v>5</v>
      </c>
      <c r="U165" s="20"/>
      <c r="V165" s="190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89">
        <v>300397</v>
      </c>
      <c r="B166" s="188">
        <v>18501</v>
      </c>
      <c r="C166" s="237" t="s">
        <v>147</v>
      </c>
      <c r="D166" s="238"/>
      <c r="E166" s="193" t="s">
        <v>66</v>
      </c>
      <c r="F166" s="192"/>
      <c r="G166" s="133"/>
      <c r="H166" s="133"/>
      <c r="I166" s="133"/>
      <c r="J166" s="133"/>
      <c r="K166" s="191">
        <f t="shared" si="15"/>
        <v>0</v>
      </c>
      <c r="L166" s="191">
        <f t="shared" si="16"/>
        <v>0</v>
      </c>
      <c r="M166" s="191">
        <v>417.1</v>
      </c>
      <c r="N166" s="191">
        <f t="shared" si="20"/>
        <v>3.9388891407158937</v>
      </c>
      <c r="O166" s="191"/>
      <c r="P166" s="191">
        <f t="shared" si="17"/>
        <v>0</v>
      </c>
      <c r="Q166" s="191"/>
      <c r="R166" s="19">
        <f t="shared" si="18"/>
        <v>0</v>
      </c>
      <c r="S166" s="191">
        <f t="shared" si="19"/>
        <v>0</v>
      </c>
      <c r="T166" s="20">
        <v>5</v>
      </c>
      <c r="U166" s="20"/>
      <c r="V166" s="190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89">
        <v>300398</v>
      </c>
      <c r="B167" s="188">
        <v>18501</v>
      </c>
      <c r="C167" s="237" t="s">
        <v>147</v>
      </c>
      <c r="D167" s="238"/>
      <c r="E167" s="193" t="s">
        <v>141</v>
      </c>
      <c r="F167" s="192"/>
      <c r="G167" s="133"/>
      <c r="H167" s="133"/>
      <c r="I167" s="133"/>
      <c r="J167" s="133"/>
      <c r="K167" s="191">
        <f t="shared" si="15"/>
        <v>0</v>
      </c>
      <c r="L167" s="191">
        <f t="shared" si="16"/>
        <v>0</v>
      </c>
      <c r="M167" s="191">
        <v>417.1</v>
      </c>
      <c r="N167" s="191">
        <f t="shared" si="20"/>
        <v>3.9388891407158937</v>
      </c>
      <c r="O167" s="191"/>
      <c r="P167" s="191">
        <f t="shared" si="17"/>
        <v>0</v>
      </c>
      <c r="Q167" s="191"/>
      <c r="R167" s="19">
        <f t="shared" si="18"/>
        <v>0</v>
      </c>
      <c r="S167" s="191">
        <f t="shared" si="19"/>
        <v>0</v>
      </c>
      <c r="T167" s="20">
        <v>5</v>
      </c>
      <c r="U167" s="20"/>
      <c r="V167" s="190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89">
        <v>300271</v>
      </c>
      <c r="B168" s="188">
        <v>18501</v>
      </c>
      <c r="C168" s="219" t="s">
        <v>148</v>
      </c>
      <c r="D168" s="219"/>
      <c r="E168" s="193" t="s">
        <v>134</v>
      </c>
      <c r="F168" s="192"/>
      <c r="G168" s="133"/>
      <c r="H168" s="133"/>
      <c r="I168" s="133"/>
      <c r="J168" s="133"/>
      <c r="K168" s="191">
        <f t="shared" si="15"/>
        <v>0</v>
      </c>
      <c r="L168" s="191">
        <f t="shared" si="16"/>
        <v>0</v>
      </c>
      <c r="M168" s="191">
        <v>580.1</v>
      </c>
      <c r="N168" s="191">
        <f>+M168*1000/(202*4*13*60)*T168</f>
        <v>3.6817720233561819</v>
      </c>
      <c r="O168" s="191"/>
      <c r="P168" s="191">
        <f t="shared" si="17"/>
        <v>0</v>
      </c>
      <c r="Q168" s="191"/>
      <c r="R168" s="19">
        <f t="shared" si="18"/>
        <v>0</v>
      </c>
      <c r="S168" s="191">
        <f t="shared" si="19"/>
        <v>0</v>
      </c>
      <c r="T168" s="20">
        <v>4</v>
      </c>
      <c r="U168" s="20"/>
      <c r="V168" s="190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89">
        <v>300009</v>
      </c>
      <c r="B169" s="188">
        <v>18501</v>
      </c>
      <c r="C169" s="219" t="s">
        <v>149</v>
      </c>
      <c r="D169" s="219" t="s">
        <v>150</v>
      </c>
      <c r="E169" s="193" t="s">
        <v>127</v>
      </c>
      <c r="F169" s="192">
        <v>2084</v>
      </c>
      <c r="G169" s="133">
        <v>6</v>
      </c>
      <c r="H169" s="133"/>
      <c r="I169" s="133">
        <f>6-J169/400</f>
        <v>5.5</v>
      </c>
      <c r="J169" s="133">
        <v>200</v>
      </c>
      <c r="K169" s="191">
        <f t="shared" si="15"/>
        <v>3124.7999999999997</v>
      </c>
      <c r="L169" s="191">
        <f t="shared" si="16"/>
        <v>2864.3999999999996</v>
      </c>
      <c r="M169" s="191">
        <v>520.79999999999995</v>
      </c>
      <c r="N169" s="191">
        <f>+M169*1000/(188*4*13*60)*T169</f>
        <v>5.3273322422258591</v>
      </c>
      <c r="O169" s="191">
        <v>0.5</v>
      </c>
      <c r="P169" s="191">
        <f t="shared" si="17"/>
        <v>32.300327332242226</v>
      </c>
      <c r="Q169" s="191">
        <v>6.5</v>
      </c>
      <c r="R169" s="19">
        <f t="shared" si="18"/>
        <v>39</v>
      </c>
      <c r="S169" s="191">
        <f t="shared" si="19"/>
        <v>6.699672667757774</v>
      </c>
      <c r="T169" s="20">
        <v>6</v>
      </c>
      <c r="U169" s="20">
        <v>6</v>
      </c>
      <c r="V169" s="190">
        <f t="array" ref="V169">IF(ISERROR(L169/K169),"",L169/K169)</f>
        <v>0.91666666666666663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89">
        <v>300010</v>
      </c>
      <c r="B170" s="188">
        <v>18501</v>
      </c>
      <c r="C170" s="219" t="s">
        <v>149</v>
      </c>
      <c r="D170" s="219" t="s">
        <v>150</v>
      </c>
      <c r="E170" s="193" t="s">
        <v>80</v>
      </c>
      <c r="F170" s="192">
        <v>2022</v>
      </c>
      <c r="G170" s="133">
        <v>2.38</v>
      </c>
      <c r="H170" s="133">
        <v>0.375</v>
      </c>
      <c r="I170" s="133">
        <f>2+H170</f>
        <v>2.375</v>
      </c>
      <c r="J170" s="133"/>
      <c r="K170" s="191">
        <f t="shared" si="15"/>
        <v>1263.5419999999999</v>
      </c>
      <c r="L170" s="191">
        <f t="shared" si="16"/>
        <v>1260.8875</v>
      </c>
      <c r="M170" s="191">
        <v>530.9</v>
      </c>
      <c r="N170" s="191">
        <f>+M170*1000/(188*4*13*60)*T170</f>
        <v>4.5255387343153304</v>
      </c>
      <c r="O170" s="191"/>
      <c r="P170" s="191">
        <f t="shared" si="17"/>
        <v>10.748154493998909</v>
      </c>
      <c r="Q170" s="191">
        <v>4.5</v>
      </c>
      <c r="R170" s="19">
        <f t="shared" si="18"/>
        <v>27</v>
      </c>
      <c r="S170" s="191">
        <f t="shared" si="19"/>
        <v>16.251845506001089</v>
      </c>
      <c r="T170" s="20">
        <v>5</v>
      </c>
      <c r="U170" s="20">
        <v>6</v>
      </c>
      <c r="V170" s="190">
        <f t="array" ref="V170">IF(ISERROR(L170/K170),"",L170/K170)</f>
        <v>0.99789915966386566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65.173000000000002</v>
      </c>
      <c r="H199" s="182">
        <f t="array" ref="H199">SUM(IF(ISERROR(H6:H198),“”,H6:H198))</f>
        <v>2.7166666666666668</v>
      </c>
      <c r="I199" s="182">
        <f t="array" ref="I199">SUM(IF(ISERROR(I6:I198),“”,I6:I198))</f>
        <v>63.673333333333339</v>
      </c>
      <c r="J199" s="182">
        <f t="array" ref="J199">SUM(IF(ISERROR(J6:J198),“”,J6:J198))</f>
        <v>550</v>
      </c>
      <c r="K199" s="182">
        <f t="array" ref="K199">SUM(IF(ISERROR(K6:K198),“”,K6:K198))</f>
        <v>32173.233199999999</v>
      </c>
      <c r="L199" s="56">
        <f>SUM(L6:L198)</f>
        <v>31469.766500000002</v>
      </c>
      <c r="M199" s="182"/>
      <c r="N199" s="182"/>
      <c r="O199" s="182">
        <f>SUM(O6:O190)</f>
        <v>2</v>
      </c>
      <c r="P199" s="56">
        <f>SUM((P6:P190),(W204:X209))</f>
        <v>422.5498953986085</v>
      </c>
      <c r="Q199" s="182"/>
      <c r="R199" s="56">
        <f>SUM((R6:R190),(Y204:Z209))</f>
        <v>517</v>
      </c>
      <c r="S199" s="182">
        <f t="array" ref="S199">SUM(IF(ISERROR(S6:S198),“”,S6:S198))</f>
        <v>94.450104601391516</v>
      </c>
      <c r="T199" s="182"/>
      <c r="U199" s="182"/>
      <c r="V199" s="179">
        <f>IF(ISERROR(L199/K199),"",L199/K199)</f>
        <v>0.97813503244678568</v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>
        <f>IF(ISERROR(P199/R199),"",P199/R199)</f>
        <v>0.81731120966848836</v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>
        <v>216</v>
      </c>
      <c r="F202" s="250"/>
      <c r="G202" s="250">
        <v>216</v>
      </c>
      <c r="H202" s="250"/>
      <c r="I202" s="250">
        <f>G202-E202</f>
        <v>0</v>
      </c>
      <c r="J202" s="250"/>
      <c r="K202" s="252">
        <f t="array" ref="K202">IF(ISERROR(I202/E202),"",I202/E202)</f>
        <v>0</v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>
        <v>5434</v>
      </c>
      <c r="F203" s="250"/>
      <c r="G203" s="250">
        <v>5434</v>
      </c>
      <c r="H203" s="250"/>
      <c r="I203" s="250">
        <f>G203-E203</f>
        <v>0</v>
      </c>
      <c r="J203" s="250"/>
      <c r="K203" s="252">
        <f t="array" ref="K203">IF(ISERROR(I203/E203),"",I203/E203)</f>
        <v>0</v>
      </c>
      <c r="L203" s="252"/>
      <c r="M203" s="237"/>
      <c r="N203" s="238"/>
      <c r="O203" s="253"/>
      <c r="P203" s="253"/>
      <c r="Q203" s="254" t="s">
        <v>185</v>
      </c>
      <c r="R203" s="254"/>
      <c r="S203" s="255">
        <v>30</v>
      </c>
      <c r="T203" s="255"/>
      <c r="U203" s="255">
        <v>29</v>
      </c>
      <c r="V203" s="255"/>
      <c r="W203" s="254">
        <f t="shared" ref="W203:W210" si="23">S203*11</f>
        <v>330</v>
      </c>
      <c r="X203" s="254"/>
      <c r="Y203" s="254">
        <f t="shared" ref="Y203:Y210" si="24">U203*11</f>
        <v>319</v>
      </c>
      <c r="Z203" s="254"/>
      <c r="AA203" s="254">
        <f t="shared" ref="AA203:AA210" si="25">Y203-W203</f>
        <v>-11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>
        <v>2250</v>
      </c>
      <c r="F204" s="250"/>
      <c r="G204" s="250">
        <v>2250</v>
      </c>
      <c r="H204" s="250"/>
      <c r="I204" s="250">
        <f>G204-E204</f>
        <v>0</v>
      </c>
      <c r="J204" s="250"/>
      <c r="K204" s="252">
        <f t="array" ref="K204">IF(ISERROR(I204/E204),"",I204/E204)</f>
        <v>0</v>
      </c>
      <c r="L204" s="252"/>
      <c r="M204" s="237"/>
      <c r="N204" s="238"/>
      <c r="O204" s="253"/>
      <c r="P204" s="253"/>
      <c r="Q204" s="254" t="s">
        <v>187</v>
      </c>
      <c r="R204" s="254"/>
      <c r="S204" s="255">
        <v>6</v>
      </c>
      <c r="T204" s="255"/>
      <c r="U204" s="255">
        <v>6</v>
      </c>
      <c r="V204" s="255"/>
      <c r="W204" s="254">
        <f t="shared" si="23"/>
        <v>66</v>
      </c>
      <c r="X204" s="254"/>
      <c r="Y204" s="254">
        <f t="shared" si="24"/>
        <v>66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92">
        <v>0.75</v>
      </c>
      <c r="T205" s="293"/>
      <c r="U205" s="255">
        <v>1</v>
      </c>
      <c r="V205" s="255"/>
      <c r="W205" s="254">
        <f t="shared" si="23"/>
        <v>8.25</v>
      </c>
      <c r="X205" s="254"/>
      <c r="Y205" s="254">
        <f t="shared" si="24"/>
        <v>11</v>
      </c>
      <c r="Z205" s="254"/>
      <c r="AA205" s="254">
        <f t="shared" si="25"/>
        <v>2.75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>
        <v>154079</v>
      </c>
      <c r="H206" s="257"/>
      <c r="I206" s="325">
        <v>153939</v>
      </c>
      <c r="J206" s="326"/>
      <c r="K206" s="260">
        <f>G206-I206</f>
        <v>140</v>
      </c>
      <c r="L206" s="260"/>
      <c r="M206" s="261">
        <f t="array" ref="M206">IF(ISERROR(K206/L199),"",K206/(L199/1000))</f>
        <v>4.4487142921762697</v>
      </c>
      <c r="N206" s="261"/>
      <c r="O206" s="253"/>
      <c r="P206" s="253"/>
      <c r="Q206" s="254" t="s">
        <v>197</v>
      </c>
      <c r="R206" s="254"/>
      <c r="S206" s="292">
        <v>0.75</v>
      </c>
      <c r="T206" s="293"/>
      <c r="U206" s="255">
        <v>3</v>
      </c>
      <c r="V206" s="255"/>
      <c r="W206" s="254">
        <f t="shared" si="23"/>
        <v>8.25</v>
      </c>
      <c r="X206" s="254"/>
      <c r="Y206" s="254">
        <f t="shared" si="24"/>
        <v>33</v>
      </c>
      <c r="Z206" s="254"/>
      <c r="AA206" s="254">
        <f t="shared" si="25"/>
        <v>24.75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>
        <f>28917.9*120+45300.8*60</f>
        <v>6188196</v>
      </c>
      <c r="H207" s="257"/>
      <c r="I207" s="325">
        <v>6186156</v>
      </c>
      <c r="J207" s="326"/>
      <c r="K207" s="260">
        <f>G207-I207</f>
        <v>2040</v>
      </c>
      <c r="L207" s="260"/>
      <c r="M207" s="261">
        <f t="array" ref="M207">IF(ISERROR(K207/L199),"",K207/(L199/1000))</f>
        <v>64.824122543139936</v>
      </c>
      <c r="N207" s="261"/>
      <c r="O207" s="253"/>
      <c r="P207" s="253"/>
      <c r="Q207" s="254" t="s">
        <v>200</v>
      </c>
      <c r="R207" s="254"/>
      <c r="S207" s="292">
        <v>1.5</v>
      </c>
      <c r="T207" s="293"/>
      <c r="U207" s="255">
        <v>0</v>
      </c>
      <c r="V207" s="255"/>
      <c r="W207" s="254">
        <f t="shared" si="23"/>
        <v>16.5</v>
      </c>
      <c r="X207" s="254"/>
      <c r="Y207" s="254">
        <f t="shared" si="24"/>
        <v>0</v>
      </c>
      <c r="Z207" s="254"/>
      <c r="AA207" s="254">
        <f t="shared" si="25"/>
        <v>-16.5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>
        <f>+I208+19</f>
        <v>28501</v>
      </c>
      <c r="H208" s="257"/>
      <c r="I208" s="256">
        <v>28482</v>
      </c>
      <c r="J208" s="257"/>
      <c r="K208" s="260">
        <f>G208-I208</f>
        <v>19</v>
      </c>
      <c r="L208" s="260"/>
      <c r="M208" s="264">
        <f t="array" ref="M208">IF(ISERROR(K208/L199),"",K208/(L199/1000))</f>
        <v>0.60375408250963658</v>
      </c>
      <c r="N208" s="264"/>
      <c r="O208" s="253"/>
      <c r="P208" s="253"/>
      <c r="Q208" s="254" t="s">
        <v>203</v>
      </c>
      <c r="R208" s="254"/>
      <c r="S208" s="292">
        <v>1</v>
      </c>
      <c r="T208" s="293"/>
      <c r="U208" s="255">
        <v>1</v>
      </c>
      <c r="V208" s="255"/>
      <c r="W208" s="254">
        <f t="shared" si="23"/>
        <v>11</v>
      </c>
      <c r="X208" s="254"/>
      <c r="Y208" s="254">
        <f t="shared" si="24"/>
        <v>11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>
        <f>2.56/2+2.72</f>
        <v>4</v>
      </c>
      <c r="L209" s="263"/>
      <c r="M209" s="265">
        <f t="array" ref="M209">IF(ISERROR((K209+K210)/L199),"",((K209+K210)*1000)/(L199/1000))</f>
        <v>127.10612263360771</v>
      </c>
      <c r="N209" s="266"/>
      <c r="O209" s="253"/>
      <c r="P209" s="253"/>
      <c r="Q209" s="254" t="s">
        <v>206</v>
      </c>
      <c r="R209" s="254"/>
      <c r="S209" s="292">
        <v>3</v>
      </c>
      <c r="T209" s="293"/>
      <c r="U209" s="255">
        <v>2</v>
      </c>
      <c r="V209" s="255"/>
      <c r="W209" s="254">
        <f t="shared" si="23"/>
        <v>33</v>
      </c>
      <c r="X209" s="254"/>
      <c r="Y209" s="254">
        <f t="shared" si="24"/>
        <v>22</v>
      </c>
      <c r="Z209" s="254"/>
      <c r="AA209" s="254">
        <f t="shared" si="25"/>
        <v>-11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43</v>
      </c>
      <c r="T210" s="255"/>
      <c r="U210" s="255">
        <f>SUM(U203:V209)</f>
        <v>42</v>
      </c>
      <c r="V210" s="255"/>
      <c r="W210" s="254">
        <f t="shared" si="23"/>
        <v>473</v>
      </c>
      <c r="X210" s="254"/>
      <c r="Y210" s="254">
        <f t="shared" si="24"/>
        <v>462</v>
      </c>
      <c r="Z210" s="254"/>
      <c r="AA210" s="254">
        <f t="shared" si="25"/>
        <v>-11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>
        <f>IF(ISERROR(K208/K209),"",K208/K209)</f>
        <v>4.75</v>
      </c>
      <c r="N211" s="274"/>
      <c r="O211" s="253"/>
      <c r="P211" s="253"/>
      <c r="Q211" s="251" t="s">
        <v>211</v>
      </c>
      <c r="R211" s="251"/>
      <c r="S211" s="275">
        <f t="array" ref="S211">IF(ISERROR(L199/Y210),"",L199/Y210)</f>
        <v>68.116377705627713</v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hidden="1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hidden="1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89">
        <v>300319</v>
      </c>
      <c r="B217" s="188" t="s">
        <v>33</v>
      </c>
      <c r="C217" s="219" t="s">
        <v>34</v>
      </c>
      <c r="D217" s="219"/>
      <c r="E217" s="193" t="s">
        <v>37</v>
      </c>
      <c r="F217" s="192">
        <v>2080</v>
      </c>
      <c r="G217" s="191">
        <v>4.5</v>
      </c>
      <c r="H217" s="191"/>
      <c r="I217" s="191">
        <v>4.5</v>
      </c>
      <c r="J217" s="191"/>
      <c r="K217" s="191">
        <f t="shared" si="26"/>
        <v>2851.2000000000003</v>
      </c>
      <c r="L217" s="191">
        <f t="shared" si="27"/>
        <v>2851.2000000000003</v>
      </c>
      <c r="M217" s="191">
        <v>633.6</v>
      </c>
      <c r="N217" s="191">
        <f t="shared" si="28"/>
        <v>3.7314487632508833</v>
      </c>
      <c r="O217" s="191"/>
      <c r="P217" s="191">
        <f t="shared" si="29"/>
        <v>16.791519434628974</v>
      </c>
      <c r="Q217" s="191">
        <v>8</v>
      </c>
      <c r="R217" s="19">
        <f t="shared" si="30"/>
        <v>16</v>
      </c>
      <c r="S217" s="191">
        <f t="shared" si="31"/>
        <v>-0.79151943462897378</v>
      </c>
      <c r="T217" s="20">
        <v>4</v>
      </c>
      <c r="U217" s="20">
        <v>2</v>
      </c>
      <c r="V217" s="190">
        <f t="array" ref="V217">IF(ISERROR(L217/K217),"",L217/K217)</f>
        <v>1</v>
      </c>
      <c r="W217" s="20"/>
      <c r="X217" s="188"/>
      <c r="Y217" s="188"/>
      <c r="Z217" s="192"/>
      <c r="AA217" s="20"/>
      <c r="AB217" s="20"/>
      <c r="AC217" s="20"/>
    </row>
    <row r="218" spans="1:29" s="2" customFormat="1" ht="21.95" hidden="1" customHeight="1">
      <c r="A218" s="189">
        <v>300316</v>
      </c>
      <c r="B218" s="188" t="s">
        <v>33</v>
      </c>
      <c r="C218" s="219" t="s">
        <v>34</v>
      </c>
      <c r="D218" s="219"/>
      <c r="E218" s="193" t="s">
        <v>38</v>
      </c>
      <c r="F218" s="192"/>
      <c r="G218" s="191"/>
      <c r="H218" s="191"/>
      <c r="I218" s="191"/>
      <c r="J218" s="191"/>
      <c r="K218" s="191">
        <f t="shared" si="26"/>
        <v>0</v>
      </c>
      <c r="L218" s="191">
        <f t="shared" si="27"/>
        <v>0</v>
      </c>
      <c r="M218" s="191">
        <v>616</v>
      </c>
      <c r="N218" s="191">
        <f t="shared" si="28"/>
        <v>3.6277974087161367</v>
      </c>
      <c r="O218" s="191"/>
      <c r="P218" s="191">
        <f t="shared" si="29"/>
        <v>0</v>
      </c>
      <c r="Q218" s="191"/>
      <c r="R218" s="19">
        <f t="shared" si="30"/>
        <v>0</v>
      </c>
      <c r="S218" s="191">
        <f t="shared" si="31"/>
        <v>0</v>
      </c>
      <c r="T218" s="20">
        <v>4</v>
      </c>
      <c r="U218" s="20"/>
      <c r="V218" s="190" t="str">
        <f t="array" ref="V218">IF(ISERROR(L218/K218),"",L218/K218)</f>
        <v/>
      </c>
      <c r="W218" s="20"/>
      <c r="X218" s="188"/>
      <c r="Y218" s="188"/>
      <c r="Z218" s="192"/>
      <c r="AA218" s="20"/>
      <c r="AB218" s="20"/>
      <c r="AC218" s="20"/>
    </row>
    <row r="219" spans="1:29" s="2" customFormat="1" ht="21.95" hidden="1" customHeight="1">
      <c r="A219" s="189">
        <v>300317</v>
      </c>
      <c r="B219" s="188" t="s">
        <v>33</v>
      </c>
      <c r="C219" s="219" t="s">
        <v>34</v>
      </c>
      <c r="D219" s="219"/>
      <c r="E219" s="193" t="s">
        <v>39</v>
      </c>
      <c r="F219" s="192"/>
      <c r="G219" s="191"/>
      <c r="H219" s="191"/>
      <c r="I219" s="191"/>
      <c r="J219" s="191"/>
      <c r="K219" s="191">
        <f t="shared" si="26"/>
        <v>0</v>
      </c>
      <c r="L219" s="191">
        <f t="shared" si="27"/>
        <v>0</v>
      </c>
      <c r="M219" s="191">
        <v>616</v>
      </c>
      <c r="N219" s="191">
        <f t="shared" si="28"/>
        <v>3.6277974087161367</v>
      </c>
      <c r="O219" s="191"/>
      <c r="P219" s="191">
        <f t="shared" si="29"/>
        <v>0</v>
      </c>
      <c r="Q219" s="191"/>
      <c r="R219" s="19">
        <f t="shared" si="30"/>
        <v>0</v>
      </c>
      <c r="S219" s="191">
        <f t="shared" si="31"/>
        <v>0</v>
      </c>
      <c r="T219" s="20">
        <v>4</v>
      </c>
      <c r="U219" s="20"/>
      <c r="V219" s="190" t="str">
        <f t="array" ref="V219">IF(ISERROR(L219/K219),"",L219/K219)</f>
        <v/>
      </c>
      <c r="W219" s="20"/>
      <c r="X219" s="188"/>
      <c r="Y219" s="188"/>
      <c r="Z219" s="192"/>
      <c r="AA219" s="20"/>
      <c r="AB219" s="20"/>
      <c r="AC219" s="20"/>
    </row>
    <row r="220" spans="1:29" s="2" customFormat="1" ht="21.95" customHeight="1">
      <c r="A220" s="189">
        <v>300315</v>
      </c>
      <c r="B220" s="188" t="s">
        <v>33</v>
      </c>
      <c r="C220" s="219" t="s">
        <v>34</v>
      </c>
      <c r="D220" s="219"/>
      <c r="E220" s="193" t="s">
        <v>40</v>
      </c>
      <c r="F220" s="192">
        <v>2081</v>
      </c>
      <c r="G220" s="191">
        <v>2.4300000000000002</v>
      </c>
      <c r="H220" s="191"/>
      <c r="I220" s="191">
        <f>2+J220/600</f>
        <v>2.4333333333333336</v>
      </c>
      <c r="J220" s="191">
        <v>260</v>
      </c>
      <c r="K220" s="191">
        <f t="shared" si="26"/>
        <v>1496.88</v>
      </c>
      <c r="L220" s="191">
        <f t="shared" si="27"/>
        <v>1498.9333333333334</v>
      </c>
      <c r="M220" s="191">
        <v>616</v>
      </c>
      <c r="N220" s="191">
        <f t="shared" si="28"/>
        <v>3.6277974087161367</v>
      </c>
      <c r="O220" s="191">
        <v>0.5</v>
      </c>
      <c r="P220" s="191">
        <f t="shared" si="29"/>
        <v>9.8276403612092675</v>
      </c>
      <c r="Q220" s="191">
        <v>3.5</v>
      </c>
      <c r="R220" s="19">
        <f t="shared" si="30"/>
        <v>7</v>
      </c>
      <c r="S220" s="191">
        <f t="shared" si="31"/>
        <v>-2.8276403612092675</v>
      </c>
      <c r="T220" s="20">
        <v>4</v>
      </c>
      <c r="U220" s="20">
        <v>2</v>
      </c>
      <c r="V220" s="190">
        <f t="array" ref="V220">IF(ISERROR(L220/K220),"",L220/K220)</f>
        <v>1.0013717421124828</v>
      </c>
      <c r="W220" s="20"/>
      <c r="X220" s="188"/>
      <c r="Y220" s="188"/>
      <c r="Z220" s="192"/>
      <c r="AA220" s="20"/>
      <c r="AB220" s="20"/>
      <c r="AC220" s="20"/>
    </row>
    <row r="221" spans="1:29" s="2" customFormat="1" ht="21.95" hidden="1" customHeight="1">
      <c r="A221" s="189">
        <v>300314</v>
      </c>
      <c r="B221" s="188" t="s">
        <v>33</v>
      </c>
      <c r="C221" s="219" t="s">
        <v>34</v>
      </c>
      <c r="D221" s="219"/>
      <c r="E221" s="193" t="s">
        <v>41</v>
      </c>
      <c r="F221" s="192"/>
      <c r="G221" s="191"/>
      <c r="H221" s="191"/>
      <c r="I221" s="191"/>
      <c r="J221" s="191"/>
      <c r="K221" s="191">
        <f t="shared" si="26"/>
        <v>0</v>
      </c>
      <c r="L221" s="191">
        <f t="shared" si="27"/>
        <v>0</v>
      </c>
      <c r="M221" s="191">
        <v>616</v>
      </c>
      <c r="N221" s="191">
        <f t="shared" si="28"/>
        <v>3.6277974087161367</v>
      </c>
      <c r="O221" s="191"/>
      <c r="P221" s="191">
        <f t="shared" si="29"/>
        <v>0</v>
      </c>
      <c r="Q221" s="191"/>
      <c r="R221" s="19">
        <f t="shared" si="30"/>
        <v>0</v>
      </c>
      <c r="S221" s="191">
        <f t="shared" si="31"/>
        <v>0</v>
      </c>
      <c r="T221" s="20">
        <v>4</v>
      </c>
      <c r="U221" s="20"/>
      <c r="V221" s="190" t="str">
        <f t="array" ref="V221">IF(ISERROR(L221/K221),"",L221/K221)</f>
        <v/>
      </c>
      <c r="W221" s="20"/>
      <c r="X221" s="188"/>
      <c r="Y221" s="188"/>
      <c r="Z221" s="192"/>
      <c r="AA221" s="20"/>
      <c r="AB221" s="20"/>
      <c r="AC221" s="20"/>
    </row>
    <row r="222" spans="1:29" s="2" customFormat="1" ht="21.95" hidden="1" customHeight="1">
      <c r="A222" s="189">
        <v>300313</v>
      </c>
      <c r="B222" s="188" t="s">
        <v>33</v>
      </c>
      <c r="C222" s="219" t="s">
        <v>34</v>
      </c>
      <c r="D222" s="219"/>
      <c r="E222" s="193" t="s">
        <v>42</v>
      </c>
      <c r="F222" s="192"/>
      <c r="G222" s="191"/>
      <c r="H222" s="191"/>
      <c r="I222" s="191"/>
      <c r="J222" s="191"/>
      <c r="K222" s="191">
        <f t="shared" si="26"/>
        <v>0</v>
      </c>
      <c r="L222" s="191">
        <f t="shared" si="27"/>
        <v>0</v>
      </c>
      <c r="M222" s="191">
        <v>616</v>
      </c>
      <c r="N222" s="191">
        <f t="shared" si="28"/>
        <v>3.6277974087161367</v>
      </c>
      <c r="O222" s="191"/>
      <c r="P222" s="191">
        <f t="shared" si="29"/>
        <v>0</v>
      </c>
      <c r="Q222" s="191"/>
      <c r="R222" s="19">
        <f t="shared" si="30"/>
        <v>0</v>
      </c>
      <c r="S222" s="191">
        <f t="shared" si="31"/>
        <v>0</v>
      </c>
      <c r="T222" s="20">
        <v>4</v>
      </c>
      <c r="U222" s="20"/>
      <c r="V222" s="190" t="str">
        <f t="array" ref="V222">IF(ISERROR(L222/K222),"",L222/K222)</f>
        <v/>
      </c>
      <c r="W222" s="20"/>
      <c r="X222" s="188"/>
      <c r="Y222" s="188"/>
      <c r="Z222" s="192"/>
      <c r="AA222" s="20"/>
      <c r="AB222" s="20"/>
      <c r="AC222" s="20"/>
    </row>
    <row r="223" spans="1:29" s="2" customFormat="1" ht="21.95" hidden="1" customHeight="1">
      <c r="A223" s="189"/>
      <c r="B223" s="188" t="s">
        <v>43</v>
      </c>
      <c r="C223" s="230" t="s">
        <v>305</v>
      </c>
      <c r="D223" s="231"/>
      <c r="E223" s="193" t="s">
        <v>306</v>
      </c>
      <c r="F223" s="192"/>
      <c r="G223" s="110"/>
      <c r="H223" s="110"/>
      <c r="I223" s="110"/>
      <c r="J223" s="110"/>
      <c r="K223" s="191">
        <f t="shared" si="26"/>
        <v>0</v>
      </c>
      <c r="L223" s="191">
        <f t="shared" si="27"/>
        <v>0</v>
      </c>
      <c r="M223" s="191">
        <v>213.4</v>
      </c>
      <c r="N223" s="191">
        <f>+M223*1000/(15.4*10*17*60)*T223</f>
        <v>4.0756302521008401</v>
      </c>
      <c r="O223" s="191"/>
      <c r="P223" s="191">
        <f t="shared" si="29"/>
        <v>0</v>
      </c>
      <c r="Q223" s="191"/>
      <c r="R223" s="19">
        <f t="shared" si="30"/>
        <v>0</v>
      </c>
      <c r="S223" s="191">
        <f t="shared" si="31"/>
        <v>0</v>
      </c>
      <c r="T223" s="20">
        <v>3</v>
      </c>
      <c r="U223" s="20"/>
      <c r="V223" s="190"/>
      <c r="W223" s="20"/>
      <c r="X223" s="188"/>
      <c r="Y223" s="188"/>
      <c r="Z223" s="192"/>
      <c r="AA223" s="20"/>
      <c r="AB223" s="20"/>
      <c r="AC223" s="20"/>
    </row>
    <row r="224" spans="1:29" s="2" customFormat="1" ht="21.95" hidden="1" customHeight="1">
      <c r="A224" s="189"/>
      <c r="B224" s="188" t="s">
        <v>43</v>
      </c>
      <c r="C224" s="230" t="s">
        <v>305</v>
      </c>
      <c r="D224" s="231"/>
      <c r="E224" s="193" t="s">
        <v>307</v>
      </c>
      <c r="F224" s="192"/>
      <c r="G224" s="110"/>
      <c r="H224" s="110"/>
      <c r="I224" s="110"/>
      <c r="J224" s="110"/>
      <c r="K224" s="191">
        <f t="shared" si="26"/>
        <v>0</v>
      </c>
      <c r="L224" s="191">
        <f t="shared" si="27"/>
        <v>0</v>
      </c>
      <c r="M224" s="191">
        <v>213.4</v>
      </c>
      <c r="N224" s="191">
        <f>+M224*1000/(15.4*10*17*60)*T224</f>
        <v>4.0756302521008401</v>
      </c>
      <c r="O224" s="191"/>
      <c r="P224" s="191">
        <f t="shared" si="29"/>
        <v>0</v>
      </c>
      <c r="Q224" s="191"/>
      <c r="R224" s="19">
        <f t="shared" si="30"/>
        <v>0</v>
      </c>
      <c r="S224" s="191">
        <f t="shared" si="31"/>
        <v>0</v>
      </c>
      <c r="T224" s="20">
        <v>3</v>
      </c>
      <c r="U224" s="20"/>
      <c r="V224" s="190"/>
      <c r="W224" s="20"/>
      <c r="X224" s="188"/>
      <c r="Y224" s="188"/>
      <c r="Z224" s="192"/>
      <c r="AA224" s="20"/>
      <c r="AB224" s="20"/>
      <c r="AC224" s="20"/>
    </row>
    <row r="225" spans="1:29" s="2" customFormat="1" ht="21.95" hidden="1" customHeight="1">
      <c r="A225" s="188">
        <v>300202</v>
      </c>
      <c r="B225" s="188" t="s">
        <v>52</v>
      </c>
      <c r="C225" s="230" t="s">
        <v>44</v>
      </c>
      <c r="D225" s="231"/>
      <c r="E225" s="188" t="s">
        <v>35</v>
      </c>
      <c r="F225" s="192"/>
      <c r="G225" s="191"/>
      <c r="H225" s="191"/>
      <c r="I225" s="191"/>
      <c r="J225" s="191"/>
      <c r="K225" s="191">
        <f t="shared" si="26"/>
        <v>0</v>
      </c>
      <c r="L225" s="191">
        <f t="shared" si="27"/>
        <v>0</v>
      </c>
      <c r="M225" s="191">
        <v>212.4</v>
      </c>
      <c r="N225" s="191">
        <f>+M225*1000/(15.4*10*17*60)*T225</f>
        <v>8.1130634071810537</v>
      </c>
      <c r="O225" s="191"/>
      <c r="P225" s="191">
        <f t="shared" si="29"/>
        <v>0</v>
      </c>
      <c r="Q225" s="191"/>
      <c r="R225" s="19">
        <f t="shared" si="30"/>
        <v>0</v>
      </c>
      <c r="S225" s="191">
        <f t="shared" si="31"/>
        <v>0</v>
      </c>
      <c r="T225" s="20">
        <v>6</v>
      </c>
      <c r="U225" s="20"/>
      <c r="V225" s="190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88">
        <v>300203</v>
      </c>
      <c r="B226" s="188" t="s">
        <v>43</v>
      </c>
      <c r="C226" s="230" t="s">
        <v>44</v>
      </c>
      <c r="D226" s="231"/>
      <c r="E226" s="188" t="s">
        <v>41</v>
      </c>
      <c r="F226" s="192"/>
      <c r="G226" s="191"/>
      <c r="H226" s="191"/>
      <c r="I226" s="191"/>
      <c r="J226" s="191"/>
      <c r="K226" s="191">
        <f t="shared" si="26"/>
        <v>0</v>
      </c>
      <c r="L226" s="191">
        <f t="shared" si="27"/>
        <v>0</v>
      </c>
      <c r="M226" s="191">
        <v>212.4</v>
      </c>
      <c r="N226" s="191">
        <f>+M226*1000/(15.4*10*17*60)*T226</f>
        <v>4.0565317035905268</v>
      </c>
      <c r="O226" s="191"/>
      <c r="P226" s="191">
        <f t="shared" si="29"/>
        <v>0</v>
      </c>
      <c r="Q226" s="191"/>
      <c r="R226" s="19">
        <f t="shared" si="30"/>
        <v>0</v>
      </c>
      <c r="S226" s="191">
        <f t="shared" si="31"/>
        <v>0</v>
      </c>
      <c r="T226" s="20">
        <v>3</v>
      </c>
      <c r="U226" s="20"/>
      <c r="V226" s="190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88">
        <v>300204</v>
      </c>
      <c r="B227" s="188" t="s">
        <v>43</v>
      </c>
      <c r="C227" s="230" t="s">
        <v>44</v>
      </c>
      <c r="D227" s="231"/>
      <c r="E227" s="188" t="s">
        <v>37</v>
      </c>
      <c r="F227" s="192"/>
      <c r="G227" s="191"/>
      <c r="H227" s="191"/>
      <c r="I227" s="191"/>
      <c r="J227" s="191"/>
      <c r="K227" s="191">
        <f t="shared" si="26"/>
        <v>0</v>
      </c>
      <c r="L227" s="191">
        <f t="shared" si="27"/>
        <v>0</v>
      </c>
      <c r="M227" s="191">
        <v>212.4</v>
      </c>
      <c r="N227" s="191">
        <f>+M227*1000/(15.4*10*17*60)*T227</f>
        <v>4.0565317035905268</v>
      </c>
      <c r="O227" s="191"/>
      <c r="P227" s="191">
        <f t="shared" si="29"/>
        <v>0</v>
      </c>
      <c r="Q227" s="191"/>
      <c r="R227" s="19">
        <f t="shared" si="30"/>
        <v>0</v>
      </c>
      <c r="S227" s="191">
        <f t="shared" si="31"/>
        <v>0</v>
      </c>
      <c r="T227" s="20">
        <v>3</v>
      </c>
      <c r="U227" s="20"/>
      <c r="V227" s="190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89">
        <v>300269</v>
      </c>
      <c r="B228" s="188" t="s">
        <v>43</v>
      </c>
      <c r="C228" s="219" t="s">
        <v>45</v>
      </c>
      <c r="D228" s="219"/>
      <c r="E228" s="193"/>
      <c r="F228" s="192"/>
      <c r="G228" s="191"/>
      <c r="H228" s="191"/>
      <c r="I228" s="191"/>
      <c r="J228" s="191"/>
      <c r="K228" s="191">
        <f t="shared" si="26"/>
        <v>0</v>
      </c>
      <c r="L228" s="191">
        <f t="shared" si="27"/>
        <v>0</v>
      </c>
      <c r="M228" s="191">
        <v>209.4</v>
      </c>
      <c r="N228" s="191">
        <f>+M228*1000/(19.4*10*16*60)*T228</f>
        <v>3.3730670103092786</v>
      </c>
      <c r="O228" s="191"/>
      <c r="P228" s="191">
        <f t="shared" si="29"/>
        <v>0</v>
      </c>
      <c r="Q228" s="191"/>
      <c r="R228" s="19">
        <f t="shared" si="30"/>
        <v>0</v>
      </c>
      <c r="S228" s="191">
        <f t="shared" si="31"/>
        <v>0</v>
      </c>
      <c r="T228" s="20">
        <v>3</v>
      </c>
      <c r="U228" s="20"/>
      <c r="V228" s="190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89"/>
      <c r="B229" s="188"/>
      <c r="C229" s="219" t="s">
        <v>46</v>
      </c>
      <c r="D229" s="219"/>
      <c r="E229" s="193" t="s">
        <v>47</v>
      </c>
      <c r="F229" s="192"/>
      <c r="G229" s="191"/>
      <c r="H229" s="191"/>
      <c r="I229" s="191"/>
      <c r="J229" s="191"/>
      <c r="K229" s="191">
        <f t="shared" si="26"/>
        <v>0</v>
      </c>
      <c r="L229" s="191">
        <f t="shared" si="27"/>
        <v>0</v>
      </c>
      <c r="M229" s="191">
        <v>209.9</v>
      </c>
      <c r="N229" s="191">
        <f>+M229*1000/(19*10*16*60)*T229</f>
        <v>3.4523026315789478</v>
      </c>
      <c r="O229" s="191"/>
      <c r="P229" s="191">
        <f t="shared" si="29"/>
        <v>0</v>
      </c>
      <c r="Q229" s="191"/>
      <c r="R229" s="19">
        <f t="shared" si="30"/>
        <v>0</v>
      </c>
      <c r="S229" s="191">
        <f t="shared" si="31"/>
        <v>0</v>
      </c>
      <c r="T229" s="20">
        <v>3</v>
      </c>
      <c r="U229" s="20"/>
      <c r="V229" s="190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89">
        <v>300350</v>
      </c>
      <c r="B230" s="188" t="s">
        <v>43</v>
      </c>
      <c r="C230" s="219" t="s">
        <v>48</v>
      </c>
      <c r="D230" s="219"/>
      <c r="E230" s="193" t="s">
        <v>49</v>
      </c>
      <c r="F230" s="192"/>
      <c r="G230" s="191"/>
      <c r="H230" s="191"/>
      <c r="I230" s="191"/>
      <c r="J230" s="191"/>
      <c r="K230" s="191">
        <f t="shared" si="26"/>
        <v>0</v>
      </c>
      <c r="L230" s="191">
        <f t="shared" si="27"/>
        <v>0</v>
      </c>
      <c r="M230" s="191">
        <v>209.9</v>
      </c>
      <c r="N230" s="191">
        <f>+M230*1000/(19*10*16*60)*T230</f>
        <v>2.3015350877192984</v>
      </c>
      <c r="O230" s="191"/>
      <c r="P230" s="191">
        <f t="shared" si="29"/>
        <v>0</v>
      </c>
      <c r="Q230" s="191"/>
      <c r="R230" s="19">
        <f t="shared" si="30"/>
        <v>0</v>
      </c>
      <c r="S230" s="191">
        <f t="shared" si="31"/>
        <v>0</v>
      </c>
      <c r="T230" s="20">
        <v>2</v>
      </c>
      <c r="U230" s="20"/>
      <c r="V230" s="190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89">
        <v>300113</v>
      </c>
      <c r="B231" s="188" t="s">
        <v>43</v>
      </c>
      <c r="C231" s="219" t="s">
        <v>50</v>
      </c>
      <c r="D231" s="219"/>
      <c r="E231" s="193" t="s">
        <v>40</v>
      </c>
      <c r="F231" s="192"/>
      <c r="G231" s="191"/>
      <c r="H231" s="191"/>
      <c r="I231" s="191"/>
      <c r="J231" s="191"/>
      <c r="K231" s="191">
        <f t="shared" si="26"/>
        <v>0</v>
      </c>
      <c r="L231" s="191">
        <f t="shared" si="27"/>
        <v>0</v>
      </c>
      <c r="M231" s="191">
        <v>210</v>
      </c>
      <c r="N231" s="191">
        <f>M231*1000/(19.2*10*17*60)*T231</f>
        <v>2.1446078431372548</v>
      </c>
      <c r="O231" s="191"/>
      <c r="P231" s="191">
        <f t="shared" si="29"/>
        <v>0</v>
      </c>
      <c r="Q231" s="191"/>
      <c r="R231" s="19">
        <f t="shared" si="30"/>
        <v>0</v>
      </c>
      <c r="S231" s="191">
        <f t="shared" si="31"/>
        <v>0</v>
      </c>
      <c r="T231" s="20">
        <v>2</v>
      </c>
      <c r="U231" s="20"/>
      <c r="V231" s="190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89">
        <v>300114</v>
      </c>
      <c r="B232" s="188" t="s">
        <v>43</v>
      </c>
      <c r="C232" s="219" t="s">
        <v>50</v>
      </c>
      <c r="D232" s="219"/>
      <c r="E232" s="193" t="s">
        <v>42</v>
      </c>
      <c r="F232" s="192"/>
      <c r="G232" s="191"/>
      <c r="H232" s="191"/>
      <c r="I232" s="191"/>
      <c r="J232" s="191"/>
      <c r="K232" s="191">
        <f t="shared" si="26"/>
        <v>0</v>
      </c>
      <c r="L232" s="191">
        <f t="shared" si="27"/>
        <v>0</v>
      </c>
      <c r="M232" s="191">
        <v>210</v>
      </c>
      <c r="N232" s="191">
        <f>M232*1000/(19.2*10*17*60)*T232</f>
        <v>2.1446078431372548</v>
      </c>
      <c r="O232" s="191"/>
      <c r="P232" s="191">
        <f t="shared" si="29"/>
        <v>0</v>
      </c>
      <c r="Q232" s="191"/>
      <c r="R232" s="19">
        <f t="shared" si="30"/>
        <v>0</v>
      </c>
      <c r="S232" s="191">
        <f t="shared" si="31"/>
        <v>0</v>
      </c>
      <c r="T232" s="20">
        <v>2</v>
      </c>
      <c r="U232" s="20"/>
      <c r="V232" s="190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89">
        <v>300115</v>
      </c>
      <c r="B233" s="188" t="s">
        <v>43</v>
      </c>
      <c r="C233" s="219" t="s">
        <v>50</v>
      </c>
      <c r="D233" s="219"/>
      <c r="E233" s="193" t="s">
        <v>41</v>
      </c>
      <c r="F233" s="192"/>
      <c r="G233" s="191"/>
      <c r="H233" s="191"/>
      <c r="I233" s="191"/>
      <c r="J233" s="191"/>
      <c r="K233" s="191">
        <f t="shared" si="26"/>
        <v>0</v>
      </c>
      <c r="L233" s="191">
        <f t="shared" si="27"/>
        <v>0</v>
      </c>
      <c r="M233" s="191">
        <v>210</v>
      </c>
      <c r="N233" s="191">
        <f>M233*1000/(19.2*10*17*60)*T233</f>
        <v>2.1446078431372548</v>
      </c>
      <c r="O233" s="191"/>
      <c r="P233" s="191">
        <f t="shared" si="29"/>
        <v>0</v>
      </c>
      <c r="Q233" s="191"/>
      <c r="R233" s="19">
        <f t="shared" si="30"/>
        <v>0</v>
      </c>
      <c r="S233" s="191">
        <f t="shared" si="31"/>
        <v>0</v>
      </c>
      <c r="T233" s="20">
        <v>2</v>
      </c>
      <c r="U233" s="20"/>
      <c r="V233" s="190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89">
        <v>300011</v>
      </c>
      <c r="B234" s="188" t="s">
        <v>43</v>
      </c>
      <c r="C234" s="219" t="s">
        <v>51</v>
      </c>
      <c r="D234" s="219"/>
      <c r="E234" s="193" t="s">
        <v>40</v>
      </c>
      <c r="F234" s="192"/>
      <c r="G234" s="191"/>
      <c r="H234" s="191"/>
      <c r="I234" s="191"/>
      <c r="J234" s="191"/>
      <c r="K234" s="191">
        <f t="shared" si="26"/>
        <v>0</v>
      </c>
      <c r="L234" s="191">
        <f t="shared" si="27"/>
        <v>0</v>
      </c>
      <c r="M234" s="191">
        <v>524.6</v>
      </c>
      <c r="N234" s="191">
        <f>+M234*1000/(25.4*20*15*60)*T234</f>
        <v>3.4422572178477688</v>
      </c>
      <c r="O234" s="191"/>
      <c r="P234" s="191">
        <f t="shared" si="29"/>
        <v>0</v>
      </c>
      <c r="Q234" s="191"/>
      <c r="R234" s="19">
        <f t="shared" si="30"/>
        <v>0</v>
      </c>
      <c r="S234" s="191">
        <f t="shared" si="31"/>
        <v>0</v>
      </c>
      <c r="T234" s="20">
        <v>3</v>
      </c>
      <c r="U234" s="20"/>
      <c r="V234" s="190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89">
        <v>300012</v>
      </c>
      <c r="B235" s="188" t="s">
        <v>43</v>
      </c>
      <c r="C235" s="219" t="s">
        <v>51</v>
      </c>
      <c r="D235" s="219"/>
      <c r="E235" s="193" t="s">
        <v>41</v>
      </c>
      <c r="F235" s="192"/>
      <c r="G235" s="191"/>
      <c r="H235" s="191"/>
      <c r="I235" s="191"/>
      <c r="J235" s="191"/>
      <c r="K235" s="191">
        <f t="shared" si="26"/>
        <v>0</v>
      </c>
      <c r="L235" s="191">
        <f t="shared" si="27"/>
        <v>0</v>
      </c>
      <c r="M235" s="191">
        <v>524.6</v>
      </c>
      <c r="N235" s="191">
        <f>+M235*1000/(25.4*20*15*60)*T235</f>
        <v>3.4422572178477688</v>
      </c>
      <c r="O235" s="191"/>
      <c r="P235" s="191">
        <f t="shared" si="29"/>
        <v>0</v>
      </c>
      <c r="Q235" s="191"/>
      <c r="R235" s="19">
        <f t="shared" si="30"/>
        <v>0</v>
      </c>
      <c r="S235" s="191">
        <f t="shared" si="31"/>
        <v>0</v>
      </c>
      <c r="T235" s="20">
        <v>3</v>
      </c>
      <c r="U235" s="20"/>
      <c r="V235" s="190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89">
        <v>300013</v>
      </c>
      <c r="B236" s="188" t="s">
        <v>213</v>
      </c>
      <c r="C236" s="219" t="s">
        <v>51</v>
      </c>
      <c r="D236" s="219"/>
      <c r="E236" s="193" t="s">
        <v>42</v>
      </c>
      <c r="F236" s="192"/>
      <c r="G236" s="191"/>
      <c r="H236" s="191"/>
      <c r="I236" s="191"/>
      <c r="J236" s="191"/>
      <c r="K236" s="191">
        <f t="shared" si="26"/>
        <v>0</v>
      </c>
      <c r="L236" s="191">
        <f t="shared" si="27"/>
        <v>0</v>
      </c>
      <c r="M236" s="191">
        <v>524.6</v>
      </c>
      <c r="N236" s="191">
        <f>+M236*1000/(25.4*20*15*60)*T236</f>
        <v>3.4422572178477688</v>
      </c>
      <c r="O236" s="191"/>
      <c r="P236" s="191">
        <f t="shared" si="29"/>
        <v>0</v>
      </c>
      <c r="Q236" s="191"/>
      <c r="R236" s="19">
        <f t="shared" si="30"/>
        <v>0</v>
      </c>
      <c r="S236" s="191">
        <f t="shared" si="31"/>
        <v>0</v>
      </c>
      <c r="T236" s="20">
        <v>3</v>
      </c>
      <c r="U236" s="20"/>
      <c r="V236" s="190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89">
        <v>300016</v>
      </c>
      <c r="B237" s="188" t="s">
        <v>43</v>
      </c>
      <c r="C237" s="219" t="s">
        <v>51</v>
      </c>
      <c r="D237" s="219"/>
      <c r="E237" s="193" t="s">
        <v>38</v>
      </c>
      <c r="F237" s="192"/>
      <c r="G237" s="191"/>
      <c r="H237" s="191"/>
      <c r="I237" s="191"/>
      <c r="J237" s="191"/>
      <c r="K237" s="191">
        <f t="shared" si="26"/>
        <v>0</v>
      </c>
      <c r="L237" s="191">
        <f t="shared" si="27"/>
        <v>0</v>
      </c>
      <c r="M237" s="191">
        <v>524.6</v>
      </c>
      <c r="N237" s="191">
        <f>+M237*1000/(25.4*20*15*60)*T237</f>
        <v>3.4422572178477688</v>
      </c>
      <c r="O237" s="191"/>
      <c r="P237" s="191">
        <f t="shared" si="29"/>
        <v>0</v>
      </c>
      <c r="Q237" s="191"/>
      <c r="R237" s="19">
        <f t="shared" si="30"/>
        <v>0</v>
      </c>
      <c r="S237" s="191">
        <f t="shared" si="31"/>
        <v>0</v>
      </c>
      <c r="T237" s="20">
        <v>3</v>
      </c>
      <c r="U237" s="20"/>
      <c r="V237" s="190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189">
        <v>3000435</v>
      </c>
      <c r="B238" s="188" t="s">
        <v>43</v>
      </c>
      <c r="C238" s="219" t="s">
        <v>51</v>
      </c>
      <c r="D238" s="219"/>
      <c r="E238" s="193" t="s">
        <v>301</v>
      </c>
      <c r="F238" s="192"/>
      <c r="G238" s="110"/>
      <c r="H238" s="110"/>
      <c r="I238" s="110"/>
      <c r="J238" s="110"/>
      <c r="K238" s="191">
        <f t="shared" si="26"/>
        <v>0</v>
      </c>
      <c r="L238" s="191">
        <f t="shared" si="27"/>
        <v>0</v>
      </c>
      <c r="M238" s="191">
        <v>524.6</v>
      </c>
      <c r="N238" s="191">
        <f>+M238*1000/(25.4*20*15*60)*T238</f>
        <v>3.4422572178477688</v>
      </c>
      <c r="O238" s="191"/>
      <c r="P238" s="191">
        <f t="shared" si="29"/>
        <v>0</v>
      </c>
      <c r="Q238" s="191"/>
      <c r="R238" s="19">
        <f t="shared" si="30"/>
        <v>0</v>
      </c>
      <c r="S238" s="191">
        <f t="shared" si="31"/>
        <v>0</v>
      </c>
      <c r="T238" s="20">
        <v>3</v>
      </c>
      <c r="U238" s="20"/>
      <c r="V238" s="190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189">
        <v>300276</v>
      </c>
      <c r="B239" s="188" t="s">
        <v>43</v>
      </c>
      <c r="C239" s="219" t="s">
        <v>53</v>
      </c>
      <c r="D239" s="219"/>
      <c r="E239" s="193" t="s">
        <v>41</v>
      </c>
      <c r="F239" s="192"/>
      <c r="G239" s="110"/>
      <c r="H239" s="110"/>
      <c r="I239" s="110"/>
      <c r="J239" s="110"/>
      <c r="K239" s="191">
        <f t="shared" si="26"/>
        <v>0</v>
      </c>
      <c r="L239" s="191">
        <f t="shared" si="27"/>
        <v>0</v>
      </c>
      <c r="M239" s="191">
        <v>266</v>
      </c>
      <c r="N239" s="191">
        <f>+M239*1000/(29.8*10*13*60)*T239</f>
        <v>3.4331440371708828</v>
      </c>
      <c r="O239" s="191"/>
      <c r="P239" s="191">
        <f t="shared" si="29"/>
        <v>0</v>
      </c>
      <c r="Q239" s="191"/>
      <c r="R239" s="19">
        <f t="shared" si="30"/>
        <v>0</v>
      </c>
      <c r="S239" s="191">
        <f t="shared" si="31"/>
        <v>0</v>
      </c>
      <c r="T239" s="20">
        <v>3</v>
      </c>
      <c r="U239" s="20"/>
      <c r="V239" s="190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189">
        <v>300277</v>
      </c>
      <c r="B240" s="188" t="s">
        <v>43</v>
      </c>
      <c r="C240" s="219" t="s">
        <v>53</v>
      </c>
      <c r="D240" s="219"/>
      <c r="E240" s="193" t="s">
        <v>39</v>
      </c>
      <c r="F240" s="192"/>
      <c r="G240" s="110"/>
      <c r="H240" s="110"/>
      <c r="I240" s="110"/>
      <c r="J240" s="110"/>
      <c r="K240" s="191">
        <f t="shared" si="26"/>
        <v>0</v>
      </c>
      <c r="L240" s="191">
        <f t="shared" si="27"/>
        <v>0</v>
      </c>
      <c r="M240" s="191">
        <v>266</v>
      </c>
      <c r="N240" s="191">
        <f>+M240*1000/(29.8*10*13*60)*T240</f>
        <v>3.4331440371708828</v>
      </c>
      <c r="O240" s="191"/>
      <c r="P240" s="191">
        <f t="shared" si="29"/>
        <v>0</v>
      </c>
      <c r="Q240" s="191"/>
      <c r="R240" s="19">
        <f t="shared" si="30"/>
        <v>0</v>
      </c>
      <c r="S240" s="191">
        <f t="shared" si="31"/>
        <v>0</v>
      </c>
      <c r="T240" s="20">
        <v>3</v>
      </c>
      <c r="U240" s="20"/>
      <c r="V240" s="190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189">
        <v>300278</v>
      </c>
      <c r="B241" s="188" t="s">
        <v>43</v>
      </c>
      <c r="C241" s="219" t="s">
        <v>53</v>
      </c>
      <c r="D241" s="219"/>
      <c r="E241" s="193" t="s">
        <v>54</v>
      </c>
      <c r="F241" s="192"/>
      <c r="G241" s="110"/>
      <c r="H241" s="110"/>
      <c r="I241" s="110"/>
      <c r="J241" s="110"/>
      <c r="K241" s="191">
        <f t="shared" si="26"/>
        <v>0</v>
      </c>
      <c r="L241" s="191">
        <f t="shared" si="27"/>
        <v>0</v>
      </c>
      <c r="M241" s="191">
        <v>266</v>
      </c>
      <c r="N241" s="191">
        <f>+M241*1000/(29.8*10*13*60)*T241</f>
        <v>3.4331440371708828</v>
      </c>
      <c r="O241" s="191"/>
      <c r="P241" s="191">
        <f t="shared" si="29"/>
        <v>0</v>
      </c>
      <c r="Q241" s="191"/>
      <c r="R241" s="19">
        <f t="shared" si="30"/>
        <v>0</v>
      </c>
      <c r="S241" s="191">
        <f t="shared" si="31"/>
        <v>0</v>
      </c>
      <c r="T241" s="20">
        <v>3</v>
      </c>
      <c r="U241" s="20"/>
      <c r="V241" s="190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89">
        <v>300027</v>
      </c>
      <c r="B242" s="188" t="s">
        <v>55</v>
      </c>
      <c r="C242" s="219" t="s">
        <v>56</v>
      </c>
      <c r="D242" s="219"/>
      <c r="E242" s="193" t="s">
        <v>54</v>
      </c>
      <c r="F242" s="192"/>
      <c r="G242" s="191"/>
      <c r="H242" s="191"/>
      <c r="I242" s="191"/>
      <c r="J242" s="191"/>
      <c r="K242" s="191">
        <f t="shared" si="26"/>
        <v>0</v>
      </c>
      <c r="L242" s="191">
        <f t="shared" si="27"/>
        <v>0</v>
      </c>
      <c r="M242" s="191">
        <v>550.4</v>
      </c>
      <c r="N242" s="191">
        <f>+M242*1000/(31*20*15*60)*T242</f>
        <v>2.9591397849462364</v>
      </c>
      <c r="O242" s="191"/>
      <c r="P242" s="191">
        <f t="shared" si="29"/>
        <v>0</v>
      </c>
      <c r="Q242" s="191"/>
      <c r="R242" s="19">
        <f t="shared" si="30"/>
        <v>0</v>
      </c>
      <c r="S242" s="191">
        <f t="shared" si="31"/>
        <v>0</v>
      </c>
      <c r="T242" s="20">
        <v>3</v>
      </c>
      <c r="U242" s="20"/>
      <c r="V242" s="190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89">
        <v>300028</v>
      </c>
      <c r="B243" s="188" t="s">
        <v>319</v>
      </c>
      <c r="C243" s="219" t="s">
        <v>56</v>
      </c>
      <c r="D243" s="219"/>
      <c r="E243" s="193" t="s">
        <v>35</v>
      </c>
      <c r="F243" s="192">
        <v>2026</v>
      </c>
      <c r="G243" s="191">
        <v>2.06</v>
      </c>
      <c r="H243" s="191">
        <v>0.06</v>
      </c>
      <c r="I243" s="191">
        <f>2+H243</f>
        <v>2.06</v>
      </c>
      <c r="J243" s="191"/>
      <c r="K243" s="191">
        <f t="shared" si="26"/>
        <v>1133.8240000000001</v>
      </c>
      <c r="L243" s="191">
        <f t="shared" si="27"/>
        <v>1133.8240000000001</v>
      </c>
      <c r="M243" s="191">
        <v>550.4</v>
      </c>
      <c r="N243" s="191">
        <f>+M243*1000/(31*20*15*60)*T243</f>
        <v>2.9591397849462364</v>
      </c>
      <c r="O243" s="191"/>
      <c r="P243" s="191">
        <f t="shared" si="29"/>
        <v>6.0958279569892468</v>
      </c>
      <c r="Q243" s="191">
        <v>6</v>
      </c>
      <c r="R243" s="19">
        <f t="shared" si="30"/>
        <v>12</v>
      </c>
      <c r="S243" s="191">
        <f t="shared" si="31"/>
        <v>5.9041720430107532</v>
      </c>
      <c r="T243" s="20">
        <v>3</v>
      </c>
      <c r="U243" s="20">
        <v>2</v>
      </c>
      <c r="V243" s="190">
        <f t="array" ref="V243">IF(ISERROR(L243/K243),"",L243/K243)</f>
        <v>1</v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89">
        <v>300029</v>
      </c>
      <c r="B244" s="188" t="s">
        <v>319</v>
      </c>
      <c r="C244" s="219" t="s">
        <v>56</v>
      </c>
      <c r="D244" s="219"/>
      <c r="E244" s="193" t="s">
        <v>57</v>
      </c>
      <c r="F244" s="192">
        <v>2083</v>
      </c>
      <c r="G244" s="191">
        <v>13</v>
      </c>
      <c r="H244" s="191"/>
      <c r="I244" s="191">
        <f>14-J244/500</f>
        <v>13</v>
      </c>
      <c r="J244" s="191">
        <v>500</v>
      </c>
      <c r="K244" s="191">
        <f t="shared" si="26"/>
        <v>7155.2</v>
      </c>
      <c r="L244" s="191">
        <f t="shared" si="27"/>
        <v>7155.2</v>
      </c>
      <c r="M244" s="191">
        <v>550.4</v>
      </c>
      <c r="N244" s="191">
        <f>+M244*1000/(31*20*15*60)*T244</f>
        <v>2.9591397849462364</v>
      </c>
      <c r="O244" s="191">
        <v>0.5</v>
      </c>
      <c r="P244" s="191">
        <f t="shared" si="29"/>
        <v>39.468817204301075</v>
      </c>
      <c r="Q244" s="191">
        <v>17</v>
      </c>
      <c r="R244" s="19">
        <f t="shared" si="30"/>
        <v>34</v>
      </c>
      <c r="S244" s="191">
        <f t="shared" si="31"/>
        <v>-5.4688172043010752</v>
      </c>
      <c r="T244" s="20">
        <v>3</v>
      </c>
      <c r="U244" s="20">
        <v>2</v>
      </c>
      <c r="V244" s="190">
        <f t="array" ref="V244">IF(ISERROR(L244/K244),"",L244/K244)</f>
        <v>1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89">
        <v>300026</v>
      </c>
      <c r="B245" s="188" t="s">
        <v>55</v>
      </c>
      <c r="C245" s="219" t="s">
        <v>56</v>
      </c>
      <c r="D245" s="219"/>
      <c r="E245" s="193" t="s">
        <v>37</v>
      </c>
      <c r="F245" s="192"/>
      <c r="G245" s="191"/>
      <c r="H245" s="191"/>
      <c r="I245" s="191"/>
      <c r="J245" s="191"/>
      <c r="K245" s="191">
        <f t="shared" si="26"/>
        <v>0</v>
      </c>
      <c r="L245" s="191">
        <f t="shared" si="27"/>
        <v>0</v>
      </c>
      <c r="M245" s="191">
        <v>550.4</v>
      </c>
      <c r="N245" s="191">
        <f>+M245*1000/(31*20*15*60)*T245</f>
        <v>2.9591397849462364</v>
      </c>
      <c r="O245" s="191"/>
      <c r="P245" s="191">
        <f t="shared" si="29"/>
        <v>0</v>
      </c>
      <c r="Q245" s="191"/>
      <c r="R245" s="19">
        <f t="shared" si="30"/>
        <v>0</v>
      </c>
      <c r="S245" s="191">
        <f t="shared" si="31"/>
        <v>0</v>
      </c>
      <c r="T245" s="20">
        <v>3</v>
      </c>
      <c r="U245" s="20"/>
      <c r="V245" s="190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89">
        <v>300032</v>
      </c>
      <c r="B246" s="188">
        <v>3002</v>
      </c>
      <c r="C246" s="219" t="s">
        <v>58</v>
      </c>
      <c r="D246" s="219" t="s">
        <v>59</v>
      </c>
      <c r="E246" s="193" t="s">
        <v>35</v>
      </c>
      <c r="F246" s="192"/>
      <c r="G246" s="191"/>
      <c r="H246" s="191"/>
      <c r="I246" s="191"/>
      <c r="J246" s="191"/>
      <c r="K246" s="191">
        <f t="shared" si="26"/>
        <v>0</v>
      </c>
      <c r="L246" s="191">
        <f t="shared" si="27"/>
        <v>0</v>
      </c>
      <c r="M246" s="191">
        <v>285.7</v>
      </c>
      <c r="N246" s="191">
        <f>+M246*1000/(31*10*13*60)*T246</f>
        <v>7.0893300248138953</v>
      </c>
      <c r="O246" s="191"/>
      <c r="P246" s="191">
        <f t="shared" si="29"/>
        <v>0</v>
      </c>
      <c r="Q246" s="191"/>
      <c r="R246" s="19">
        <f t="shared" si="30"/>
        <v>0</v>
      </c>
      <c r="S246" s="191">
        <f t="shared" si="31"/>
        <v>0</v>
      </c>
      <c r="T246" s="20">
        <v>6</v>
      </c>
      <c r="U246" s="20"/>
      <c r="V246" s="190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189">
        <v>300413</v>
      </c>
      <c r="B247" s="188">
        <v>3002</v>
      </c>
      <c r="C247" s="230" t="s">
        <v>296</v>
      </c>
      <c r="D247" s="231"/>
      <c r="E247" s="193" t="s">
        <v>294</v>
      </c>
      <c r="F247" s="192"/>
      <c r="G247" s="110"/>
      <c r="H247" s="110"/>
      <c r="I247" s="110"/>
      <c r="J247" s="110"/>
      <c r="K247" s="191">
        <f t="shared" si="26"/>
        <v>0</v>
      </c>
      <c r="L247" s="191">
        <f t="shared" si="27"/>
        <v>0</v>
      </c>
      <c r="M247" s="191">
        <v>528.79999999999995</v>
      </c>
      <c r="N247" s="191">
        <f>+M247*1000/(31*10*13*60)*T247</f>
        <v>6.5607940446650126</v>
      </c>
      <c r="O247" s="191"/>
      <c r="P247" s="191">
        <f t="shared" si="29"/>
        <v>0</v>
      </c>
      <c r="Q247" s="191"/>
      <c r="R247" s="19">
        <f t="shared" si="30"/>
        <v>0</v>
      </c>
      <c r="S247" s="191">
        <f t="shared" si="31"/>
        <v>0</v>
      </c>
      <c r="T247" s="20">
        <v>3</v>
      </c>
      <c r="U247" s="20"/>
      <c r="V247" s="190"/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189">
        <v>300414</v>
      </c>
      <c r="B248" s="188">
        <v>3002</v>
      </c>
      <c r="C248" s="230" t="s">
        <v>296</v>
      </c>
      <c r="D248" s="231"/>
      <c r="E248" s="193" t="s">
        <v>291</v>
      </c>
      <c r="F248" s="192"/>
      <c r="G248" s="110"/>
      <c r="H248" s="110"/>
      <c r="I248" s="110"/>
      <c r="J248" s="110"/>
      <c r="K248" s="191">
        <f t="shared" si="26"/>
        <v>0</v>
      </c>
      <c r="L248" s="191">
        <f t="shared" si="27"/>
        <v>0</v>
      </c>
      <c r="M248" s="191">
        <v>528.79999999999995</v>
      </c>
      <c r="N248" s="191">
        <f>+M248*1000/(31*10*13*60)*T248</f>
        <v>6.5607940446650126</v>
      </c>
      <c r="O248" s="191"/>
      <c r="P248" s="191">
        <f t="shared" si="29"/>
        <v>0</v>
      </c>
      <c r="Q248" s="191"/>
      <c r="R248" s="19">
        <f t="shared" si="30"/>
        <v>0</v>
      </c>
      <c r="S248" s="191">
        <f t="shared" si="31"/>
        <v>0</v>
      </c>
      <c r="T248" s="20">
        <v>3</v>
      </c>
      <c r="U248" s="20"/>
      <c r="V248" s="190"/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189">
        <v>300415</v>
      </c>
      <c r="B249" s="188">
        <v>3002</v>
      </c>
      <c r="C249" s="230" t="s">
        <v>296</v>
      </c>
      <c r="D249" s="231"/>
      <c r="E249" s="193" t="s">
        <v>295</v>
      </c>
      <c r="F249" s="192"/>
      <c r="G249" s="110"/>
      <c r="H249" s="110"/>
      <c r="I249" s="110"/>
      <c r="J249" s="110"/>
      <c r="K249" s="191">
        <f t="shared" si="26"/>
        <v>0</v>
      </c>
      <c r="L249" s="191">
        <f t="shared" si="27"/>
        <v>0</v>
      </c>
      <c r="M249" s="191">
        <v>528.79999999999995</v>
      </c>
      <c r="N249" s="191">
        <f>+M249*1000/(31*10*13*60)*T249</f>
        <v>6.5607940446650126</v>
      </c>
      <c r="O249" s="191"/>
      <c r="P249" s="191">
        <f t="shared" si="29"/>
        <v>0</v>
      </c>
      <c r="Q249" s="191"/>
      <c r="R249" s="19">
        <f t="shared" si="30"/>
        <v>0</v>
      </c>
      <c r="S249" s="191">
        <f t="shared" si="31"/>
        <v>0</v>
      </c>
      <c r="T249" s="20">
        <v>3</v>
      </c>
      <c r="U249" s="20"/>
      <c r="V249" s="190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89">
        <v>300035</v>
      </c>
      <c r="B250" s="188" t="s">
        <v>60</v>
      </c>
      <c r="C250" s="219" t="s">
        <v>61</v>
      </c>
      <c r="D250" s="219" t="s">
        <v>62</v>
      </c>
      <c r="E250" s="193" t="s">
        <v>35</v>
      </c>
      <c r="F250" s="192"/>
      <c r="G250" s="191"/>
      <c r="H250" s="191"/>
      <c r="I250" s="191"/>
      <c r="J250" s="191"/>
      <c r="K250" s="191">
        <f t="shared" si="26"/>
        <v>0</v>
      </c>
      <c r="L250" s="191">
        <f t="shared" si="27"/>
        <v>0</v>
      </c>
      <c r="M250" s="191">
        <v>366.93</v>
      </c>
      <c r="N250" s="191">
        <f>+M250*1000/(35.8*10*13*60)*T250</f>
        <v>2.6280618822518265</v>
      </c>
      <c r="O250" s="191"/>
      <c r="P250" s="191">
        <f t="shared" si="29"/>
        <v>0</v>
      </c>
      <c r="Q250" s="191"/>
      <c r="R250" s="19">
        <f t="shared" si="30"/>
        <v>0</v>
      </c>
      <c r="S250" s="191">
        <f t="shared" si="31"/>
        <v>0</v>
      </c>
      <c r="T250" s="20">
        <v>2</v>
      </c>
      <c r="U250" s="20"/>
      <c r="V250" s="190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89">
        <v>300036</v>
      </c>
      <c r="B251" s="188" t="s">
        <v>60</v>
      </c>
      <c r="C251" s="219" t="s">
        <v>61</v>
      </c>
      <c r="D251" s="219" t="s">
        <v>62</v>
      </c>
      <c r="E251" s="193" t="s">
        <v>63</v>
      </c>
      <c r="F251" s="192"/>
      <c r="G251" s="191"/>
      <c r="H251" s="191"/>
      <c r="I251" s="191"/>
      <c r="J251" s="191"/>
      <c r="K251" s="191">
        <f t="shared" si="26"/>
        <v>0</v>
      </c>
      <c r="L251" s="191">
        <f t="shared" si="27"/>
        <v>0</v>
      </c>
      <c r="M251" s="191">
        <v>366.93</v>
      </c>
      <c r="N251" s="191">
        <f>+M251*1000/(35.8*10*13*60)*T251</f>
        <v>2.6280618822518265</v>
      </c>
      <c r="O251" s="191"/>
      <c r="P251" s="191">
        <f t="shared" si="29"/>
        <v>0</v>
      </c>
      <c r="Q251" s="191"/>
      <c r="R251" s="19">
        <f t="shared" si="30"/>
        <v>0</v>
      </c>
      <c r="S251" s="191">
        <f t="shared" si="31"/>
        <v>0</v>
      </c>
      <c r="T251" s="20">
        <v>2</v>
      </c>
      <c r="U251" s="20"/>
      <c r="V251" s="190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89">
        <v>300037</v>
      </c>
      <c r="B252" s="188" t="s">
        <v>60</v>
      </c>
      <c r="C252" s="219" t="s">
        <v>61</v>
      </c>
      <c r="D252" s="219" t="s">
        <v>62</v>
      </c>
      <c r="E252" s="193" t="s">
        <v>37</v>
      </c>
      <c r="F252" s="192"/>
      <c r="G252" s="191"/>
      <c r="H252" s="191"/>
      <c r="I252" s="191"/>
      <c r="J252" s="191"/>
      <c r="K252" s="191">
        <f t="shared" si="26"/>
        <v>0</v>
      </c>
      <c r="L252" s="191">
        <f t="shared" si="27"/>
        <v>0</v>
      </c>
      <c r="M252" s="191">
        <v>366.93</v>
      </c>
      <c r="N252" s="191">
        <f>+M252*1000/(35.8*10*13*60)*T252</f>
        <v>2.6280618822518265</v>
      </c>
      <c r="O252" s="191"/>
      <c r="P252" s="191">
        <f t="shared" si="29"/>
        <v>0</v>
      </c>
      <c r="Q252" s="191"/>
      <c r="R252" s="19">
        <f t="shared" si="30"/>
        <v>0</v>
      </c>
      <c r="S252" s="191">
        <f t="shared" si="31"/>
        <v>0</v>
      </c>
      <c r="T252" s="20">
        <v>2</v>
      </c>
      <c r="U252" s="20"/>
      <c r="V252" s="190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89">
        <v>300038</v>
      </c>
      <c r="B253" s="188" t="s">
        <v>60</v>
      </c>
      <c r="C253" s="219" t="s">
        <v>64</v>
      </c>
      <c r="D253" s="219" t="s">
        <v>65</v>
      </c>
      <c r="E253" s="193" t="s">
        <v>35</v>
      </c>
      <c r="F253" s="192"/>
      <c r="G253" s="191"/>
      <c r="H253" s="191"/>
      <c r="I253" s="191"/>
      <c r="J253" s="191"/>
      <c r="K253" s="191">
        <f t="shared" si="26"/>
        <v>0</v>
      </c>
      <c r="L253" s="191">
        <f t="shared" si="27"/>
        <v>0</v>
      </c>
      <c r="M253" s="191">
        <v>301.14</v>
      </c>
      <c r="N253" s="191">
        <f>+M253*1000/(35.8*10*13*60)*T253</f>
        <v>5.3921357971637294</v>
      </c>
      <c r="O253" s="191"/>
      <c r="P253" s="191">
        <f t="shared" si="29"/>
        <v>0</v>
      </c>
      <c r="Q253" s="191"/>
      <c r="R253" s="19">
        <f t="shared" si="30"/>
        <v>0</v>
      </c>
      <c r="S253" s="191">
        <f t="shared" si="31"/>
        <v>0</v>
      </c>
      <c r="T253" s="20">
        <v>5</v>
      </c>
      <c r="U253" s="20"/>
      <c r="V253" s="190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89">
        <v>300039</v>
      </c>
      <c r="B254" s="188" t="s">
        <v>60</v>
      </c>
      <c r="C254" s="219" t="s">
        <v>64</v>
      </c>
      <c r="D254" s="219" t="s">
        <v>65</v>
      </c>
      <c r="E254" s="193" t="s">
        <v>66</v>
      </c>
      <c r="F254" s="192"/>
      <c r="G254" s="191"/>
      <c r="H254" s="191"/>
      <c r="I254" s="191"/>
      <c r="J254" s="191"/>
      <c r="K254" s="191">
        <f t="shared" si="26"/>
        <v>0</v>
      </c>
      <c r="L254" s="191">
        <f t="shared" si="27"/>
        <v>0</v>
      </c>
      <c r="M254" s="191">
        <v>310.39999999999998</v>
      </c>
      <c r="N254" s="191">
        <f>+M254*1000/(35.8*10*13*60)*T254</f>
        <v>5.557942988110586</v>
      </c>
      <c r="O254" s="191"/>
      <c r="P254" s="191">
        <f t="shared" si="29"/>
        <v>0</v>
      </c>
      <c r="Q254" s="191"/>
      <c r="R254" s="19">
        <f t="shared" si="30"/>
        <v>0</v>
      </c>
      <c r="S254" s="191">
        <f t="shared" si="31"/>
        <v>0</v>
      </c>
      <c r="T254" s="20">
        <v>5</v>
      </c>
      <c r="U254" s="20"/>
      <c r="V254" s="190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89">
        <v>300416</v>
      </c>
      <c r="B255" s="188" t="s">
        <v>67</v>
      </c>
      <c r="C255" s="230" t="s">
        <v>68</v>
      </c>
      <c r="D255" s="231"/>
      <c r="E255" s="193" t="s">
        <v>69</v>
      </c>
      <c r="F255" s="192"/>
      <c r="G255" s="14"/>
      <c r="H255" s="14"/>
      <c r="I255" s="14"/>
      <c r="J255" s="14"/>
      <c r="K255" s="191">
        <f t="shared" si="26"/>
        <v>0</v>
      </c>
      <c r="L255" s="191">
        <f t="shared" si="27"/>
        <v>0</v>
      </c>
      <c r="M255" s="191">
        <v>385.6</v>
      </c>
      <c r="N255" s="191">
        <f>+M255*1000/(25.4*20*15*60)*T255</f>
        <v>2.5301837270341205</v>
      </c>
      <c r="O255" s="191"/>
      <c r="P255" s="191">
        <f t="shared" si="29"/>
        <v>0</v>
      </c>
      <c r="Q255" s="191"/>
      <c r="R255" s="19">
        <f t="shared" si="30"/>
        <v>0</v>
      </c>
      <c r="S255" s="191">
        <f t="shared" si="31"/>
        <v>0</v>
      </c>
      <c r="T255" s="20">
        <v>3</v>
      </c>
      <c r="U255" s="20"/>
      <c r="V255" s="190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89">
        <v>300417</v>
      </c>
      <c r="B256" s="188" t="s">
        <v>67</v>
      </c>
      <c r="C256" s="230" t="s">
        <v>68</v>
      </c>
      <c r="D256" s="231"/>
      <c r="E256" s="193" t="s">
        <v>70</v>
      </c>
      <c r="F256" s="192"/>
      <c r="G256" s="14"/>
      <c r="H256" s="14"/>
      <c r="I256" s="14"/>
      <c r="J256" s="14"/>
      <c r="K256" s="191">
        <f t="shared" si="26"/>
        <v>0</v>
      </c>
      <c r="L256" s="191">
        <f t="shared" si="27"/>
        <v>0</v>
      </c>
      <c r="M256" s="191">
        <v>385.6</v>
      </c>
      <c r="N256" s="191">
        <f>+M256*1000/(25.4*20*15*60)*T256</f>
        <v>2.5301837270341205</v>
      </c>
      <c r="O256" s="191"/>
      <c r="P256" s="191">
        <f t="shared" si="29"/>
        <v>0</v>
      </c>
      <c r="Q256" s="191"/>
      <c r="R256" s="19">
        <f t="shared" si="30"/>
        <v>0</v>
      </c>
      <c r="S256" s="191">
        <f t="shared" si="31"/>
        <v>0</v>
      </c>
      <c r="T256" s="20">
        <v>3</v>
      </c>
      <c r="U256" s="20"/>
      <c r="V256" s="190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89">
        <v>300418</v>
      </c>
      <c r="B257" s="188" t="s">
        <v>67</v>
      </c>
      <c r="C257" s="230" t="s">
        <v>68</v>
      </c>
      <c r="D257" s="231"/>
      <c r="E257" s="193" t="s">
        <v>71</v>
      </c>
      <c r="F257" s="192"/>
      <c r="G257" s="14"/>
      <c r="H257" s="14"/>
      <c r="I257" s="14"/>
      <c r="J257" s="14"/>
      <c r="K257" s="191">
        <f t="shared" si="26"/>
        <v>0</v>
      </c>
      <c r="L257" s="191">
        <f t="shared" si="27"/>
        <v>0</v>
      </c>
      <c r="M257" s="191">
        <v>385.6</v>
      </c>
      <c r="N257" s="191">
        <f>+M257*1000/(25.4*20*15*60)*T257</f>
        <v>2.5301837270341205</v>
      </c>
      <c r="O257" s="191"/>
      <c r="P257" s="191">
        <f t="shared" si="29"/>
        <v>0</v>
      </c>
      <c r="Q257" s="191"/>
      <c r="R257" s="19">
        <f t="shared" si="30"/>
        <v>0</v>
      </c>
      <c r="S257" s="191">
        <f t="shared" si="31"/>
        <v>0</v>
      </c>
      <c r="T257" s="20">
        <v>3</v>
      </c>
      <c r="U257" s="20"/>
      <c r="V257" s="190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89">
        <v>300419</v>
      </c>
      <c r="B258" s="188" t="s">
        <v>67</v>
      </c>
      <c r="C258" s="230" t="s">
        <v>68</v>
      </c>
      <c r="D258" s="231"/>
      <c r="E258" s="193" t="s">
        <v>72</v>
      </c>
      <c r="F258" s="192"/>
      <c r="G258" s="14"/>
      <c r="H258" s="14"/>
      <c r="I258" s="14"/>
      <c r="J258" s="14"/>
      <c r="K258" s="191">
        <f t="shared" si="26"/>
        <v>0</v>
      </c>
      <c r="L258" s="191">
        <f t="shared" si="27"/>
        <v>0</v>
      </c>
      <c r="M258" s="191">
        <v>385.6</v>
      </c>
      <c r="N258" s="191">
        <f>+M258*1000/(25.4*20*15*60)*T258</f>
        <v>2.5301837270341205</v>
      </c>
      <c r="O258" s="191"/>
      <c r="P258" s="191">
        <f t="shared" si="29"/>
        <v>0</v>
      </c>
      <c r="Q258" s="191"/>
      <c r="R258" s="19">
        <f t="shared" si="30"/>
        <v>0</v>
      </c>
      <c r="S258" s="191">
        <f t="shared" si="31"/>
        <v>0</v>
      </c>
      <c r="T258" s="20">
        <v>3</v>
      </c>
      <c r="U258" s="20"/>
      <c r="V258" s="190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89">
        <v>300260</v>
      </c>
      <c r="B259" s="188" t="s">
        <v>67</v>
      </c>
      <c r="C259" s="219" t="s">
        <v>73</v>
      </c>
      <c r="D259" s="219"/>
      <c r="E259" s="193" t="s">
        <v>74</v>
      </c>
      <c r="F259" s="192"/>
      <c r="G259" s="191"/>
      <c r="H259" s="191"/>
      <c r="I259" s="191"/>
      <c r="J259" s="191"/>
      <c r="K259" s="191">
        <f t="shared" si="26"/>
        <v>0</v>
      </c>
      <c r="L259" s="191">
        <f t="shared" si="27"/>
        <v>0</v>
      </c>
      <c r="M259" s="191">
        <v>434.33</v>
      </c>
      <c r="N259" s="191">
        <f>+M259*1000/(42.7*10*15*60)*T259</f>
        <v>2.2603695029924538</v>
      </c>
      <c r="O259" s="191"/>
      <c r="P259" s="191">
        <f t="shared" si="29"/>
        <v>0</v>
      </c>
      <c r="Q259" s="191"/>
      <c r="R259" s="19">
        <f t="shared" si="30"/>
        <v>0</v>
      </c>
      <c r="S259" s="191">
        <f t="shared" si="31"/>
        <v>0</v>
      </c>
      <c r="T259" s="20">
        <v>2</v>
      </c>
      <c r="U259" s="20"/>
      <c r="V259" s="190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89">
        <v>300261</v>
      </c>
      <c r="B260" s="188" t="s">
        <v>67</v>
      </c>
      <c r="C260" s="219" t="s">
        <v>73</v>
      </c>
      <c r="D260" s="219"/>
      <c r="E260" s="193" t="s">
        <v>41</v>
      </c>
      <c r="F260" s="192"/>
      <c r="G260" s="191"/>
      <c r="H260" s="191"/>
      <c r="I260" s="191"/>
      <c r="J260" s="191"/>
      <c r="K260" s="191">
        <f t="shared" si="26"/>
        <v>0</v>
      </c>
      <c r="L260" s="191">
        <f t="shared" si="27"/>
        <v>0</v>
      </c>
      <c r="M260" s="191">
        <v>434.33</v>
      </c>
      <c r="N260" s="191">
        <f>+M260*1000/(42.7*10*15*60)*T260</f>
        <v>2.2603695029924538</v>
      </c>
      <c r="O260" s="191"/>
      <c r="P260" s="191">
        <f t="shared" si="29"/>
        <v>0</v>
      </c>
      <c r="Q260" s="191"/>
      <c r="R260" s="19">
        <f t="shared" si="30"/>
        <v>0</v>
      </c>
      <c r="S260" s="191">
        <f t="shared" si="31"/>
        <v>0</v>
      </c>
      <c r="T260" s="20">
        <v>2</v>
      </c>
      <c r="U260" s="20"/>
      <c r="V260" s="190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89">
        <v>300262</v>
      </c>
      <c r="B261" s="188" t="s">
        <v>67</v>
      </c>
      <c r="C261" s="219" t="s">
        <v>73</v>
      </c>
      <c r="D261" s="219"/>
      <c r="E261" s="193" t="s">
        <v>39</v>
      </c>
      <c r="F261" s="192"/>
      <c r="G261" s="191"/>
      <c r="H261" s="191"/>
      <c r="I261" s="191"/>
      <c r="J261" s="191"/>
      <c r="K261" s="191">
        <f t="shared" si="26"/>
        <v>0</v>
      </c>
      <c r="L261" s="191">
        <f t="shared" si="27"/>
        <v>0</v>
      </c>
      <c r="M261" s="191">
        <v>434.33</v>
      </c>
      <c r="N261" s="191">
        <f>+M261*1000/(42.7*10*15*60)*T261</f>
        <v>2.2603695029924538</v>
      </c>
      <c r="O261" s="191"/>
      <c r="P261" s="191">
        <f t="shared" si="29"/>
        <v>0</v>
      </c>
      <c r="Q261" s="191"/>
      <c r="R261" s="19">
        <f t="shared" si="30"/>
        <v>0</v>
      </c>
      <c r="S261" s="191">
        <f t="shared" si="31"/>
        <v>0</v>
      </c>
      <c r="T261" s="20">
        <v>2</v>
      </c>
      <c r="U261" s="20"/>
      <c r="V261" s="190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89">
        <v>300263</v>
      </c>
      <c r="B262" s="188" t="s">
        <v>67</v>
      </c>
      <c r="C262" s="219" t="s">
        <v>73</v>
      </c>
      <c r="D262" s="219"/>
      <c r="E262" s="193" t="s">
        <v>54</v>
      </c>
      <c r="F262" s="192"/>
      <c r="G262" s="191"/>
      <c r="H262" s="191"/>
      <c r="I262" s="191"/>
      <c r="J262" s="191"/>
      <c r="K262" s="191">
        <f t="shared" si="26"/>
        <v>0</v>
      </c>
      <c r="L262" s="191">
        <f t="shared" si="27"/>
        <v>0</v>
      </c>
      <c r="M262" s="191">
        <v>434.33</v>
      </c>
      <c r="N262" s="191">
        <f>+M262*1000/(42.7*10*15*60)*T262</f>
        <v>2.2603695029924538</v>
      </c>
      <c r="O262" s="191"/>
      <c r="P262" s="191">
        <f t="shared" si="29"/>
        <v>0</v>
      </c>
      <c r="Q262" s="191"/>
      <c r="R262" s="19">
        <f t="shared" si="30"/>
        <v>0</v>
      </c>
      <c r="S262" s="191">
        <f t="shared" si="31"/>
        <v>0</v>
      </c>
      <c r="T262" s="20">
        <v>2</v>
      </c>
      <c r="U262" s="20"/>
      <c r="V262" s="190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89">
        <v>300051</v>
      </c>
      <c r="B263" s="188" t="s">
        <v>67</v>
      </c>
      <c r="C263" s="219" t="s">
        <v>75</v>
      </c>
      <c r="D263" s="219" t="s">
        <v>76</v>
      </c>
      <c r="E263" s="193" t="s">
        <v>40</v>
      </c>
      <c r="F263" s="192"/>
      <c r="G263" s="191"/>
      <c r="H263" s="191"/>
      <c r="I263" s="191"/>
      <c r="J263" s="191"/>
      <c r="K263" s="191">
        <f t="shared" si="26"/>
        <v>0</v>
      </c>
      <c r="L263" s="191">
        <f t="shared" si="27"/>
        <v>0</v>
      </c>
      <c r="M263" s="191">
        <v>545.9</v>
      </c>
      <c r="N263" s="191">
        <f>+M263*1000/(41.5*10*16*60)*T263</f>
        <v>2.7404618473895583</v>
      </c>
      <c r="O263" s="191"/>
      <c r="P263" s="191">
        <f t="shared" si="29"/>
        <v>0</v>
      </c>
      <c r="Q263" s="191"/>
      <c r="R263" s="19">
        <f t="shared" si="30"/>
        <v>0</v>
      </c>
      <c r="S263" s="191">
        <f t="shared" si="31"/>
        <v>0</v>
      </c>
      <c r="T263" s="22">
        <v>2</v>
      </c>
      <c r="U263" s="20"/>
      <c r="V263" s="190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89">
        <v>300052</v>
      </c>
      <c r="B264" s="188" t="s">
        <v>67</v>
      </c>
      <c r="C264" s="219" t="s">
        <v>75</v>
      </c>
      <c r="D264" s="219" t="s">
        <v>76</v>
      </c>
      <c r="E264" s="193" t="s">
        <v>39</v>
      </c>
      <c r="F264" s="192"/>
      <c r="G264" s="191"/>
      <c r="H264" s="191"/>
      <c r="I264" s="191"/>
      <c r="J264" s="191"/>
      <c r="K264" s="191">
        <f t="shared" si="26"/>
        <v>0</v>
      </c>
      <c r="L264" s="191">
        <f t="shared" si="27"/>
        <v>0</v>
      </c>
      <c r="M264" s="191">
        <v>545.9</v>
      </c>
      <c r="N264" s="191">
        <f>+M264*1000/(41.5*10*16*60)*T264</f>
        <v>2.7404618473895583</v>
      </c>
      <c r="O264" s="191"/>
      <c r="P264" s="191">
        <f t="shared" si="29"/>
        <v>0</v>
      </c>
      <c r="Q264" s="191"/>
      <c r="R264" s="19">
        <f t="shared" si="30"/>
        <v>0</v>
      </c>
      <c r="S264" s="191">
        <f t="shared" si="31"/>
        <v>0</v>
      </c>
      <c r="T264" s="20">
        <v>2</v>
      </c>
      <c r="U264" s="20"/>
      <c r="V264" s="190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89">
        <v>300054</v>
      </c>
      <c r="B265" s="188" t="s">
        <v>67</v>
      </c>
      <c r="C265" s="219" t="s">
        <v>75</v>
      </c>
      <c r="D265" s="219" t="s">
        <v>76</v>
      </c>
      <c r="E265" s="193" t="s">
        <v>38</v>
      </c>
      <c r="F265" s="192"/>
      <c r="G265" s="191"/>
      <c r="H265" s="191"/>
      <c r="I265" s="191"/>
      <c r="J265" s="191"/>
      <c r="K265" s="191">
        <f t="shared" si="26"/>
        <v>0</v>
      </c>
      <c r="L265" s="191">
        <f t="shared" si="27"/>
        <v>0</v>
      </c>
      <c r="M265" s="191">
        <v>545.9</v>
      </c>
      <c r="N265" s="191">
        <f>+M265*1000/(41.5*10*16*60)*T265</f>
        <v>2.7404618473895583</v>
      </c>
      <c r="O265" s="191"/>
      <c r="P265" s="191">
        <f t="shared" si="29"/>
        <v>0</v>
      </c>
      <c r="Q265" s="191"/>
      <c r="R265" s="19">
        <f t="shared" si="30"/>
        <v>0</v>
      </c>
      <c r="S265" s="191">
        <f t="shared" si="31"/>
        <v>0</v>
      </c>
      <c r="T265" s="20">
        <v>2</v>
      </c>
      <c r="U265" s="20"/>
      <c r="V265" s="190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189">
        <v>300436</v>
      </c>
      <c r="B266" s="188" t="s">
        <v>67</v>
      </c>
      <c r="C266" s="219" t="s">
        <v>75</v>
      </c>
      <c r="D266" s="219" t="s">
        <v>76</v>
      </c>
      <c r="E266" s="193" t="s">
        <v>301</v>
      </c>
      <c r="F266" s="192"/>
      <c r="G266" s="110"/>
      <c r="H266" s="110"/>
      <c r="I266" s="110"/>
      <c r="J266" s="110"/>
      <c r="K266" s="191">
        <f t="shared" si="26"/>
        <v>0</v>
      </c>
      <c r="L266" s="191">
        <f t="shared" si="27"/>
        <v>0</v>
      </c>
      <c r="M266" s="191">
        <v>545.9</v>
      </c>
      <c r="N266" s="191">
        <f>+M266*1000/(41.5*10*16*60)*T266</f>
        <v>2.7404618473895583</v>
      </c>
      <c r="O266" s="191"/>
      <c r="P266" s="191">
        <f t="shared" si="29"/>
        <v>0</v>
      </c>
      <c r="Q266" s="191"/>
      <c r="R266" s="19">
        <f t="shared" si="30"/>
        <v>0</v>
      </c>
      <c r="S266" s="191">
        <f t="shared" si="31"/>
        <v>0</v>
      </c>
      <c r="T266" s="20">
        <v>2</v>
      </c>
      <c r="U266" s="20"/>
      <c r="V266" s="190"/>
      <c r="W266" s="20"/>
      <c r="X266" s="20"/>
      <c r="Y266" s="20"/>
      <c r="Z266" s="20"/>
      <c r="AA266" s="20"/>
      <c r="AB266" s="20"/>
      <c r="AC266" s="20"/>
    </row>
    <row r="267" spans="1:29" s="2" customFormat="1" ht="21.95" customHeight="1">
      <c r="A267" s="189">
        <v>300050</v>
      </c>
      <c r="B267" s="188">
        <v>4503</v>
      </c>
      <c r="C267" s="219" t="s">
        <v>77</v>
      </c>
      <c r="D267" s="219" t="s">
        <v>78</v>
      </c>
      <c r="E267" s="193" t="s">
        <v>79</v>
      </c>
      <c r="F267" s="192">
        <v>2082</v>
      </c>
      <c r="G267" s="191">
        <v>5</v>
      </c>
      <c r="H267" s="191"/>
      <c r="I267" s="191">
        <f>5-J267/350</f>
        <v>4.7142857142857144</v>
      </c>
      <c r="J267" s="191">
        <v>100</v>
      </c>
      <c r="K267" s="191">
        <f t="shared" si="26"/>
        <v>2137.5</v>
      </c>
      <c r="L267" s="191">
        <f t="shared" si="27"/>
        <v>2015.3571428571429</v>
      </c>
      <c r="M267" s="191">
        <v>427.5</v>
      </c>
      <c r="N267" s="191">
        <f>+M267*1000/(45*10*14*60)*T267</f>
        <v>5.6547619047619051</v>
      </c>
      <c r="O267" s="191">
        <v>0.5</v>
      </c>
      <c r="P267" s="191">
        <f t="shared" si="29"/>
        <v>29.158163265306126</v>
      </c>
      <c r="Q267" s="191">
        <v>6.5</v>
      </c>
      <c r="R267" s="19">
        <f t="shared" si="30"/>
        <v>32.5</v>
      </c>
      <c r="S267" s="191">
        <f t="shared" si="31"/>
        <v>3.3418367346938744</v>
      </c>
      <c r="T267" s="20">
        <v>5</v>
      </c>
      <c r="U267" s="20">
        <v>5</v>
      </c>
      <c r="V267" s="190">
        <f t="array" ref="V267">IF(ISERROR(L267/K267),"",L267/K267)</f>
        <v>0.94285714285714284</v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89">
        <v>300045</v>
      </c>
      <c r="B268" s="188" t="s">
        <v>67</v>
      </c>
      <c r="C268" s="219" t="s">
        <v>77</v>
      </c>
      <c r="D268" s="219" t="s">
        <v>78</v>
      </c>
      <c r="E268" s="193" t="s">
        <v>35</v>
      </c>
      <c r="F268" s="192"/>
      <c r="G268" s="191"/>
      <c r="H268" s="191"/>
      <c r="I268" s="191"/>
      <c r="J268" s="191"/>
      <c r="K268" s="191">
        <f t="shared" si="26"/>
        <v>0</v>
      </c>
      <c r="L268" s="191">
        <f t="shared" si="27"/>
        <v>0</v>
      </c>
      <c r="M268" s="191">
        <v>406.6</v>
      </c>
      <c r="N268" s="191">
        <f>+M268*1000/(45*10*13*60)*T268</f>
        <v>5.7920227920227916</v>
      </c>
      <c r="O268" s="191"/>
      <c r="P268" s="191">
        <f t="shared" si="29"/>
        <v>0</v>
      </c>
      <c r="Q268" s="191"/>
      <c r="R268" s="19">
        <f t="shared" si="30"/>
        <v>0</v>
      </c>
      <c r="S268" s="191">
        <f t="shared" si="31"/>
        <v>0</v>
      </c>
      <c r="T268" s="20">
        <v>5</v>
      </c>
      <c r="U268" s="20"/>
      <c r="V268" s="190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89">
        <v>300422</v>
      </c>
      <c r="B269" s="188" t="s">
        <v>67</v>
      </c>
      <c r="C269" s="230" t="s">
        <v>293</v>
      </c>
      <c r="D269" s="231"/>
      <c r="E269" s="193" t="s">
        <v>54</v>
      </c>
      <c r="F269" s="192"/>
      <c r="G269" s="110"/>
      <c r="H269" s="110"/>
      <c r="I269" s="110"/>
      <c r="J269" s="110"/>
      <c r="K269" s="191">
        <f t="shared" si="26"/>
        <v>0</v>
      </c>
      <c r="L269" s="191">
        <f t="shared" si="27"/>
        <v>0</v>
      </c>
      <c r="M269" s="191">
        <v>429.8</v>
      </c>
      <c r="N269" s="191">
        <f>+M269*1000/(45*10*13*60)*T269</f>
        <v>3.6735042735042738</v>
      </c>
      <c r="O269" s="191"/>
      <c r="P269" s="191">
        <f t="shared" si="29"/>
        <v>0</v>
      </c>
      <c r="Q269" s="191"/>
      <c r="R269" s="19">
        <f t="shared" si="30"/>
        <v>0</v>
      </c>
      <c r="S269" s="191">
        <f t="shared" si="31"/>
        <v>0</v>
      </c>
      <c r="T269" s="20">
        <v>3</v>
      </c>
      <c r="U269" s="20"/>
      <c r="V269" s="190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89">
        <v>300421</v>
      </c>
      <c r="B270" s="188" t="s">
        <v>67</v>
      </c>
      <c r="C270" s="230" t="s">
        <v>293</v>
      </c>
      <c r="D270" s="231"/>
      <c r="E270" s="193" t="s">
        <v>80</v>
      </c>
      <c r="F270" s="192"/>
      <c r="G270" s="110"/>
      <c r="H270" s="110"/>
      <c r="I270" s="110"/>
      <c r="J270" s="110"/>
      <c r="K270" s="191">
        <f t="shared" si="26"/>
        <v>0</v>
      </c>
      <c r="L270" s="191">
        <f t="shared" si="27"/>
        <v>0</v>
      </c>
      <c r="M270" s="191">
        <v>429.8</v>
      </c>
      <c r="N270" s="191">
        <f>+M270*1000/(45*10*13*60)*T270</f>
        <v>3.6735042735042738</v>
      </c>
      <c r="O270" s="191"/>
      <c r="P270" s="191">
        <f t="shared" si="29"/>
        <v>0</v>
      </c>
      <c r="Q270" s="191"/>
      <c r="R270" s="19">
        <f t="shared" si="30"/>
        <v>0</v>
      </c>
      <c r="S270" s="191">
        <f t="shared" si="31"/>
        <v>0</v>
      </c>
      <c r="T270" s="20">
        <v>3</v>
      </c>
      <c r="U270" s="20"/>
      <c r="V270" s="190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89">
        <v>300149</v>
      </c>
      <c r="B271" s="188">
        <v>4503</v>
      </c>
      <c r="C271" s="219" t="s">
        <v>81</v>
      </c>
      <c r="D271" s="219" t="s">
        <v>82</v>
      </c>
      <c r="E271" s="193" t="s">
        <v>80</v>
      </c>
      <c r="F271" s="192">
        <v>2046</v>
      </c>
      <c r="G271" s="191">
        <v>3</v>
      </c>
      <c r="H271" s="191"/>
      <c r="I271" s="191">
        <v>3</v>
      </c>
      <c r="J271" s="191"/>
      <c r="K271" s="191">
        <f t="shared" si="26"/>
        <v>1767.3000000000002</v>
      </c>
      <c r="L271" s="191">
        <f t="shared" si="27"/>
        <v>1767.3000000000002</v>
      </c>
      <c r="M271" s="191">
        <v>589.1</v>
      </c>
      <c r="N271" s="191">
        <f>+M271*1000/(67.1*10*13*60)*T271</f>
        <v>3.3767052619511633</v>
      </c>
      <c r="O271" s="191"/>
      <c r="P271" s="191">
        <f t="shared" si="29"/>
        <v>10.130115785853491</v>
      </c>
      <c r="Q271" s="191">
        <v>5</v>
      </c>
      <c r="R271" s="19">
        <f t="shared" si="30"/>
        <v>25</v>
      </c>
      <c r="S271" s="191">
        <f t="shared" si="31"/>
        <v>14.869884214146509</v>
      </c>
      <c r="T271" s="20">
        <v>3</v>
      </c>
      <c r="U271" s="20">
        <v>5</v>
      </c>
      <c r="V271" s="190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89">
        <v>300150</v>
      </c>
      <c r="B272" s="188" t="s">
        <v>67</v>
      </c>
      <c r="C272" s="219" t="s">
        <v>81</v>
      </c>
      <c r="D272" s="219" t="s">
        <v>82</v>
      </c>
      <c r="E272" s="193" t="s">
        <v>54</v>
      </c>
      <c r="F272" s="192"/>
      <c r="G272" s="191"/>
      <c r="H272" s="191"/>
      <c r="I272" s="191"/>
      <c r="J272" s="191"/>
      <c r="K272" s="191">
        <f t="shared" si="26"/>
        <v>0</v>
      </c>
      <c r="L272" s="191">
        <f t="shared" si="27"/>
        <v>0</v>
      </c>
      <c r="M272" s="191">
        <v>589.1</v>
      </c>
      <c r="N272" s="191">
        <f>+M272*1000/(67.1*10*13*60)*T272</f>
        <v>3.3767052619511633</v>
      </c>
      <c r="O272" s="191"/>
      <c r="P272" s="191">
        <f t="shared" si="29"/>
        <v>0</v>
      </c>
      <c r="Q272" s="191"/>
      <c r="R272" s="19">
        <f t="shared" si="30"/>
        <v>0</v>
      </c>
      <c r="S272" s="191">
        <f t="shared" si="31"/>
        <v>0</v>
      </c>
      <c r="T272" s="20">
        <v>3</v>
      </c>
      <c r="U272" s="20"/>
      <c r="V272" s="190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89">
        <v>300330</v>
      </c>
      <c r="B273" s="188" t="s">
        <v>67</v>
      </c>
      <c r="C273" s="230" t="s">
        <v>83</v>
      </c>
      <c r="D273" s="231"/>
      <c r="E273" s="193" t="s">
        <v>84</v>
      </c>
      <c r="F273" s="192"/>
      <c r="G273" s="191"/>
      <c r="H273" s="191"/>
      <c r="I273" s="191"/>
      <c r="J273" s="191"/>
      <c r="K273" s="191">
        <f t="shared" si="26"/>
        <v>0</v>
      </c>
      <c r="L273" s="191">
        <f t="shared" si="27"/>
        <v>0</v>
      </c>
      <c r="M273" s="191">
        <v>416.3</v>
      </c>
      <c r="N273" s="191">
        <f t="shared" ref="N273:N278" si="32">+M273*1000/(45*10*18*60)*T273</f>
        <v>1.7131687242798355</v>
      </c>
      <c r="O273" s="191"/>
      <c r="P273" s="191">
        <f t="shared" si="29"/>
        <v>0</v>
      </c>
      <c r="Q273" s="191"/>
      <c r="R273" s="19">
        <f t="shared" si="30"/>
        <v>0</v>
      </c>
      <c r="S273" s="191">
        <f t="shared" si="31"/>
        <v>0</v>
      </c>
      <c r="T273" s="20">
        <v>2</v>
      </c>
      <c r="U273" s="20"/>
      <c r="V273" s="190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89">
        <v>300331</v>
      </c>
      <c r="B274" s="188" t="s">
        <v>67</v>
      </c>
      <c r="C274" s="230" t="s">
        <v>83</v>
      </c>
      <c r="D274" s="231"/>
      <c r="E274" s="193" t="s">
        <v>49</v>
      </c>
      <c r="F274" s="192"/>
      <c r="G274" s="191"/>
      <c r="H274" s="191"/>
      <c r="I274" s="191"/>
      <c r="J274" s="191"/>
      <c r="K274" s="191">
        <f t="shared" si="26"/>
        <v>0</v>
      </c>
      <c r="L274" s="191">
        <f t="shared" si="27"/>
        <v>0</v>
      </c>
      <c r="M274" s="191">
        <v>416.3</v>
      </c>
      <c r="N274" s="191">
        <f t="shared" si="32"/>
        <v>1.7131687242798355</v>
      </c>
      <c r="O274" s="191"/>
      <c r="P274" s="191">
        <f t="shared" si="29"/>
        <v>0</v>
      </c>
      <c r="Q274" s="191"/>
      <c r="R274" s="19">
        <f t="shared" si="30"/>
        <v>0</v>
      </c>
      <c r="S274" s="191">
        <f t="shared" si="31"/>
        <v>0</v>
      </c>
      <c r="T274" s="20">
        <v>2</v>
      </c>
      <c r="U274" s="20"/>
      <c r="V274" s="190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89">
        <v>300332</v>
      </c>
      <c r="B275" s="188" t="s">
        <v>67</v>
      </c>
      <c r="C275" s="230" t="s">
        <v>83</v>
      </c>
      <c r="D275" s="231"/>
      <c r="E275" s="193" t="s">
        <v>85</v>
      </c>
      <c r="F275" s="192"/>
      <c r="G275" s="191"/>
      <c r="H275" s="191"/>
      <c r="I275" s="191"/>
      <c r="J275" s="191"/>
      <c r="K275" s="191">
        <f t="shared" si="26"/>
        <v>0</v>
      </c>
      <c r="L275" s="191">
        <f t="shared" si="27"/>
        <v>0</v>
      </c>
      <c r="M275" s="191">
        <v>416.3</v>
      </c>
      <c r="N275" s="191">
        <f t="shared" si="32"/>
        <v>1.7131687242798355</v>
      </c>
      <c r="O275" s="191"/>
      <c r="P275" s="191">
        <f t="shared" si="29"/>
        <v>0</v>
      </c>
      <c r="Q275" s="191"/>
      <c r="R275" s="19">
        <f t="shared" si="30"/>
        <v>0</v>
      </c>
      <c r="S275" s="191">
        <f t="shared" si="31"/>
        <v>0</v>
      </c>
      <c r="T275" s="20">
        <v>2</v>
      </c>
      <c r="U275" s="20"/>
      <c r="V275" s="190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89">
        <v>300333</v>
      </c>
      <c r="B276" s="188" t="s">
        <v>67</v>
      </c>
      <c r="C276" s="230" t="s">
        <v>86</v>
      </c>
      <c r="D276" s="231"/>
      <c r="E276" s="193" t="s">
        <v>84</v>
      </c>
      <c r="F276" s="192"/>
      <c r="G276" s="191"/>
      <c r="H276" s="191"/>
      <c r="I276" s="191"/>
      <c r="J276" s="191"/>
      <c r="K276" s="191">
        <f t="shared" si="26"/>
        <v>0</v>
      </c>
      <c r="L276" s="191">
        <f t="shared" si="27"/>
        <v>0</v>
      </c>
      <c r="M276" s="191">
        <v>416.3</v>
      </c>
      <c r="N276" s="191">
        <f t="shared" si="32"/>
        <v>1.7131687242798355</v>
      </c>
      <c r="O276" s="191"/>
      <c r="P276" s="191">
        <f t="shared" si="29"/>
        <v>0</v>
      </c>
      <c r="Q276" s="191"/>
      <c r="R276" s="19">
        <f t="shared" si="30"/>
        <v>0</v>
      </c>
      <c r="S276" s="191">
        <f t="shared" si="31"/>
        <v>0</v>
      </c>
      <c r="T276" s="20">
        <v>2</v>
      </c>
      <c r="U276" s="20"/>
      <c r="V276" s="190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89">
        <v>300334</v>
      </c>
      <c r="B277" s="188" t="s">
        <v>67</v>
      </c>
      <c r="C277" s="230" t="s">
        <v>86</v>
      </c>
      <c r="D277" s="231"/>
      <c r="E277" s="193" t="s">
        <v>85</v>
      </c>
      <c r="F277" s="192"/>
      <c r="G277" s="191"/>
      <c r="H277" s="191"/>
      <c r="I277" s="191"/>
      <c r="J277" s="191"/>
      <c r="K277" s="191">
        <f t="shared" si="26"/>
        <v>0</v>
      </c>
      <c r="L277" s="191">
        <f t="shared" si="27"/>
        <v>0</v>
      </c>
      <c r="M277" s="191">
        <v>416.3</v>
      </c>
      <c r="N277" s="191">
        <f t="shared" si="32"/>
        <v>1.7131687242798355</v>
      </c>
      <c r="O277" s="191"/>
      <c r="P277" s="191">
        <f t="shared" si="29"/>
        <v>0</v>
      </c>
      <c r="Q277" s="191"/>
      <c r="R277" s="19">
        <f t="shared" si="30"/>
        <v>0</v>
      </c>
      <c r="S277" s="191">
        <f t="shared" si="31"/>
        <v>0</v>
      </c>
      <c r="T277" s="20">
        <v>2</v>
      </c>
      <c r="U277" s="20"/>
      <c r="V277" s="190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89">
        <v>300335</v>
      </c>
      <c r="B278" s="188" t="s">
        <v>67</v>
      </c>
      <c r="C278" s="230" t="s">
        <v>86</v>
      </c>
      <c r="D278" s="231"/>
      <c r="E278" s="193" t="s">
        <v>49</v>
      </c>
      <c r="F278" s="192"/>
      <c r="G278" s="191"/>
      <c r="H278" s="191"/>
      <c r="I278" s="191"/>
      <c r="J278" s="191"/>
      <c r="K278" s="191">
        <f t="shared" si="26"/>
        <v>0</v>
      </c>
      <c r="L278" s="191">
        <f t="shared" si="27"/>
        <v>0</v>
      </c>
      <c r="M278" s="191">
        <v>416.3</v>
      </c>
      <c r="N278" s="191">
        <f t="shared" si="32"/>
        <v>1.7131687242798355</v>
      </c>
      <c r="O278" s="191"/>
      <c r="P278" s="191">
        <f t="shared" si="29"/>
        <v>0</v>
      </c>
      <c r="Q278" s="191"/>
      <c r="R278" s="19">
        <f t="shared" si="30"/>
        <v>0</v>
      </c>
      <c r="S278" s="191">
        <f t="shared" si="31"/>
        <v>0</v>
      </c>
      <c r="T278" s="20">
        <v>2</v>
      </c>
      <c r="U278" s="20"/>
      <c r="V278" s="190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89">
        <v>300291</v>
      </c>
      <c r="B279" s="188" t="s">
        <v>87</v>
      </c>
      <c r="C279" s="219" t="s">
        <v>88</v>
      </c>
      <c r="D279" s="219" t="s">
        <v>89</v>
      </c>
      <c r="E279" s="193" t="s">
        <v>42</v>
      </c>
      <c r="F279" s="192"/>
      <c r="G279" s="191"/>
      <c r="H279" s="191"/>
      <c r="I279" s="191"/>
      <c r="J279" s="191"/>
      <c r="K279" s="191">
        <f t="shared" si="26"/>
        <v>0</v>
      </c>
      <c r="L279" s="191">
        <f t="shared" si="27"/>
        <v>0</v>
      </c>
      <c r="M279" s="191">
        <v>517.79999999999995</v>
      </c>
      <c r="N279" s="191">
        <f>+M279*1000/(66.6*1*110*60)*T279</f>
        <v>4.7119847119847122</v>
      </c>
      <c r="O279" s="191"/>
      <c r="P279" s="191">
        <f t="shared" si="29"/>
        <v>0</v>
      </c>
      <c r="Q279" s="191"/>
      <c r="R279" s="19">
        <f t="shared" si="30"/>
        <v>0</v>
      </c>
      <c r="S279" s="191">
        <f t="shared" si="31"/>
        <v>0</v>
      </c>
      <c r="T279" s="20">
        <v>4</v>
      </c>
      <c r="U279" s="20"/>
      <c r="V279" s="190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89">
        <v>300292</v>
      </c>
      <c r="B280" s="188" t="s">
        <v>87</v>
      </c>
      <c r="C280" s="219" t="s">
        <v>88</v>
      </c>
      <c r="D280" s="219" t="s">
        <v>89</v>
      </c>
      <c r="E280" s="193" t="s">
        <v>41</v>
      </c>
      <c r="F280" s="192"/>
      <c r="G280" s="191"/>
      <c r="H280" s="191"/>
      <c r="I280" s="191"/>
      <c r="J280" s="191"/>
      <c r="K280" s="191">
        <f t="shared" si="26"/>
        <v>0</v>
      </c>
      <c r="L280" s="191">
        <f t="shared" si="27"/>
        <v>0</v>
      </c>
      <c r="M280" s="191">
        <v>517.79999999999995</v>
      </c>
      <c r="N280" s="191">
        <f>+M280*1000/(66.8*1*110*60)*T280</f>
        <v>4.6978769733260748</v>
      </c>
      <c r="O280" s="191"/>
      <c r="P280" s="191">
        <f t="shared" si="29"/>
        <v>0</v>
      </c>
      <c r="Q280" s="191"/>
      <c r="R280" s="19">
        <f t="shared" si="30"/>
        <v>0</v>
      </c>
      <c r="S280" s="191">
        <f t="shared" si="31"/>
        <v>0</v>
      </c>
      <c r="T280" s="20">
        <v>4</v>
      </c>
      <c r="U280" s="20"/>
      <c r="V280" s="190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89">
        <v>300293</v>
      </c>
      <c r="B281" s="188" t="s">
        <v>87</v>
      </c>
      <c r="C281" s="219" t="s">
        <v>88</v>
      </c>
      <c r="D281" s="219" t="s">
        <v>89</v>
      </c>
      <c r="E281" s="193" t="s">
        <v>57</v>
      </c>
      <c r="F281" s="192"/>
      <c r="G281" s="191"/>
      <c r="H281" s="191"/>
      <c r="I281" s="191"/>
      <c r="J281" s="191"/>
      <c r="K281" s="191">
        <f t="shared" si="26"/>
        <v>0</v>
      </c>
      <c r="L281" s="191">
        <f t="shared" si="27"/>
        <v>0</v>
      </c>
      <c r="M281" s="191">
        <v>517.9</v>
      </c>
      <c r="N281" s="191">
        <f>+M281*1000/(67.1*1*110*60)*T281</f>
        <v>4.6777762724111467</v>
      </c>
      <c r="O281" s="191"/>
      <c r="P281" s="191">
        <f t="shared" si="29"/>
        <v>0</v>
      </c>
      <c r="Q281" s="191"/>
      <c r="R281" s="19">
        <f t="shared" si="30"/>
        <v>0</v>
      </c>
      <c r="S281" s="191">
        <f t="shared" si="31"/>
        <v>0</v>
      </c>
      <c r="T281" s="20">
        <v>4</v>
      </c>
      <c r="U281" s="20"/>
      <c r="V281" s="190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89">
        <v>300290</v>
      </c>
      <c r="B282" s="188" t="s">
        <v>87</v>
      </c>
      <c r="C282" s="219" t="s">
        <v>88</v>
      </c>
      <c r="D282" s="219" t="s">
        <v>89</v>
      </c>
      <c r="E282" s="193" t="s">
        <v>35</v>
      </c>
      <c r="F282" s="192"/>
      <c r="G282" s="191"/>
      <c r="H282" s="191"/>
      <c r="I282" s="191"/>
      <c r="J282" s="191"/>
      <c r="K282" s="191">
        <f t="shared" si="26"/>
        <v>0</v>
      </c>
      <c r="L282" s="191">
        <f t="shared" si="27"/>
        <v>0</v>
      </c>
      <c r="M282" s="191">
        <v>520</v>
      </c>
      <c r="N282" s="191">
        <f>+M282*1000/(67.5*1*110*60)*T282</f>
        <v>4.6689113355780023</v>
      </c>
      <c r="O282" s="191"/>
      <c r="P282" s="191">
        <f t="shared" si="29"/>
        <v>0</v>
      </c>
      <c r="Q282" s="191"/>
      <c r="R282" s="19">
        <f t="shared" si="30"/>
        <v>0</v>
      </c>
      <c r="S282" s="191">
        <f t="shared" si="31"/>
        <v>0</v>
      </c>
      <c r="T282" s="20">
        <v>4</v>
      </c>
      <c r="U282" s="20"/>
      <c r="V282" s="190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89">
        <v>300389</v>
      </c>
      <c r="B283" s="188" t="s">
        <v>87</v>
      </c>
      <c r="C283" s="219" t="s">
        <v>308</v>
      </c>
      <c r="D283" s="219" t="s">
        <v>89</v>
      </c>
      <c r="E283" s="193" t="s">
        <v>35</v>
      </c>
      <c r="F283" s="192"/>
      <c r="G283" s="191"/>
      <c r="H283" s="191"/>
      <c r="I283" s="191"/>
      <c r="J283" s="191"/>
      <c r="K283" s="191">
        <f t="shared" si="26"/>
        <v>0</v>
      </c>
      <c r="L283" s="191">
        <f t="shared" si="27"/>
        <v>0</v>
      </c>
      <c r="M283" s="191">
        <v>429.4</v>
      </c>
      <c r="N283" s="191">
        <f>+M283*1000/(47*1*110*60)*T283</f>
        <v>5.5370728562217923</v>
      </c>
      <c r="O283" s="191"/>
      <c r="P283" s="191">
        <f t="shared" si="29"/>
        <v>0</v>
      </c>
      <c r="Q283" s="191"/>
      <c r="R283" s="19">
        <f t="shared" si="30"/>
        <v>0</v>
      </c>
      <c r="S283" s="191">
        <f t="shared" si="31"/>
        <v>0</v>
      </c>
      <c r="T283" s="20">
        <v>4</v>
      </c>
      <c r="U283" s="20"/>
      <c r="V283" s="190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89">
        <v>300058</v>
      </c>
      <c r="B284" s="188" t="s">
        <v>87</v>
      </c>
      <c r="C284" s="219" t="s">
        <v>308</v>
      </c>
      <c r="D284" s="219" t="s">
        <v>89</v>
      </c>
      <c r="E284" s="193" t="s">
        <v>42</v>
      </c>
      <c r="F284" s="192"/>
      <c r="G284" s="191"/>
      <c r="H284" s="191"/>
      <c r="I284" s="191"/>
      <c r="J284" s="191"/>
      <c r="K284" s="191">
        <f t="shared" si="26"/>
        <v>0</v>
      </c>
      <c r="L284" s="191">
        <f t="shared" si="27"/>
        <v>0</v>
      </c>
      <c r="M284" s="191">
        <v>419.2</v>
      </c>
      <c r="N284" s="191">
        <f>+M284*1000/(51.5*1*110*60)*T284</f>
        <v>4.9332156516622536</v>
      </c>
      <c r="O284" s="191"/>
      <c r="P284" s="191">
        <f t="shared" si="29"/>
        <v>0</v>
      </c>
      <c r="Q284" s="191"/>
      <c r="R284" s="19">
        <f t="shared" si="30"/>
        <v>0</v>
      </c>
      <c r="S284" s="191">
        <f t="shared" si="31"/>
        <v>0</v>
      </c>
      <c r="T284" s="20">
        <v>4</v>
      </c>
      <c r="U284" s="20"/>
      <c r="V284" s="190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89">
        <v>300061</v>
      </c>
      <c r="B285" s="188" t="s">
        <v>87</v>
      </c>
      <c r="C285" s="219" t="s">
        <v>309</v>
      </c>
      <c r="D285" s="219" t="s">
        <v>91</v>
      </c>
      <c r="E285" s="193" t="s">
        <v>41</v>
      </c>
      <c r="F285" s="192"/>
      <c r="G285" s="191"/>
      <c r="H285" s="191"/>
      <c r="I285" s="191"/>
      <c r="J285" s="191"/>
      <c r="K285" s="191">
        <f t="shared" si="26"/>
        <v>0</v>
      </c>
      <c r="L285" s="191">
        <f t="shared" si="27"/>
        <v>0</v>
      </c>
      <c r="M285" s="191">
        <v>418.4</v>
      </c>
      <c r="N285" s="191">
        <f>+M285*1000/(51*1*110*60)*T285</f>
        <v>4.9720736779560308</v>
      </c>
      <c r="O285" s="191"/>
      <c r="P285" s="191">
        <f t="shared" si="29"/>
        <v>0</v>
      </c>
      <c r="Q285" s="191"/>
      <c r="R285" s="19">
        <f t="shared" si="30"/>
        <v>0</v>
      </c>
      <c r="S285" s="191">
        <f t="shared" si="31"/>
        <v>0</v>
      </c>
      <c r="T285" s="20">
        <v>4</v>
      </c>
      <c r="U285" s="20"/>
      <c r="V285" s="19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89">
        <v>300064</v>
      </c>
      <c r="B286" s="188">
        <v>5002</v>
      </c>
      <c r="C286" s="219" t="s">
        <v>309</v>
      </c>
      <c r="D286" s="219" t="s">
        <v>91</v>
      </c>
      <c r="E286" s="193" t="s">
        <v>35</v>
      </c>
      <c r="F286" s="192"/>
      <c r="G286" s="191"/>
      <c r="H286" s="191"/>
      <c r="I286" s="191"/>
      <c r="J286" s="191"/>
      <c r="K286" s="191">
        <f t="shared" ref="K286:K362" si="33">G286*M286</f>
        <v>0</v>
      </c>
      <c r="L286" s="191">
        <f t="shared" ref="L286:L362" si="34">I286*M286</f>
        <v>0</v>
      </c>
      <c r="M286" s="191">
        <v>419.2</v>
      </c>
      <c r="N286" s="191">
        <f>+M286*1000/(51.9*1*110*60)*T286</f>
        <v>4.8951947217843168</v>
      </c>
      <c r="O286" s="191"/>
      <c r="P286" s="191">
        <f t="shared" ref="P286:P362" si="35">N286*I286+O286*U286</f>
        <v>0</v>
      </c>
      <c r="Q286" s="191"/>
      <c r="R286" s="19">
        <f t="shared" ref="R286:R362" si="36">Q286*U286</f>
        <v>0</v>
      </c>
      <c r="S286" s="191">
        <f t="shared" ref="S286:S362" si="37">R286-P286</f>
        <v>0</v>
      </c>
      <c r="T286" s="20">
        <v>4</v>
      </c>
      <c r="U286" s="20"/>
      <c r="V286" s="19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89">
        <v>300060</v>
      </c>
      <c r="B287" s="188" t="s">
        <v>87</v>
      </c>
      <c r="C287" s="219" t="s">
        <v>309</v>
      </c>
      <c r="D287" s="219" t="s">
        <v>91</v>
      </c>
      <c r="E287" s="193" t="s">
        <v>57</v>
      </c>
      <c r="F287" s="192"/>
      <c r="G287" s="191"/>
      <c r="H287" s="191"/>
      <c r="I287" s="191"/>
      <c r="J287" s="191"/>
      <c r="K287" s="191">
        <f t="shared" si="33"/>
        <v>0</v>
      </c>
      <c r="L287" s="191">
        <f t="shared" si="34"/>
        <v>0</v>
      </c>
      <c r="M287" s="191">
        <v>416.9</v>
      </c>
      <c r="N287" s="191">
        <f>+M287*1000/(51*1*110*60)*T287</f>
        <v>4.9542483660130721</v>
      </c>
      <c r="O287" s="191"/>
      <c r="P287" s="191">
        <f t="shared" si="35"/>
        <v>0</v>
      </c>
      <c r="Q287" s="191"/>
      <c r="R287" s="19">
        <f t="shared" si="36"/>
        <v>0</v>
      </c>
      <c r="S287" s="191">
        <f t="shared" si="37"/>
        <v>0</v>
      </c>
      <c r="T287" s="20">
        <v>4</v>
      </c>
      <c r="U287" s="20"/>
      <c r="V287" s="19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89">
        <v>300068</v>
      </c>
      <c r="B288" s="188" t="s">
        <v>87</v>
      </c>
      <c r="C288" s="219" t="s">
        <v>92</v>
      </c>
      <c r="D288" s="219" t="s">
        <v>93</v>
      </c>
      <c r="E288" s="193" t="s">
        <v>37</v>
      </c>
      <c r="F288" s="192"/>
      <c r="G288" s="191"/>
      <c r="H288" s="191"/>
      <c r="I288" s="191"/>
      <c r="J288" s="191"/>
      <c r="K288" s="191">
        <f t="shared" si="33"/>
        <v>0</v>
      </c>
      <c r="L288" s="191">
        <f t="shared" si="34"/>
        <v>0</v>
      </c>
      <c r="M288" s="191">
        <v>438.4</v>
      </c>
      <c r="N288" s="191">
        <f>+M288*1000/(50*1*120*60)*T288</f>
        <v>4.8711111111111114</v>
      </c>
      <c r="O288" s="191"/>
      <c r="P288" s="191">
        <f t="shared" si="35"/>
        <v>0</v>
      </c>
      <c r="Q288" s="191"/>
      <c r="R288" s="19">
        <f t="shared" si="36"/>
        <v>0</v>
      </c>
      <c r="S288" s="191">
        <f t="shared" si="37"/>
        <v>0</v>
      </c>
      <c r="T288" s="20">
        <v>4</v>
      </c>
      <c r="U288" s="20"/>
      <c r="V288" s="190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89">
        <v>300065</v>
      </c>
      <c r="B289" s="188" t="s">
        <v>87</v>
      </c>
      <c r="C289" s="219" t="s">
        <v>92</v>
      </c>
      <c r="D289" s="219" t="s">
        <v>93</v>
      </c>
      <c r="E289" s="193" t="s">
        <v>35</v>
      </c>
      <c r="F289" s="192"/>
      <c r="G289" s="191"/>
      <c r="H289" s="191"/>
      <c r="I289" s="191"/>
      <c r="J289" s="191"/>
      <c r="K289" s="191">
        <f t="shared" si="33"/>
        <v>0</v>
      </c>
      <c r="L289" s="191">
        <f t="shared" si="34"/>
        <v>0</v>
      </c>
      <c r="M289" s="191">
        <v>438.8</v>
      </c>
      <c r="N289" s="191">
        <f>+M289*1000/(50*1*120*60)*T289</f>
        <v>4.8755555555555556</v>
      </c>
      <c r="O289" s="191"/>
      <c r="P289" s="191">
        <f t="shared" si="35"/>
        <v>0</v>
      </c>
      <c r="Q289" s="191"/>
      <c r="R289" s="19">
        <f t="shared" si="36"/>
        <v>0</v>
      </c>
      <c r="S289" s="191">
        <f t="shared" si="37"/>
        <v>0</v>
      </c>
      <c r="T289" s="20">
        <v>4</v>
      </c>
      <c r="U289" s="189"/>
      <c r="V289" s="19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89">
        <v>300066</v>
      </c>
      <c r="B290" s="188" t="s">
        <v>87</v>
      </c>
      <c r="C290" s="219" t="s">
        <v>92</v>
      </c>
      <c r="D290" s="219" t="s">
        <v>93</v>
      </c>
      <c r="E290" s="193" t="s">
        <v>66</v>
      </c>
      <c r="F290" s="192"/>
      <c r="G290" s="191"/>
      <c r="H290" s="191"/>
      <c r="I290" s="191"/>
      <c r="J290" s="191"/>
      <c r="K290" s="191">
        <f t="shared" si="33"/>
        <v>0</v>
      </c>
      <c r="L290" s="191">
        <f t="shared" si="34"/>
        <v>0</v>
      </c>
      <c r="M290" s="191">
        <v>438.4</v>
      </c>
      <c r="N290" s="191">
        <f>+M290*1000/(50*1*120*60)*T290</f>
        <v>4.8711111111111114</v>
      </c>
      <c r="O290" s="191"/>
      <c r="P290" s="191">
        <f t="shared" si="35"/>
        <v>0</v>
      </c>
      <c r="Q290" s="191"/>
      <c r="R290" s="19">
        <f t="shared" si="36"/>
        <v>0</v>
      </c>
      <c r="S290" s="191">
        <f t="shared" si="37"/>
        <v>0</v>
      </c>
      <c r="T290" s="20">
        <v>4</v>
      </c>
      <c r="U290" s="189"/>
      <c r="V290" s="19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89">
        <v>300067</v>
      </c>
      <c r="B291" s="188" t="s">
        <v>87</v>
      </c>
      <c r="C291" s="219" t="s">
        <v>92</v>
      </c>
      <c r="D291" s="219" t="s">
        <v>93</v>
      </c>
      <c r="E291" s="193" t="s">
        <v>41</v>
      </c>
      <c r="F291" s="192"/>
      <c r="G291" s="191"/>
      <c r="H291" s="191"/>
      <c r="I291" s="191"/>
      <c r="J291" s="191"/>
      <c r="K291" s="191">
        <f t="shared" si="33"/>
        <v>0</v>
      </c>
      <c r="L291" s="191">
        <f t="shared" si="34"/>
        <v>0</v>
      </c>
      <c r="M291" s="191">
        <v>438.8</v>
      </c>
      <c r="N291" s="191">
        <f>+M291*1000/(50*1*120*60)*T291</f>
        <v>4.8755555555555556</v>
      </c>
      <c r="O291" s="191"/>
      <c r="P291" s="191">
        <f t="shared" si="35"/>
        <v>0</v>
      </c>
      <c r="Q291" s="191"/>
      <c r="R291" s="19">
        <f t="shared" si="36"/>
        <v>0</v>
      </c>
      <c r="S291" s="191">
        <f t="shared" si="37"/>
        <v>0</v>
      </c>
      <c r="T291" s="20">
        <v>4</v>
      </c>
      <c r="U291" s="20"/>
      <c r="V291" s="190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189">
        <v>300437</v>
      </c>
      <c r="B292" s="188" t="s">
        <v>87</v>
      </c>
      <c r="C292" s="219" t="s">
        <v>92</v>
      </c>
      <c r="D292" s="219" t="s">
        <v>93</v>
      </c>
      <c r="E292" s="193" t="s">
        <v>302</v>
      </c>
      <c r="F292" s="192"/>
      <c r="G292" s="110"/>
      <c r="H292" s="110"/>
      <c r="I292" s="110"/>
      <c r="J292" s="110"/>
      <c r="K292" s="191">
        <f t="shared" si="33"/>
        <v>0</v>
      </c>
      <c r="L292" s="191">
        <f t="shared" si="34"/>
        <v>0</v>
      </c>
      <c r="M292" s="191">
        <v>438.8</v>
      </c>
      <c r="N292" s="191">
        <f>+M292*1000/(50*1*120*60)*T292</f>
        <v>4.8755555555555556</v>
      </c>
      <c r="O292" s="191"/>
      <c r="P292" s="191">
        <f t="shared" si="35"/>
        <v>0</v>
      </c>
      <c r="Q292" s="191"/>
      <c r="R292" s="19">
        <f t="shared" si="36"/>
        <v>0</v>
      </c>
      <c r="S292" s="191">
        <f t="shared" si="37"/>
        <v>0</v>
      </c>
      <c r="T292" s="20">
        <v>4</v>
      </c>
      <c r="U292" s="20"/>
      <c r="V292" s="190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189">
        <v>300384</v>
      </c>
      <c r="B293" s="188" t="s">
        <v>87</v>
      </c>
      <c r="C293" s="219" t="s">
        <v>94</v>
      </c>
      <c r="D293" s="219" t="s">
        <v>95</v>
      </c>
      <c r="E293" s="193" t="s">
        <v>35</v>
      </c>
      <c r="F293" s="192"/>
      <c r="G293" s="191"/>
      <c r="H293" s="191"/>
      <c r="I293" s="191"/>
      <c r="J293" s="191"/>
      <c r="K293" s="191">
        <f t="shared" si="33"/>
        <v>0</v>
      </c>
      <c r="L293" s="191">
        <f t="shared" si="34"/>
        <v>0</v>
      </c>
      <c r="M293" s="191">
        <v>415.5</v>
      </c>
      <c r="N293" s="191">
        <f>+M293*1000/(51*1*110*60)*T293</f>
        <v>8.6408199643493759</v>
      </c>
      <c r="O293" s="191"/>
      <c r="P293" s="191">
        <f t="shared" si="35"/>
        <v>0</v>
      </c>
      <c r="Q293" s="191"/>
      <c r="R293" s="19">
        <f t="shared" si="36"/>
        <v>0</v>
      </c>
      <c r="S293" s="191">
        <f t="shared" si="37"/>
        <v>0</v>
      </c>
      <c r="T293" s="20">
        <v>7</v>
      </c>
      <c r="U293" s="20"/>
      <c r="V293" s="190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89">
        <v>300383</v>
      </c>
      <c r="B294" s="188" t="s">
        <v>87</v>
      </c>
      <c r="C294" s="219" t="s">
        <v>94</v>
      </c>
      <c r="D294" s="219" t="s">
        <v>96</v>
      </c>
      <c r="E294" s="193" t="s">
        <v>41</v>
      </c>
      <c r="F294" s="192"/>
      <c r="G294" s="191"/>
      <c r="H294" s="191"/>
      <c r="I294" s="191"/>
      <c r="J294" s="191"/>
      <c r="K294" s="191">
        <f t="shared" si="33"/>
        <v>0</v>
      </c>
      <c r="L294" s="191">
        <f t="shared" si="34"/>
        <v>0</v>
      </c>
      <c r="M294" s="191">
        <v>415.5</v>
      </c>
      <c r="N294" s="191">
        <f>+M294*1000/(51*1*110*60)*T294</f>
        <v>8.6408199643493759</v>
      </c>
      <c r="O294" s="191"/>
      <c r="P294" s="191">
        <f t="shared" si="35"/>
        <v>0</v>
      </c>
      <c r="Q294" s="191"/>
      <c r="R294" s="19">
        <f t="shared" si="36"/>
        <v>0</v>
      </c>
      <c r="S294" s="191">
        <f t="shared" si="37"/>
        <v>0</v>
      </c>
      <c r="T294" s="20">
        <v>7</v>
      </c>
      <c r="U294" s="20"/>
      <c r="V294" s="190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89">
        <v>300386</v>
      </c>
      <c r="B295" s="188" t="s">
        <v>87</v>
      </c>
      <c r="C295" s="219" t="s">
        <v>94</v>
      </c>
      <c r="D295" s="219" t="s">
        <v>97</v>
      </c>
      <c r="E295" s="193" t="s">
        <v>66</v>
      </c>
      <c r="F295" s="192"/>
      <c r="G295" s="191"/>
      <c r="H295" s="191"/>
      <c r="I295" s="191"/>
      <c r="J295" s="191"/>
      <c r="K295" s="191">
        <f t="shared" si="33"/>
        <v>0</v>
      </c>
      <c r="L295" s="191">
        <f t="shared" si="34"/>
        <v>0</v>
      </c>
      <c r="M295" s="191">
        <v>415.5</v>
      </c>
      <c r="N295" s="191">
        <f>+M295*1000/(51*1*110*60)*T295</f>
        <v>8.6408199643493759</v>
      </c>
      <c r="O295" s="191"/>
      <c r="P295" s="191">
        <f t="shared" si="35"/>
        <v>0</v>
      </c>
      <c r="Q295" s="191"/>
      <c r="R295" s="19">
        <f t="shared" si="36"/>
        <v>0</v>
      </c>
      <c r="S295" s="191">
        <f t="shared" si="37"/>
        <v>0</v>
      </c>
      <c r="T295" s="20">
        <v>7</v>
      </c>
      <c r="U295" s="20"/>
      <c r="V295" s="190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89">
        <v>300385</v>
      </c>
      <c r="B296" s="188" t="s">
        <v>87</v>
      </c>
      <c r="C296" s="219" t="s">
        <v>94</v>
      </c>
      <c r="D296" s="219" t="s">
        <v>98</v>
      </c>
      <c r="E296" s="193" t="s">
        <v>99</v>
      </c>
      <c r="F296" s="192"/>
      <c r="G296" s="191"/>
      <c r="H296" s="191"/>
      <c r="I296" s="191"/>
      <c r="J296" s="191"/>
      <c r="K296" s="191">
        <f t="shared" si="33"/>
        <v>0</v>
      </c>
      <c r="L296" s="191">
        <f t="shared" si="34"/>
        <v>0</v>
      </c>
      <c r="M296" s="191">
        <v>415.5</v>
      </c>
      <c r="N296" s="191">
        <f>+M296*1000/(51*1*110*60)*T296</f>
        <v>8.6408199643493759</v>
      </c>
      <c r="O296" s="191"/>
      <c r="P296" s="191">
        <f t="shared" si="35"/>
        <v>0</v>
      </c>
      <c r="Q296" s="191"/>
      <c r="R296" s="19">
        <f t="shared" si="36"/>
        <v>0</v>
      </c>
      <c r="S296" s="191">
        <f t="shared" si="37"/>
        <v>0</v>
      </c>
      <c r="T296" s="20">
        <v>7</v>
      </c>
      <c r="U296" s="20"/>
      <c r="V296" s="190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89">
        <v>300352</v>
      </c>
      <c r="B297" s="188" t="s">
        <v>87</v>
      </c>
      <c r="C297" s="219" t="s">
        <v>100</v>
      </c>
      <c r="D297" s="219" t="s">
        <v>95</v>
      </c>
      <c r="E297" s="193" t="s">
        <v>35</v>
      </c>
      <c r="F297" s="192"/>
      <c r="G297" s="191"/>
      <c r="H297" s="191"/>
      <c r="I297" s="191"/>
      <c r="J297" s="191"/>
      <c r="K297" s="191">
        <f t="shared" si="33"/>
        <v>0</v>
      </c>
      <c r="L297" s="191">
        <f t="shared" si="34"/>
        <v>0</v>
      </c>
      <c r="M297" s="191">
        <v>515.9</v>
      </c>
      <c r="N297" s="191">
        <f>+M297*1000/(80*1*110*60)*T297</f>
        <v>6.8395833333333336</v>
      </c>
      <c r="O297" s="191"/>
      <c r="P297" s="191">
        <f t="shared" si="35"/>
        <v>0</v>
      </c>
      <c r="Q297" s="191"/>
      <c r="R297" s="19">
        <f t="shared" si="36"/>
        <v>0</v>
      </c>
      <c r="S297" s="191">
        <f t="shared" si="37"/>
        <v>0</v>
      </c>
      <c r="T297" s="20">
        <v>7</v>
      </c>
      <c r="U297" s="20"/>
      <c r="V297" s="190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89">
        <v>300353</v>
      </c>
      <c r="B298" s="188" t="s">
        <v>87</v>
      </c>
      <c r="C298" s="219" t="s">
        <v>100</v>
      </c>
      <c r="D298" s="219" t="s">
        <v>95</v>
      </c>
      <c r="E298" s="193" t="s">
        <v>99</v>
      </c>
      <c r="F298" s="192"/>
      <c r="G298" s="191"/>
      <c r="H298" s="191"/>
      <c r="I298" s="191"/>
      <c r="J298" s="191"/>
      <c r="K298" s="191">
        <f t="shared" si="33"/>
        <v>0</v>
      </c>
      <c r="L298" s="191">
        <f t="shared" si="34"/>
        <v>0</v>
      </c>
      <c r="M298" s="191">
        <v>515.9</v>
      </c>
      <c r="N298" s="191">
        <f>+M298*1000/(80*1*110*60)*T298</f>
        <v>6.8395833333333336</v>
      </c>
      <c r="O298" s="191"/>
      <c r="P298" s="191">
        <f t="shared" si="35"/>
        <v>0</v>
      </c>
      <c r="Q298" s="191"/>
      <c r="R298" s="19">
        <f t="shared" si="36"/>
        <v>0</v>
      </c>
      <c r="S298" s="191">
        <f t="shared" si="37"/>
        <v>0</v>
      </c>
      <c r="T298" s="20">
        <v>7</v>
      </c>
      <c r="U298" s="20"/>
      <c r="V298" s="190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89">
        <v>300351</v>
      </c>
      <c r="B299" s="188" t="s">
        <v>87</v>
      </c>
      <c r="C299" s="219" t="s">
        <v>100</v>
      </c>
      <c r="D299" s="219" t="s">
        <v>95</v>
      </c>
      <c r="E299" s="193" t="s">
        <v>41</v>
      </c>
      <c r="F299" s="192"/>
      <c r="G299" s="191"/>
      <c r="H299" s="191"/>
      <c r="I299" s="191"/>
      <c r="J299" s="191"/>
      <c r="K299" s="191">
        <f t="shared" si="33"/>
        <v>0</v>
      </c>
      <c r="L299" s="191">
        <f t="shared" si="34"/>
        <v>0</v>
      </c>
      <c r="M299" s="191">
        <v>515.9</v>
      </c>
      <c r="N299" s="191">
        <f>+M299*1000/(80*1*110*60)*T299</f>
        <v>6.8395833333333336</v>
      </c>
      <c r="O299" s="191"/>
      <c r="P299" s="191">
        <f t="shared" si="35"/>
        <v>0</v>
      </c>
      <c r="Q299" s="191"/>
      <c r="R299" s="19">
        <f t="shared" si="36"/>
        <v>0</v>
      </c>
      <c r="S299" s="191">
        <f t="shared" si="37"/>
        <v>0</v>
      </c>
      <c r="T299" s="20">
        <v>7</v>
      </c>
      <c r="U299" s="20"/>
      <c r="V299" s="190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89">
        <v>300354</v>
      </c>
      <c r="B300" s="188" t="s">
        <v>87</v>
      </c>
      <c r="C300" s="219" t="s">
        <v>100</v>
      </c>
      <c r="D300" s="219" t="s">
        <v>95</v>
      </c>
      <c r="E300" s="193" t="s">
        <v>66</v>
      </c>
      <c r="F300" s="192"/>
      <c r="G300" s="191"/>
      <c r="H300" s="191"/>
      <c r="I300" s="191"/>
      <c r="J300" s="191"/>
      <c r="K300" s="191">
        <f t="shared" si="33"/>
        <v>0</v>
      </c>
      <c r="L300" s="191">
        <f t="shared" si="34"/>
        <v>0</v>
      </c>
      <c r="M300" s="191">
        <v>515.9</v>
      </c>
      <c r="N300" s="191">
        <f>+M300*1000/(80*1*110*60)*T300</f>
        <v>6.8395833333333336</v>
      </c>
      <c r="O300" s="191"/>
      <c r="P300" s="191">
        <f t="shared" si="35"/>
        <v>0</v>
      </c>
      <c r="Q300" s="191"/>
      <c r="R300" s="19">
        <f t="shared" si="36"/>
        <v>0</v>
      </c>
      <c r="S300" s="191">
        <f t="shared" si="37"/>
        <v>0</v>
      </c>
      <c r="T300" s="20">
        <v>7</v>
      </c>
      <c r="U300" s="20"/>
      <c r="V300" s="190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89">
        <v>300250</v>
      </c>
      <c r="B301" s="188" t="s">
        <v>87</v>
      </c>
      <c r="C301" s="219" t="s">
        <v>101</v>
      </c>
      <c r="D301" s="219" t="s">
        <v>95</v>
      </c>
      <c r="E301" s="193" t="s">
        <v>35</v>
      </c>
      <c r="F301" s="192"/>
      <c r="G301" s="191"/>
      <c r="H301" s="191"/>
      <c r="I301" s="191"/>
      <c r="J301" s="191"/>
      <c r="K301" s="191">
        <f t="shared" si="33"/>
        <v>0</v>
      </c>
      <c r="L301" s="191">
        <f t="shared" si="34"/>
        <v>0</v>
      </c>
      <c r="M301" s="191">
        <v>412.5</v>
      </c>
      <c r="N301" s="191">
        <f>+M301*1000/(84*1*110*60)*T301</f>
        <v>5.2083333333333339</v>
      </c>
      <c r="O301" s="191"/>
      <c r="P301" s="191">
        <f t="shared" si="35"/>
        <v>0</v>
      </c>
      <c r="Q301" s="191"/>
      <c r="R301" s="19">
        <f t="shared" si="36"/>
        <v>0</v>
      </c>
      <c r="S301" s="191">
        <f t="shared" si="37"/>
        <v>0</v>
      </c>
      <c r="T301" s="20">
        <v>7</v>
      </c>
      <c r="U301" s="20"/>
      <c r="V301" s="190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89">
        <v>300251</v>
      </c>
      <c r="B302" s="188" t="s">
        <v>87</v>
      </c>
      <c r="C302" s="219" t="s">
        <v>101</v>
      </c>
      <c r="D302" s="219" t="s">
        <v>95</v>
      </c>
      <c r="E302" s="193" t="s">
        <v>99</v>
      </c>
      <c r="F302" s="192"/>
      <c r="G302" s="191"/>
      <c r="H302" s="191"/>
      <c r="I302" s="191"/>
      <c r="J302" s="191"/>
      <c r="K302" s="191">
        <f t="shared" si="33"/>
        <v>0</v>
      </c>
      <c r="L302" s="191">
        <f t="shared" si="34"/>
        <v>0</v>
      </c>
      <c r="M302" s="191">
        <v>412.5</v>
      </c>
      <c r="N302" s="191">
        <f>+M302*1000/(84*1*110*60)*T302</f>
        <v>5.2083333333333339</v>
      </c>
      <c r="O302" s="191"/>
      <c r="P302" s="191">
        <f t="shared" si="35"/>
        <v>0</v>
      </c>
      <c r="Q302" s="191"/>
      <c r="R302" s="19">
        <f t="shared" si="36"/>
        <v>0</v>
      </c>
      <c r="S302" s="191">
        <f t="shared" si="37"/>
        <v>0</v>
      </c>
      <c r="T302" s="20">
        <v>7</v>
      </c>
      <c r="U302" s="20"/>
      <c r="V302" s="190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89">
        <v>300254</v>
      </c>
      <c r="B303" s="188" t="s">
        <v>87</v>
      </c>
      <c r="C303" s="219" t="s">
        <v>101</v>
      </c>
      <c r="D303" s="219" t="s">
        <v>95</v>
      </c>
      <c r="E303" s="193" t="s">
        <v>41</v>
      </c>
      <c r="F303" s="192"/>
      <c r="G303" s="191"/>
      <c r="H303" s="191"/>
      <c r="I303" s="191"/>
      <c r="J303" s="191"/>
      <c r="K303" s="191">
        <f t="shared" si="33"/>
        <v>0</v>
      </c>
      <c r="L303" s="191">
        <f t="shared" si="34"/>
        <v>0</v>
      </c>
      <c r="M303" s="191">
        <v>412.5</v>
      </c>
      <c r="N303" s="191">
        <f>+M303*1000/(84*1*110*60)*T303</f>
        <v>5.2083333333333339</v>
      </c>
      <c r="O303" s="191"/>
      <c r="P303" s="191">
        <f t="shared" si="35"/>
        <v>0</v>
      </c>
      <c r="Q303" s="191"/>
      <c r="R303" s="19">
        <f t="shared" si="36"/>
        <v>0</v>
      </c>
      <c r="S303" s="191">
        <f t="shared" si="37"/>
        <v>0</v>
      </c>
      <c r="T303" s="20">
        <v>7</v>
      </c>
      <c r="U303" s="20"/>
      <c r="V303" s="190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89">
        <v>300253</v>
      </c>
      <c r="B304" s="188" t="s">
        <v>87</v>
      </c>
      <c r="C304" s="219" t="s">
        <v>101</v>
      </c>
      <c r="D304" s="219" t="s">
        <v>95</v>
      </c>
      <c r="E304" s="193" t="s">
        <v>66</v>
      </c>
      <c r="F304" s="192"/>
      <c r="G304" s="191"/>
      <c r="H304" s="191"/>
      <c r="I304" s="191"/>
      <c r="J304" s="191"/>
      <c r="K304" s="191">
        <f t="shared" si="33"/>
        <v>0</v>
      </c>
      <c r="L304" s="191">
        <f t="shared" si="34"/>
        <v>0</v>
      </c>
      <c r="M304" s="191">
        <v>412.5</v>
      </c>
      <c r="N304" s="191">
        <f>+M304*1000/(84*1*110*60)*T304</f>
        <v>5.2083333333333339</v>
      </c>
      <c r="O304" s="191"/>
      <c r="P304" s="191">
        <f t="shared" si="35"/>
        <v>0</v>
      </c>
      <c r="Q304" s="191"/>
      <c r="R304" s="19">
        <f t="shared" si="36"/>
        <v>0</v>
      </c>
      <c r="S304" s="191">
        <f t="shared" si="37"/>
        <v>0</v>
      </c>
      <c r="T304" s="20">
        <v>7</v>
      </c>
      <c r="U304" s="20"/>
      <c r="V304" s="190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89">
        <v>300255</v>
      </c>
      <c r="B305" s="188" t="s">
        <v>87</v>
      </c>
      <c r="C305" s="219" t="s">
        <v>101</v>
      </c>
      <c r="D305" s="219" t="s">
        <v>95</v>
      </c>
      <c r="E305" s="193" t="s">
        <v>102</v>
      </c>
      <c r="F305" s="192"/>
      <c r="G305" s="191"/>
      <c r="H305" s="191"/>
      <c r="I305" s="191"/>
      <c r="J305" s="191"/>
      <c r="K305" s="191">
        <f t="shared" si="33"/>
        <v>0</v>
      </c>
      <c r="L305" s="191">
        <f t="shared" si="34"/>
        <v>0</v>
      </c>
      <c r="M305" s="191">
        <v>412.5</v>
      </c>
      <c r="N305" s="191">
        <f>+M305*1000/(84*1*110*60)*T305</f>
        <v>5.2083333333333339</v>
      </c>
      <c r="O305" s="191"/>
      <c r="P305" s="191">
        <f t="shared" si="35"/>
        <v>0</v>
      </c>
      <c r="Q305" s="191"/>
      <c r="R305" s="19">
        <f t="shared" si="36"/>
        <v>0</v>
      </c>
      <c r="S305" s="191">
        <f t="shared" si="37"/>
        <v>0</v>
      </c>
      <c r="T305" s="20">
        <v>7</v>
      </c>
      <c r="U305" s="20"/>
      <c r="V305" s="190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89">
        <v>300392</v>
      </c>
      <c r="B306" s="188" t="s">
        <v>87</v>
      </c>
      <c r="C306" s="230" t="s">
        <v>103</v>
      </c>
      <c r="D306" s="231"/>
      <c r="E306" s="193" t="s">
        <v>99</v>
      </c>
      <c r="F306" s="189"/>
      <c r="G306" s="191"/>
      <c r="H306" s="191"/>
      <c r="I306" s="191"/>
      <c r="J306" s="191"/>
      <c r="K306" s="191">
        <f t="shared" si="33"/>
        <v>0</v>
      </c>
      <c r="L306" s="191">
        <f t="shared" si="34"/>
        <v>0</v>
      </c>
      <c r="M306" s="191">
        <v>523</v>
      </c>
      <c r="N306" s="191">
        <f>+M306*1000/(98*1*80*60)*T306</f>
        <v>7.7827380952380958</v>
      </c>
      <c r="O306" s="191"/>
      <c r="P306" s="191">
        <f t="shared" si="35"/>
        <v>0</v>
      </c>
      <c r="Q306" s="191"/>
      <c r="R306" s="19">
        <f t="shared" si="36"/>
        <v>0</v>
      </c>
      <c r="S306" s="191">
        <f t="shared" si="37"/>
        <v>0</v>
      </c>
      <c r="T306" s="20">
        <v>7</v>
      </c>
      <c r="U306" s="20"/>
      <c r="V306" s="190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89">
        <v>300088</v>
      </c>
      <c r="B307" s="188" t="s">
        <v>87</v>
      </c>
      <c r="C307" s="219" t="s">
        <v>310</v>
      </c>
      <c r="D307" s="219" t="s">
        <v>91</v>
      </c>
      <c r="E307" s="193" t="s">
        <v>39</v>
      </c>
      <c r="F307" s="192"/>
      <c r="G307" s="191"/>
      <c r="H307" s="191"/>
      <c r="I307" s="191"/>
      <c r="J307" s="191"/>
      <c r="K307" s="191">
        <f t="shared" si="33"/>
        <v>0</v>
      </c>
      <c r="L307" s="191">
        <f t="shared" si="34"/>
        <v>0</v>
      </c>
      <c r="M307" s="191">
        <v>617.79999999999995</v>
      </c>
      <c r="N307" s="191">
        <f>+M307*1000/(123*1*80*60)*T307</f>
        <v>3.1392276422764223</v>
      </c>
      <c r="O307" s="191"/>
      <c r="P307" s="191">
        <f t="shared" si="35"/>
        <v>0</v>
      </c>
      <c r="Q307" s="191"/>
      <c r="R307" s="19">
        <f t="shared" si="36"/>
        <v>0</v>
      </c>
      <c r="S307" s="191">
        <f t="shared" si="37"/>
        <v>0</v>
      </c>
      <c r="T307" s="20">
        <v>3</v>
      </c>
      <c r="U307" s="20"/>
      <c r="V307" s="190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89">
        <v>300089</v>
      </c>
      <c r="B308" s="188" t="s">
        <v>87</v>
      </c>
      <c r="C308" s="219" t="s">
        <v>310</v>
      </c>
      <c r="D308" s="219" t="s">
        <v>91</v>
      </c>
      <c r="E308" s="193" t="s">
        <v>42</v>
      </c>
      <c r="F308" s="192"/>
      <c r="G308" s="191"/>
      <c r="H308" s="191"/>
      <c r="I308" s="191"/>
      <c r="J308" s="191"/>
      <c r="K308" s="191">
        <f t="shared" si="33"/>
        <v>0</v>
      </c>
      <c r="L308" s="191">
        <f t="shared" si="34"/>
        <v>0</v>
      </c>
      <c r="M308" s="191">
        <v>618.6</v>
      </c>
      <c r="N308" s="191">
        <f>+M308*1000/(124*1*80*60)*T308</f>
        <v>3.117943548387097</v>
      </c>
      <c r="O308" s="191"/>
      <c r="P308" s="191">
        <f t="shared" si="35"/>
        <v>0</v>
      </c>
      <c r="Q308" s="191"/>
      <c r="R308" s="19">
        <f t="shared" si="36"/>
        <v>0</v>
      </c>
      <c r="S308" s="191">
        <f t="shared" si="37"/>
        <v>0</v>
      </c>
      <c r="T308" s="20">
        <v>3</v>
      </c>
      <c r="U308" s="20"/>
      <c r="V308" s="190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89">
        <v>300128</v>
      </c>
      <c r="B309" s="188" t="s">
        <v>87</v>
      </c>
      <c r="C309" s="219" t="s">
        <v>104</v>
      </c>
      <c r="D309" s="219" t="s">
        <v>105</v>
      </c>
      <c r="E309" s="193" t="s">
        <v>35</v>
      </c>
      <c r="F309" s="192"/>
      <c r="G309" s="191"/>
      <c r="H309" s="191"/>
      <c r="I309" s="191"/>
      <c r="J309" s="191"/>
      <c r="K309" s="191">
        <f t="shared" si="33"/>
        <v>0</v>
      </c>
      <c r="L309" s="191">
        <f t="shared" si="34"/>
        <v>0</v>
      </c>
      <c r="M309" s="191">
        <v>621.29999999999995</v>
      </c>
      <c r="N309" s="191">
        <f t="shared" ref="N309:N314" si="38">+M309*1000/(130.5*1*80*60)*T309</f>
        <v>3.9674329501915708</v>
      </c>
      <c r="O309" s="191"/>
      <c r="P309" s="191">
        <f t="shared" si="35"/>
        <v>0</v>
      </c>
      <c r="Q309" s="191"/>
      <c r="R309" s="19">
        <f t="shared" si="36"/>
        <v>0</v>
      </c>
      <c r="S309" s="191">
        <f t="shared" si="37"/>
        <v>0</v>
      </c>
      <c r="T309" s="20">
        <v>4</v>
      </c>
      <c r="U309" s="20"/>
      <c r="V309" s="190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89">
        <v>300129</v>
      </c>
      <c r="B310" s="188" t="s">
        <v>87</v>
      </c>
      <c r="C310" s="219" t="s">
        <v>104</v>
      </c>
      <c r="D310" s="219" t="s">
        <v>105</v>
      </c>
      <c r="E310" s="193" t="s">
        <v>41</v>
      </c>
      <c r="F310" s="192"/>
      <c r="G310" s="191"/>
      <c r="H310" s="191"/>
      <c r="I310" s="191"/>
      <c r="J310" s="191"/>
      <c r="K310" s="191">
        <f t="shared" si="33"/>
        <v>0</v>
      </c>
      <c r="L310" s="191">
        <f t="shared" si="34"/>
        <v>0</v>
      </c>
      <c r="M310" s="191">
        <v>621.29999999999995</v>
      </c>
      <c r="N310" s="191">
        <f t="shared" si="38"/>
        <v>3.9674329501915708</v>
      </c>
      <c r="O310" s="191"/>
      <c r="P310" s="191">
        <f t="shared" si="35"/>
        <v>0</v>
      </c>
      <c r="Q310" s="191"/>
      <c r="R310" s="19">
        <f t="shared" si="36"/>
        <v>0</v>
      </c>
      <c r="S310" s="191">
        <f t="shared" si="37"/>
        <v>0</v>
      </c>
      <c r="T310" s="20">
        <v>4</v>
      </c>
      <c r="U310" s="20"/>
      <c r="V310" s="190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89">
        <v>300130</v>
      </c>
      <c r="B311" s="188" t="s">
        <v>87</v>
      </c>
      <c r="C311" s="219" t="s">
        <v>104</v>
      </c>
      <c r="D311" s="219" t="s">
        <v>105</v>
      </c>
      <c r="E311" s="193" t="s">
        <v>37</v>
      </c>
      <c r="F311" s="192"/>
      <c r="G311" s="191"/>
      <c r="H311" s="191"/>
      <c r="I311" s="191"/>
      <c r="J311" s="191"/>
      <c r="K311" s="191">
        <f t="shared" si="33"/>
        <v>0</v>
      </c>
      <c r="L311" s="191">
        <f t="shared" si="34"/>
        <v>0</v>
      </c>
      <c r="M311" s="191">
        <v>621.29999999999995</v>
      </c>
      <c r="N311" s="191">
        <f t="shared" si="38"/>
        <v>3.9674329501915708</v>
      </c>
      <c r="O311" s="191"/>
      <c r="P311" s="191">
        <f t="shared" si="35"/>
        <v>0</v>
      </c>
      <c r="Q311" s="191"/>
      <c r="R311" s="19">
        <f t="shared" si="36"/>
        <v>0</v>
      </c>
      <c r="S311" s="191">
        <f t="shared" si="37"/>
        <v>0</v>
      </c>
      <c r="T311" s="20">
        <v>4</v>
      </c>
      <c r="U311" s="20"/>
      <c r="V311" s="190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189">
        <v>300423</v>
      </c>
      <c r="B312" s="188" t="s">
        <v>292</v>
      </c>
      <c r="C312" s="230" t="s">
        <v>288</v>
      </c>
      <c r="D312" s="231"/>
      <c r="E312" s="193" t="s">
        <v>289</v>
      </c>
      <c r="F312" s="192"/>
      <c r="G312" s="110"/>
      <c r="H312" s="110"/>
      <c r="I312" s="110"/>
      <c r="J312" s="110"/>
      <c r="K312" s="191">
        <f t="shared" si="33"/>
        <v>0</v>
      </c>
      <c r="L312" s="191">
        <f t="shared" si="34"/>
        <v>0</v>
      </c>
      <c r="M312" s="191">
        <v>524.1</v>
      </c>
      <c r="N312" s="191">
        <f t="shared" si="38"/>
        <v>3.3467432950191571</v>
      </c>
      <c r="O312" s="191"/>
      <c r="P312" s="191">
        <f t="shared" si="35"/>
        <v>0</v>
      </c>
      <c r="Q312" s="191"/>
      <c r="R312" s="19">
        <f t="shared" si="36"/>
        <v>0</v>
      </c>
      <c r="S312" s="191">
        <f t="shared" si="37"/>
        <v>0</v>
      </c>
      <c r="T312" s="20">
        <v>4</v>
      </c>
      <c r="U312" s="20"/>
      <c r="V312" s="190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189">
        <v>300424</v>
      </c>
      <c r="B313" s="188" t="s">
        <v>292</v>
      </c>
      <c r="C313" s="230" t="s">
        <v>288</v>
      </c>
      <c r="D313" s="231"/>
      <c r="E313" s="193" t="s">
        <v>290</v>
      </c>
      <c r="F313" s="192"/>
      <c r="G313" s="110"/>
      <c r="H313" s="110"/>
      <c r="I313" s="110"/>
      <c r="J313" s="110"/>
      <c r="K313" s="191">
        <f t="shared" si="33"/>
        <v>0</v>
      </c>
      <c r="L313" s="191">
        <f t="shared" si="34"/>
        <v>0</v>
      </c>
      <c r="M313" s="191">
        <v>524.1</v>
      </c>
      <c r="N313" s="191">
        <f t="shared" si="38"/>
        <v>3.3467432950191571</v>
      </c>
      <c r="O313" s="191"/>
      <c r="P313" s="191">
        <f t="shared" si="35"/>
        <v>0</v>
      </c>
      <c r="Q313" s="191"/>
      <c r="R313" s="19">
        <f t="shared" si="36"/>
        <v>0</v>
      </c>
      <c r="S313" s="191">
        <f t="shared" si="37"/>
        <v>0</v>
      </c>
      <c r="T313" s="20">
        <v>4</v>
      </c>
      <c r="U313" s="20"/>
      <c r="V313" s="190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customHeight="1">
      <c r="A314" s="189">
        <v>300425</v>
      </c>
      <c r="B314" s="188">
        <v>5001</v>
      </c>
      <c r="C314" s="230" t="s">
        <v>288</v>
      </c>
      <c r="D314" s="231"/>
      <c r="E314" s="193" t="s">
        <v>291</v>
      </c>
      <c r="F314" s="192">
        <v>2032</v>
      </c>
      <c r="G314" s="191">
        <v>5</v>
      </c>
      <c r="H314" s="191"/>
      <c r="I314" s="191">
        <f>5-J314/500</f>
        <v>4.3</v>
      </c>
      <c r="J314" s="191">
        <v>350</v>
      </c>
      <c r="K314" s="191">
        <f t="shared" si="33"/>
        <v>2620.5</v>
      </c>
      <c r="L314" s="191">
        <f t="shared" si="34"/>
        <v>2253.63</v>
      </c>
      <c r="M314" s="191">
        <v>524.1</v>
      </c>
      <c r="N314" s="191">
        <f t="shared" si="38"/>
        <v>3.3467432950191571</v>
      </c>
      <c r="O314" s="191">
        <v>0.5</v>
      </c>
      <c r="P314" s="191">
        <f t="shared" si="35"/>
        <v>16.390996168582376</v>
      </c>
      <c r="Q314" s="191">
        <v>9.5</v>
      </c>
      <c r="R314" s="19">
        <f t="shared" si="36"/>
        <v>38</v>
      </c>
      <c r="S314" s="191">
        <f t="shared" si="37"/>
        <v>21.609003831417624</v>
      </c>
      <c r="T314" s="20">
        <v>4</v>
      </c>
      <c r="U314" s="20">
        <v>4</v>
      </c>
      <c r="V314" s="190">
        <f t="array" ref="V314">IF(ISERROR(L314/K314),"",L314/K314)</f>
        <v>0.86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89">
        <v>300390</v>
      </c>
      <c r="B315" s="188" t="s">
        <v>287</v>
      </c>
      <c r="C315" s="230" t="s">
        <v>106</v>
      </c>
      <c r="D315" s="231"/>
      <c r="E315" s="193" t="s">
        <v>107</v>
      </c>
      <c r="F315" s="192"/>
      <c r="G315" s="191"/>
      <c r="H315" s="191"/>
      <c r="I315" s="191"/>
      <c r="J315" s="191"/>
      <c r="K315" s="191">
        <f t="shared" si="33"/>
        <v>0</v>
      </c>
      <c r="L315" s="191">
        <f t="shared" si="34"/>
        <v>0</v>
      </c>
      <c r="M315" s="191">
        <v>417.4</v>
      </c>
      <c r="N315" s="191">
        <f>+M315*1000/(87*1*80*60)*T315</f>
        <v>3.9980842911877397</v>
      </c>
      <c r="O315" s="191"/>
      <c r="P315" s="191">
        <f t="shared" si="35"/>
        <v>0</v>
      </c>
      <c r="Q315" s="191"/>
      <c r="R315" s="19">
        <f t="shared" si="36"/>
        <v>0</v>
      </c>
      <c r="S315" s="191">
        <f t="shared" si="37"/>
        <v>0</v>
      </c>
      <c r="T315" s="20">
        <v>4</v>
      </c>
      <c r="U315" s="20"/>
      <c r="V315" s="190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89">
        <v>300391</v>
      </c>
      <c r="B316" s="188" t="s">
        <v>108</v>
      </c>
      <c r="C316" s="230" t="s">
        <v>106</v>
      </c>
      <c r="D316" s="231"/>
      <c r="E316" s="193" t="s">
        <v>109</v>
      </c>
      <c r="F316" s="192"/>
      <c r="G316" s="191"/>
      <c r="H316" s="191"/>
      <c r="I316" s="191"/>
      <c r="J316" s="191"/>
      <c r="K316" s="191">
        <f t="shared" si="33"/>
        <v>0</v>
      </c>
      <c r="L316" s="191">
        <f t="shared" si="34"/>
        <v>0</v>
      </c>
      <c r="M316" s="191">
        <v>417.4</v>
      </c>
      <c r="N316" s="191">
        <f>+M316*1000/(87*1*80*60)*T316</f>
        <v>3.9980842911877397</v>
      </c>
      <c r="O316" s="191"/>
      <c r="P316" s="191">
        <f t="shared" si="35"/>
        <v>0</v>
      </c>
      <c r="Q316" s="191"/>
      <c r="R316" s="19">
        <f t="shared" si="36"/>
        <v>0</v>
      </c>
      <c r="S316" s="191">
        <f t="shared" si="37"/>
        <v>0</v>
      </c>
      <c r="T316" s="20">
        <v>4</v>
      </c>
      <c r="U316" s="20"/>
      <c r="V316" s="190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189">
        <v>300431</v>
      </c>
      <c r="B317" s="188" t="s">
        <v>292</v>
      </c>
      <c r="C317" s="230" t="s">
        <v>297</v>
      </c>
      <c r="D317" s="231"/>
      <c r="E317" s="193" t="s">
        <v>298</v>
      </c>
      <c r="F317" s="192"/>
      <c r="G317" s="191"/>
      <c r="H317" s="191"/>
      <c r="I317" s="191"/>
      <c r="J317" s="191"/>
      <c r="K317" s="191">
        <f t="shared" si="33"/>
        <v>0</v>
      </c>
      <c r="L317" s="191">
        <f t="shared" si="34"/>
        <v>0</v>
      </c>
      <c r="M317" s="191">
        <v>628.79999999999995</v>
      </c>
      <c r="N317" s="191">
        <f>+M317*1000/(87*1*80*60)*T317</f>
        <v>6.0229885057471266</v>
      </c>
      <c r="O317" s="191"/>
      <c r="P317" s="191">
        <f t="shared" si="35"/>
        <v>0</v>
      </c>
      <c r="Q317" s="191"/>
      <c r="R317" s="19">
        <f t="shared" si="36"/>
        <v>0</v>
      </c>
      <c r="S317" s="191">
        <f t="shared" si="37"/>
        <v>0</v>
      </c>
      <c r="T317" s="20">
        <v>4</v>
      </c>
      <c r="U317" s="20"/>
      <c r="V317" s="190" t="str">
        <f t="array" ref="V317">IF(ISERROR(L317/K317),"",L317/K317)</f>
        <v/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89">
        <v>300432</v>
      </c>
      <c r="B318" s="188" t="s">
        <v>292</v>
      </c>
      <c r="C318" s="230" t="s">
        <v>297</v>
      </c>
      <c r="D318" s="231"/>
      <c r="E318" s="193" t="s">
        <v>299</v>
      </c>
      <c r="F318" s="192"/>
      <c r="G318" s="191"/>
      <c r="H318" s="191"/>
      <c r="I318" s="191"/>
      <c r="J318" s="191"/>
      <c r="K318" s="191">
        <f t="shared" si="33"/>
        <v>0</v>
      </c>
      <c r="L318" s="191">
        <f t="shared" si="34"/>
        <v>0</v>
      </c>
      <c r="M318" s="191">
        <v>628.79999999999995</v>
      </c>
      <c r="N318" s="191">
        <f>+M318*1000/(87*1*80*60)*T318</f>
        <v>6.0229885057471266</v>
      </c>
      <c r="O318" s="191"/>
      <c r="P318" s="191">
        <f t="shared" si="35"/>
        <v>0</v>
      </c>
      <c r="Q318" s="191"/>
      <c r="R318" s="19">
        <f t="shared" si="36"/>
        <v>0</v>
      </c>
      <c r="S318" s="191">
        <f t="shared" si="37"/>
        <v>0</v>
      </c>
      <c r="T318" s="20">
        <v>4</v>
      </c>
      <c r="U318" s="20"/>
      <c r="V318" s="190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89">
        <v>300433</v>
      </c>
      <c r="B319" s="188">
        <v>5001</v>
      </c>
      <c r="C319" s="230" t="s">
        <v>297</v>
      </c>
      <c r="D319" s="231"/>
      <c r="E319" s="134" t="s">
        <v>300</v>
      </c>
      <c r="F319" s="192">
        <v>2031</v>
      </c>
      <c r="G319" s="191">
        <v>4.08</v>
      </c>
      <c r="H319" s="191">
        <v>8.3333333333333329E-2</v>
      </c>
      <c r="I319" s="191">
        <f>4+H319</f>
        <v>4.083333333333333</v>
      </c>
      <c r="J319" s="191"/>
      <c r="K319" s="191">
        <f t="shared" si="33"/>
        <v>2565.5039999999999</v>
      </c>
      <c r="L319" s="191">
        <f t="shared" si="34"/>
        <v>2567.5999999999995</v>
      </c>
      <c r="M319" s="191">
        <v>628.79999999999995</v>
      </c>
      <c r="N319" s="191">
        <f>+M319*1000/(87*1*80*60)*T319</f>
        <v>6.0229885057471266</v>
      </c>
      <c r="O319" s="191"/>
      <c r="P319" s="191">
        <f t="shared" si="35"/>
        <v>24.593869731800766</v>
      </c>
      <c r="Q319" s="191">
        <v>2</v>
      </c>
      <c r="R319" s="19">
        <f t="shared" si="36"/>
        <v>8</v>
      </c>
      <c r="S319" s="191">
        <f t="shared" si="37"/>
        <v>-16.593869731800766</v>
      </c>
      <c r="T319" s="20">
        <v>4</v>
      </c>
      <c r="U319" s="20">
        <v>4</v>
      </c>
      <c r="V319" s="190">
        <f t="array" ref="V319">IF(ISERROR(L319/K319),"",L319/K319)</f>
        <v>1.0008169934640521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customHeight="1">
      <c r="A320" s="189">
        <v>300074</v>
      </c>
      <c r="B320" s="188">
        <v>6502</v>
      </c>
      <c r="C320" s="219" t="s">
        <v>111</v>
      </c>
      <c r="D320" s="219" t="s">
        <v>112</v>
      </c>
      <c r="E320" s="193" t="s">
        <v>54</v>
      </c>
      <c r="F320" s="192">
        <v>2114</v>
      </c>
      <c r="G320" s="191">
        <v>3</v>
      </c>
      <c r="H320" s="191"/>
      <c r="I320" s="191">
        <f>3-J320/200</f>
        <v>2.6</v>
      </c>
      <c r="J320" s="191">
        <v>80</v>
      </c>
      <c r="K320" s="191">
        <f t="shared" si="33"/>
        <v>872.40000000000009</v>
      </c>
      <c r="L320" s="191">
        <f t="shared" si="34"/>
        <v>756.08</v>
      </c>
      <c r="M320" s="191">
        <v>290.8</v>
      </c>
      <c r="N320" s="191">
        <f>+M320*1000/(88*4*13*60)*T320</f>
        <v>3.1774475524475525</v>
      </c>
      <c r="O320" s="191">
        <v>0.5</v>
      </c>
      <c r="P320" s="191">
        <f t="shared" si="35"/>
        <v>9.2613636363636367</v>
      </c>
      <c r="Q320" s="191">
        <f>11.5-2</f>
        <v>9.5</v>
      </c>
      <c r="R320" s="19">
        <f t="shared" si="36"/>
        <v>19</v>
      </c>
      <c r="S320" s="191">
        <f t="shared" si="37"/>
        <v>9.7386363636363633</v>
      </c>
      <c r="T320" s="20">
        <v>3</v>
      </c>
      <c r="U320" s="20">
        <v>2</v>
      </c>
      <c r="V320" s="190">
        <f t="array" ref="V320">IF(ISERROR(L320/K320),"",L320/K320)</f>
        <v>0.86666666666666659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89">
        <v>300076</v>
      </c>
      <c r="B321" s="188" t="s">
        <v>110</v>
      </c>
      <c r="C321" s="219" t="s">
        <v>111</v>
      </c>
      <c r="D321" s="219" t="s">
        <v>112</v>
      </c>
      <c r="E321" s="193" t="s">
        <v>35</v>
      </c>
      <c r="F321" s="192"/>
      <c r="G321" s="191"/>
      <c r="H321" s="191"/>
      <c r="I321" s="191"/>
      <c r="J321" s="191"/>
      <c r="K321" s="191">
        <f t="shared" si="33"/>
        <v>0</v>
      </c>
      <c r="L321" s="191">
        <f t="shared" si="34"/>
        <v>0</v>
      </c>
      <c r="M321" s="191">
        <v>303.10000000000002</v>
      </c>
      <c r="N321" s="191">
        <f>+M321*1000/(88*4*12*60)*T321</f>
        <v>4.7837752525252526</v>
      </c>
      <c r="O321" s="191"/>
      <c r="P321" s="191">
        <f t="shared" si="35"/>
        <v>0</v>
      </c>
      <c r="Q321" s="191"/>
      <c r="R321" s="19">
        <f t="shared" si="36"/>
        <v>0</v>
      </c>
      <c r="S321" s="191">
        <f t="shared" si="37"/>
        <v>0</v>
      </c>
      <c r="T321" s="20">
        <v>4</v>
      </c>
      <c r="U321" s="20"/>
      <c r="V321" s="190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89">
        <v>300096</v>
      </c>
      <c r="B322" s="188">
        <v>6502</v>
      </c>
      <c r="C322" s="219" t="s">
        <v>113</v>
      </c>
      <c r="D322" s="219" t="s">
        <v>114</v>
      </c>
      <c r="E322" s="193" t="s">
        <v>37</v>
      </c>
      <c r="F322" s="192"/>
      <c r="G322" s="191"/>
      <c r="H322" s="191"/>
      <c r="I322" s="191"/>
      <c r="J322" s="191"/>
      <c r="K322" s="191">
        <f t="shared" si="33"/>
        <v>0</v>
      </c>
      <c r="L322" s="191">
        <f t="shared" si="34"/>
        <v>0</v>
      </c>
      <c r="M322" s="191">
        <v>480.13</v>
      </c>
      <c r="N322" s="191">
        <f>+M322*1000/(126.5*4*12*60)*T322</f>
        <v>2.6357597716293371</v>
      </c>
      <c r="O322" s="191"/>
      <c r="P322" s="191">
        <f t="shared" si="35"/>
        <v>0</v>
      </c>
      <c r="Q322" s="191"/>
      <c r="R322" s="19">
        <f t="shared" si="36"/>
        <v>0</v>
      </c>
      <c r="S322" s="191">
        <f t="shared" si="37"/>
        <v>0</v>
      </c>
      <c r="T322" s="20">
        <v>2</v>
      </c>
      <c r="U322" s="20"/>
      <c r="V322" s="190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89"/>
      <c r="B323" s="188" t="s">
        <v>110</v>
      </c>
      <c r="C323" s="219" t="s">
        <v>113</v>
      </c>
      <c r="D323" s="219" t="s">
        <v>114</v>
      </c>
      <c r="E323" s="193" t="s">
        <v>35</v>
      </c>
      <c r="F323" s="192"/>
      <c r="G323" s="191"/>
      <c r="H323" s="191"/>
      <c r="I323" s="191"/>
      <c r="J323" s="191"/>
      <c r="K323" s="191">
        <f t="shared" si="33"/>
        <v>0</v>
      </c>
      <c r="L323" s="191">
        <f t="shared" si="34"/>
        <v>0</v>
      </c>
      <c r="M323" s="191">
        <v>480.13</v>
      </c>
      <c r="N323" s="191">
        <f>+M323*1000/(126.5*4*12*60)*T323</f>
        <v>2.6357597716293371</v>
      </c>
      <c r="O323" s="191"/>
      <c r="P323" s="191">
        <f t="shared" si="35"/>
        <v>0</v>
      </c>
      <c r="Q323" s="191"/>
      <c r="R323" s="19">
        <f t="shared" si="36"/>
        <v>0</v>
      </c>
      <c r="S323" s="191">
        <f t="shared" si="37"/>
        <v>0</v>
      </c>
      <c r="T323" s="20">
        <v>2</v>
      </c>
      <c r="U323" s="20"/>
      <c r="V323" s="190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89">
        <v>300097</v>
      </c>
      <c r="B324" s="188">
        <v>6502</v>
      </c>
      <c r="C324" s="219" t="s">
        <v>113</v>
      </c>
      <c r="D324" s="219" t="s">
        <v>114</v>
      </c>
      <c r="E324" s="193" t="s">
        <v>63</v>
      </c>
      <c r="F324" s="192">
        <v>2077</v>
      </c>
      <c r="G324" s="191">
        <v>7</v>
      </c>
      <c r="H324" s="191">
        <v>0.4</v>
      </c>
      <c r="I324" s="191">
        <f>6+H324</f>
        <v>6.4</v>
      </c>
      <c r="J324" s="191"/>
      <c r="K324" s="191">
        <f t="shared" si="33"/>
        <v>3360.91</v>
      </c>
      <c r="L324" s="191">
        <f t="shared" si="34"/>
        <v>3072.8320000000003</v>
      </c>
      <c r="M324" s="191">
        <v>480.13</v>
      </c>
      <c r="N324" s="191">
        <f>+M324*1000/(126.5*4*12*60)*T324</f>
        <v>2.6357597716293371</v>
      </c>
      <c r="O324" s="191"/>
      <c r="P324" s="191">
        <f t="shared" si="35"/>
        <v>16.868862538427759</v>
      </c>
      <c r="Q324" s="191">
        <v>2</v>
      </c>
      <c r="R324" s="19">
        <f t="shared" si="36"/>
        <v>4</v>
      </c>
      <c r="S324" s="191">
        <f t="shared" si="37"/>
        <v>-12.868862538427759</v>
      </c>
      <c r="T324" s="20">
        <v>2</v>
      </c>
      <c r="U324" s="20">
        <v>2</v>
      </c>
      <c r="V324" s="190">
        <f t="array" ref="V324">IF(ISERROR(L324/K324),"",L324/K324)</f>
        <v>0.91428571428571448</v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88">
        <v>300294</v>
      </c>
      <c r="B325" s="188" t="s">
        <v>110</v>
      </c>
      <c r="C325" s="219" t="s">
        <v>115</v>
      </c>
      <c r="D325" s="219"/>
      <c r="E325" s="193" t="s">
        <v>41</v>
      </c>
      <c r="F325" s="192"/>
      <c r="G325" s="191"/>
      <c r="H325" s="191"/>
      <c r="I325" s="191"/>
      <c r="J325" s="191"/>
      <c r="K325" s="191">
        <f t="shared" si="33"/>
        <v>0</v>
      </c>
      <c r="L325" s="191">
        <f t="shared" si="34"/>
        <v>0</v>
      </c>
      <c r="M325" s="191">
        <v>373.14</v>
      </c>
      <c r="N325" s="191">
        <f t="shared" ref="N325:N334" si="39">+M325*1000/(90*4*14*60)*T325</f>
        <v>3.7017857142857142</v>
      </c>
      <c r="O325" s="191"/>
      <c r="P325" s="191">
        <f t="shared" si="35"/>
        <v>0</v>
      </c>
      <c r="Q325" s="191"/>
      <c r="R325" s="19">
        <f t="shared" si="36"/>
        <v>0</v>
      </c>
      <c r="S325" s="191">
        <f t="shared" si="37"/>
        <v>0</v>
      </c>
      <c r="T325" s="20">
        <v>3</v>
      </c>
      <c r="U325" s="20"/>
      <c r="V325" s="190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88">
        <v>300295</v>
      </c>
      <c r="B326" s="188" t="s">
        <v>116</v>
      </c>
      <c r="C326" s="219" t="s">
        <v>117</v>
      </c>
      <c r="D326" s="219"/>
      <c r="E326" s="193" t="s">
        <v>118</v>
      </c>
      <c r="F326" s="192"/>
      <c r="G326" s="191"/>
      <c r="H326" s="191"/>
      <c r="I326" s="191"/>
      <c r="J326" s="191"/>
      <c r="K326" s="191">
        <f t="shared" si="33"/>
        <v>0</v>
      </c>
      <c r="L326" s="191">
        <f t="shared" si="34"/>
        <v>0</v>
      </c>
      <c r="M326" s="191">
        <v>373.14</v>
      </c>
      <c r="N326" s="191">
        <f t="shared" si="39"/>
        <v>3.7017857142857142</v>
      </c>
      <c r="O326" s="191"/>
      <c r="P326" s="191">
        <f t="shared" si="35"/>
        <v>0</v>
      </c>
      <c r="Q326" s="191"/>
      <c r="R326" s="19">
        <f t="shared" si="36"/>
        <v>0</v>
      </c>
      <c r="S326" s="191">
        <f t="shared" si="37"/>
        <v>0</v>
      </c>
      <c r="T326" s="20">
        <v>3</v>
      </c>
      <c r="U326" s="20"/>
      <c r="V326" s="190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88">
        <v>300258</v>
      </c>
      <c r="B327" s="188" t="s">
        <v>110</v>
      </c>
      <c r="C327" s="219" t="s">
        <v>115</v>
      </c>
      <c r="D327" s="219"/>
      <c r="E327" s="193" t="s">
        <v>42</v>
      </c>
      <c r="F327" s="192"/>
      <c r="G327" s="191"/>
      <c r="H327" s="191"/>
      <c r="I327" s="191"/>
      <c r="J327" s="191"/>
      <c r="K327" s="191">
        <f t="shared" si="33"/>
        <v>0</v>
      </c>
      <c r="L327" s="191">
        <f t="shared" si="34"/>
        <v>0</v>
      </c>
      <c r="M327" s="191">
        <v>373.14</v>
      </c>
      <c r="N327" s="191">
        <f t="shared" si="39"/>
        <v>3.7017857142857142</v>
      </c>
      <c r="O327" s="191"/>
      <c r="P327" s="191">
        <f t="shared" si="35"/>
        <v>0</v>
      </c>
      <c r="Q327" s="191"/>
      <c r="R327" s="19">
        <f t="shared" si="36"/>
        <v>0</v>
      </c>
      <c r="S327" s="191">
        <f t="shared" si="37"/>
        <v>0</v>
      </c>
      <c r="T327" s="20">
        <v>3</v>
      </c>
      <c r="U327" s="20"/>
      <c r="V327" s="190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88">
        <v>300256</v>
      </c>
      <c r="B328" s="188" t="s">
        <v>110</v>
      </c>
      <c r="C328" s="219" t="s">
        <v>115</v>
      </c>
      <c r="D328" s="219"/>
      <c r="E328" s="193" t="s">
        <v>74</v>
      </c>
      <c r="F328" s="192"/>
      <c r="G328" s="191"/>
      <c r="H328" s="191"/>
      <c r="I328" s="191"/>
      <c r="J328" s="191"/>
      <c r="K328" s="191">
        <f t="shared" si="33"/>
        <v>0</v>
      </c>
      <c r="L328" s="191">
        <f t="shared" si="34"/>
        <v>0</v>
      </c>
      <c r="M328" s="191">
        <v>373.14</v>
      </c>
      <c r="N328" s="191">
        <f t="shared" si="39"/>
        <v>3.7017857142857142</v>
      </c>
      <c r="O328" s="191"/>
      <c r="P328" s="191">
        <f t="shared" si="35"/>
        <v>0</v>
      </c>
      <c r="Q328" s="191"/>
      <c r="R328" s="19">
        <f t="shared" si="36"/>
        <v>0</v>
      </c>
      <c r="S328" s="191">
        <f t="shared" si="37"/>
        <v>0</v>
      </c>
      <c r="T328" s="20">
        <v>3</v>
      </c>
      <c r="U328" s="20"/>
      <c r="V328" s="190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88">
        <v>300259</v>
      </c>
      <c r="B329" s="188" t="s">
        <v>110</v>
      </c>
      <c r="C329" s="219" t="s">
        <v>115</v>
      </c>
      <c r="D329" s="219"/>
      <c r="E329" s="193" t="s">
        <v>40</v>
      </c>
      <c r="F329" s="192"/>
      <c r="G329" s="191"/>
      <c r="H329" s="191"/>
      <c r="I329" s="191"/>
      <c r="J329" s="191"/>
      <c r="K329" s="191">
        <f t="shared" si="33"/>
        <v>0</v>
      </c>
      <c r="L329" s="191">
        <f t="shared" si="34"/>
        <v>0</v>
      </c>
      <c r="M329" s="191">
        <v>373.14</v>
      </c>
      <c r="N329" s="191">
        <f t="shared" si="39"/>
        <v>3.7017857142857142</v>
      </c>
      <c r="O329" s="191"/>
      <c r="P329" s="191">
        <f t="shared" si="35"/>
        <v>0</v>
      </c>
      <c r="Q329" s="191"/>
      <c r="R329" s="19">
        <f t="shared" si="36"/>
        <v>0</v>
      </c>
      <c r="S329" s="191">
        <f t="shared" si="37"/>
        <v>0</v>
      </c>
      <c r="T329" s="20">
        <v>3</v>
      </c>
      <c r="U329" s="20"/>
      <c r="V329" s="190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88">
        <v>300345</v>
      </c>
      <c r="B330" s="188" t="s">
        <v>110</v>
      </c>
      <c r="C330" s="219" t="s">
        <v>119</v>
      </c>
      <c r="D330" s="219"/>
      <c r="E330" s="193" t="s">
        <v>74</v>
      </c>
      <c r="F330" s="192"/>
      <c r="G330" s="191"/>
      <c r="H330" s="191"/>
      <c r="I330" s="191"/>
      <c r="J330" s="191"/>
      <c r="K330" s="191">
        <f t="shared" si="33"/>
        <v>0</v>
      </c>
      <c r="L330" s="191">
        <f t="shared" si="34"/>
        <v>0</v>
      </c>
      <c r="M330" s="191">
        <v>373.14</v>
      </c>
      <c r="N330" s="191">
        <f t="shared" si="39"/>
        <v>3.7017857142857142</v>
      </c>
      <c r="O330" s="41"/>
      <c r="P330" s="191">
        <f t="shared" si="35"/>
        <v>0</v>
      </c>
      <c r="Q330" s="41"/>
      <c r="R330" s="19">
        <f t="shared" si="36"/>
        <v>0</v>
      </c>
      <c r="S330" s="191">
        <f t="shared" si="37"/>
        <v>0</v>
      </c>
      <c r="T330" s="20">
        <v>3</v>
      </c>
      <c r="U330" s="41"/>
      <c r="V330" s="190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88">
        <v>300346</v>
      </c>
      <c r="B331" s="188" t="s">
        <v>110</v>
      </c>
      <c r="C331" s="219" t="s">
        <v>119</v>
      </c>
      <c r="D331" s="219"/>
      <c r="E331" s="193" t="s">
        <v>42</v>
      </c>
      <c r="F331" s="192"/>
      <c r="G331" s="191"/>
      <c r="H331" s="191"/>
      <c r="I331" s="191"/>
      <c r="J331" s="191"/>
      <c r="K331" s="191">
        <f t="shared" si="33"/>
        <v>0</v>
      </c>
      <c r="L331" s="191">
        <f t="shared" si="34"/>
        <v>0</v>
      </c>
      <c r="M331" s="191">
        <v>373.14</v>
      </c>
      <c r="N331" s="191">
        <f t="shared" si="39"/>
        <v>3.7017857142857142</v>
      </c>
      <c r="O331" s="41"/>
      <c r="P331" s="191">
        <f t="shared" si="35"/>
        <v>0</v>
      </c>
      <c r="Q331" s="41"/>
      <c r="R331" s="19">
        <f t="shared" si="36"/>
        <v>0</v>
      </c>
      <c r="S331" s="191">
        <f t="shared" si="37"/>
        <v>0</v>
      </c>
      <c r="T331" s="20">
        <v>3</v>
      </c>
      <c r="U331" s="41"/>
      <c r="V331" s="190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88">
        <v>300347</v>
      </c>
      <c r="B332" s="188" t="s">
        <v>110</v>
      </c>
      <c r="C332" s="219" t="s">
        <v>119</v>
      </c>
      <c r="D332" s="219"/>
      <c r="E332" s="193" t="s">
        <v>41</v>
      </c>
      <c r="F332" s="192"/>
      <c r="G332" s="191"/>
      <c r="H332" s="191"/>
      <c r="I332" s="191"/>
      <c r="J332" s="191"/>
      <c r="K332" s="191">
        <f t="shared" si="33"/>
        <v>0</v>
      </c>
      <c r="L332" s="191">
        <f t="shared" si="34"/>
        <v>0</v>
      </c>
      <c r="M332" s="191">
        <v>373.14</v>
      </c>
      <c r="N332" s="191">
        <f t="shared" si="39"/>
        <v>3.7017857142857142</v>
      </c>
      <c r="O332" s="41"/>
      <c r="P332" s="191">
        <f t="shared" si="35"/>
        <v>0</v>
      </c>
      <c r="Q332" s="41"/>
      <c r="R332" s="19">
        <f t="shared" si="36"/>
        <v>0</v>
      </c>
      <c r="S332" s="191">
        <f t="shared" si="37"/>
        <v>0</v>
      </c>
      <c r="T332" s="20">
        <v>3</v>
      </c>
      <c r="U332" s="41"/>
      <c r="V332" s="190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88">
        <v>300348</v>
      </c>
      <c r="B333" s="188" t="s">
        <v>110</v>
      </c>
      <c r="C333" s="219" t="s">
        <v>119</v>
      </c>
      <c r="D333" s="219"/>
      <c r="E333" s="193" t="s">
        <v>118</v>
      </c>
      <c r="F333" s="192"/>
      <c r="G333" s="191"/>
      <c r="H333" s="191"/>
      <c r="I333" s="191"/>
      <c r="J333" s="191"/>
      <c r="K333" s="191">
        <f t="shared" si="33"/>
        <v>0</v>
      </c>
      <c r="L333" s="191">
        <f t="shared" si="34"/>
        <v>0</v>
      </c>
      <c r="M333" s="191">
        <v>373.14</v>
      </c>
      <c r="N333" s="191">
        <f t="shared" si="39"/>
        <v>3.7017857142857142</v>
      </c>
      <c r="O333" s="41"/>
      <c r="P333" s="191">
        <f t="shared" si="35"/>
        <v>0</v>
      </c>
      <c r="Q333" s="41"/>
      <c r="R333" s="19">
        <f t="shared" si="36"/>
        <v>0</v>
      </c>
      <c r="S333" s="191">
        <f t="shared" si="37"/>
        <v>0</v>
      </c>
      <c r="T333" s="20">
        <v>3</v>
      </c>
      <c r="U333" s="41"/>
      <c r="V333" s="190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88">
        <v>300349</v>
      </c>
      <c r="B334" s="188" t="s">
        <v>110</v>
      </c>
      <c r="C334" s="219" t="s">
        <v>119</v>
      </c>
      <c r="D334" s="219"/>
      <c r="E334" s="193" t="s">
        <v>40</v>
      </c>
      <c r="F334" s="192"/>
      <c r="G334" s="191"/>
      <c r="H334" s="191"/>
      <c r="I334" s="191"/>
      <c r="J334" s="191"/>
      <c r="K334" s="191">
        <f t="shared" si="33"/>
        <v>0</v>
      </c>
      <c r="L334" s="191">
        <f t="shared" si="34"/>
        <v>0</v>
      </c>
      <c r="M334" s="191">
        <v>373.14</v>
      </c>
      <c r="N334" s="191">
        <f t="shared" si="39"/>
        <v>3.7017857142857142</v>
      </c>
      <c r="O334" s="41"/>
      <c r="P334" s="191">
        <f t="shared" si="35"/>
        <v>0</v>
      </c>
      <c r="Q334" s="41"/>
      <c r="R334" s="19">
        <f t="shared" si="36"/>
        <v>0</v>
      </c>
      <c r="S334" s="191">
        <f t="shared" si="37"/>
        <v>0</v>
      </c>
      <c r="T334" s="20">
        <v>3</v>
      </c>
      <c r="U334" s="41"/>
      <c r="V334" s="190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88">
        <v>300298</v>
      </c>
      <c r="B335" s="188" t="s">
        <v>110</v>
      </c>
      <c r="C335" s="219" t="s">
        <v>120</v>
      </c>
      <c r="D335" s="219"/>
      <c r="E335" s="193" t="s">
        <v>54</v>
      </c>
      <c r="F335" s="192"/>
      <c r="G335" s="191"/>
      <c r="H335" s="191"/>
      <c r="I335" s="191"/>
      <c r="J335" s="191"/>
      <c r="K335" s="191">
        <f t="shared" si="33"/>
        <v>0</v>
      </c>
      <c r="L335" s="191">
        <f t="shared" si="34"/>
        <v>0</v>
      </c>
      <c r="M335" s="191">
        <v>380.63</v>
      </c>
      <c r="N335" s="191">
        <f t="shared" ref="N335:N340" si="40">+M335*1000/(94.7*4*15*60)*T335</f>
        <v>4.4659157573624313</v>
      </c>
      <c r="O335" s="191"/>
      <c r="P335" s="191">
        <f t="shared" si="35"/>
        <v>0</v>
      </c>
      <c r="Q335" s="191"/>
      <c r="R335" s="19">
        <f t="shared" si="36"/>
        <v>0</v>
      </c>
      <c r="S335" s="191">
        <f t="shared" si="37"/>
        <v>0</v>
      </c>
      <c r="T335" s="20">
        <v>4</v>
      </c>
      <c r="U335" s="20"/>
      <c r="V335" s="190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88">
        <v>300299</v>
      </c>
      <c r="B336" s="188" t="s">
        <v>110</v>
      </c>
      <c r="C336" s="219" t="s">
        <v>120</v>
      </c>
      <c r="D336" s="219"/>
      <c r="E336" s="193" t="s">
        <v>39</v>
      </c>
      <c r="F336" s="192"/>
      <c r="G336" s="191"/>
      <c r="H336" s="191"/>
      <c r="I336" s="191"/>
      <c r="J336" s="191"/>
      <c r="K336" s="191">
        <f t="shared" si="33"/>
        <v>0</v>
      </c>
      <c r="L336" s="191">
        <f t="shared" si="34"/>
        <v>0</v>
      </c>
      <c r="M336" s="191">
        <v>380.63</v>
      </c>
      <c r="N336" s="191">
        <f t="shared" si="40"/>
        <v>4.4659157573624313</v>
      </c>
      <c r="O336" s="191"/>
      <c r="P336" s="191">
        <f t="shared" si="35"/>
        <v>0</v>
      </c>
      <c r="Q336" s="191"/>
      <c r="R336" s="19">
        <f t="shared" si="36"/>
        <v>0</v>
      </c>
      <c r="S336" s="191">
        <f t="shared" si="37"/>
        <v>0</v>
      </c>
      <c r="T336" s="20">
        <v>4</v>
      </c>
      <c r="U336" s="20"/>
      <c r="V336" s="190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88">
        <v>300296</v>
      </c>
      <c r="B337" s="188" t="s">
        <v>110</v>
      </c>
      <c r="C337" s="219" t="s">
        <v>120</v>
      </c>
      <c r="D337" s="219"/>
      <c r="E337" s="193" t="s">
        <v>41</v>
      </c>
      <c r="F337" s="192"/>
      <c r="G337" s="191"/>
      <c r="H337" s="191"/>
      <c r="I337" s="191"/>
      <c r="J337" s="191"/>
      <c r="K337" s="191">
        <f t="shared" si="33"/>
        <v>0</v>
      </c>
      <c r="L337" s="191">
        <f t="shared" si="34"/>
        <v>0</v>
      </c>
      <c r="M337" s="191">
        <v>380.63</v>
      </c>
      <c r="N337" s="191">
        <f t="shared" si="40"/>
        <v>4.4659157573624313</v>
      </c>
      <c r="O337" s="191"/>
      <c r="P337" s="191">
        <f t="shared" si="35"/>
        <v>0</v>
      </c>
      <c r="Q337" s="191"/>
      <c r="R337" s="19">
        <f t="shared" si="36"/>
        <v>0</v>
      </c>
      <c r="S337" s="191">
        <f t="shared" si="37"/>
        <v>0</v>
      </c>
      <c r="T337" s="20">
        <v>4</v>
      </c>
      <c r="U337" s="20"/>
      <c r="V337" s="190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88">
        <v>300297</v>
      </c>
      <c r="B338" s="188" t="s">
        <v>110</v>
      </c>
      <c r="C338" s="219" t="s">
        <v>120</v>
      </c>
      <c r="D338" s="219"/>
      <c r="E338" s="193" t="s">
        <v>37</v>
      </c>
      <c r="F338" s="192"/>
      <c r="G338" s="191"/>
      <c r="H338" s="191"/>
      <c r="I338" s="191"/>
      <c r="J338" s="191"/>
      <c r="K338" s="191">
        <f t="shared" si="33"/>
        <v>0</v>
      </c>
      <c r="L338" s="191">
        <f t="shared" si="34"/>
        <v>0</v>
      </c>
      <c r="M338" s="191">
        <v>380.63</v>
      </c>
      <c r="N338" s="191">
        <f t="shared" si="40"/>
        <v>4.4659157573624313</v>
      </c>
      <c r="O338" s="191"/>
      <c r="P338" s="191">
        <f t="shared" si="35"/>
        <v>0</v>
      </c>
      <c r="Q338" s="191"/>
      <c r="R338" s="19">
        <f t="shared" si="36"/>
        <v>0</v>
      </c>
      <c r="S338" s="191">
        <f t="shared" si="37"/>
        <v>0</v>
      </c>
      <c r="T338" s="20">
        <v>4</v>
      </c>
      <c r="U338" s="20"/>
      <c r="V338" s="190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88">
        <v>300340</v>
      </c>
      <c r="B339" s="188" t="s">
        <v>110</v>
      </c>
      <c r="C339" s="230" t="s">
        <v>121</v>
      </c>
      <c r="D339" s="231"/>
      <c r="E339" s="193" t="s">
        <v>41</v>
      </c>
      <c r="F339" s="192"/>
      <c r="G339" s="191"/>
      <c r="H339" s="191"/>
      <c r="I339" s="191"/>
      <c r="J339" s="191"/>
      <c r="K339" s="191">
        <f t="shared" si="33"/>
        <v>0</v>
      </c>
      <c r="L339" s="191">
        <f t="shared" si="34"/>
        <v>0</v>
      </c>
      <c r="M339" s="191">
        <v>325.60000000000002</v>
      </c>
      <c r="N339" s="191">
        <f t="shared" si="40"/>
        <v>3.8202510852986036</v>
      </c>
      <c r="O339" s="191"/>
      <c r="P339" s="191">
        <f t="shared" si="35"/>
        <v>0</v>
      </c>
      <c r="Q339" s="191"/>
      <c r="R339" s="19">
        <f t="shared" si="36"/>
        <v>0</v>
      </c>
      <c r="S339" s="191">
        <f t="shared" si="37"/>
        <v>0</v>
      </c>
      <c r="T339" s="20">
        <v>4</v>
      </c>
      <c r="U339" s="20"/>
      <c r="V339" s="190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88">
        <v>300339</v>
      </c>
      <c r="B340" s="188" t="s">
        <v>110</v>
      </c>
      <c r="C340" s="230" t="s">
        <v>121</v>
      </c>
      <c r="D340" s="231"/>
      <c r="E340" s="193" t="s">
        <v>39</v>
      </c>
      <c r="F340" s="192"/>
      <c r="G340" s="191"/>
      <c r="H340" s="191"/>
      <c r="I340" s="191"/>
      <c r="J340" s="191"/>
      <c r="K340" s="191">
        <f t="shared" si="33"/>
        <v>0</v>
      </c>
      <c r="L340" s="191">
        <f t="shared" si="34"/>
        <v>0</v>
      </c>
      <c r="M340" s="191">
        <v>325.60000000000002</v>
      </c>
      <c r="N340" s="191">
        <f t="shared" si="40"/>
        <v>3.8202510852986036</v>
      </c>
      <c r="O340" s="191"/>
      <c r="P340" s="191">
        <f t="shared" si="35"/>
        <v>0</v>
      </c>
      <c r="Q340" s="191"/>
      <c r="R340" s="19">
        <f t="shared" si="36"/>
        <v>0</v>
      </c>
      <c r="S340" s="191">
        <f t="shared" si="37"/>
        <v>0</v>
      </c>
      <c r="T340" s="20">
        <v>4</v>
      </c>
      <c r="U340" s="20"/>
      <c r="V340" s="190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88">
        <v>300303</v>
      </c>
      <c r="B341" s="188" t="s">
        <v>110</v>
      </c>
      <c r="C341" s="219" t="s">
        <v>122</v>
      </c>
      <c r="D341" s="219" t="s">
        <v>123</v>
      </c>
      <c r="E341" s="193" t="s">
        <v>57</v>
      </c>
      <c r="F341" s="192"/>
      <c r="G341" s="191"/>
      <c r="H341" s="191"/>
      <c r="I341" s="191"/>
      <c r="J341" s="191"/>
      <c r="K341" s="191">
        <f t="shared" si="33"/>
        <v>0</v>
      </c>
      <c r="L341" s="191">
        <f t="shared" si="34"/>
        <v>0</v>
      </c>
      <c r="M341" s="191">
        <v>396.92</v>
      </c>
      <c r="N341" s="191">
        <f>+M341*1000/(113.8*4*15*60)*T341</f>
        <v>4.8442686975200155</v>
      </c>
      <c r="O341" s="191"/>
      <c r="P341" s="191">
        <f t="shared" si="35"/>
        <v>0</v>
      </c>
      <c r="Q341" s="191"/>
      <c r="R341" s="19">
        <f t="shared" si="36"/>
        <v>0</v>
      </c>
      <c r="S341" s="191">
        <f t="shared" si="37"/>
        <v>0</v>
      </c>
      <c r="T341" s="20">
        <v>5</v>
      </c>
      <c r="U341" s="20"/>
      <c r="V341" s="190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88">
        <v>300302</v>
      </c>
      <c r="B342" s="188" t="s">
        <v>110</v>
      </c>
      <c r="C342" s="219" t="s">
        <v>122</v>
      </c>
      <c r="D342" s="219" t="s">
        <v>123</v>
      </c>
      <c r="E342" s="193" t="s">
        <v>109</v>
      </c>
      <c r="F342" s="192"/>
      <c r="G342" s="191"/>
      <c r="H342" s="191"/>
      <c r="I342" s="191"/>
      <c r="J342" s="191"/>
      <c r="K342" s="191">
        <f t="shared" si="33"/>
        <v>0</v>
      </c>
      <c r="L342" s="191">
        <f t="shared" si="34"/>
        <v>0</v>
      </c>
      <c r="M342" s="191">
        <v>396.06</v>
      </c>
      <c r="N342" s="191">
        <f>+M342*1000/(113.8*4*15*60)*T342</f>
        <v>4.8337727006444053</v>
      </c>
      <c r="O342" s="191"/>
      <c r="P342" s="191">
        <f t="shared" si="35"/>
        <v>0</v>
      </c>
      <c r="Q342" s="191"/>
      <c r="R342" s="19">
        <f t="shared" si="36"/>
        <v>0</v>
      </c>
      <c r="S342" s="191">
        <f t="shared" si="37"/>
        <v>0</v>
      </c>
      <c r="T342" s="20">
        <v>5</v>
      </c>
      <c r="U342" s="20"/>
      <c r="V342" s="190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88">
        <v>300301</v>
      </c>
      <c r="B343" s="188" t="s">
        <v>110</v>
      </c>
      <c r="C343" s="219" t="s">
        <v>122</v>
      </c>
      <c r="D343" s="219" t="s">
        <v>123</v>
      </c>
      <c r="E343" s="193" t="s">
        <v>124</v>
      </c>
      <c r="F343" s="192"/>
      <c r="G343" s="191"/>
      <c r="H343" s="191"/>
      <c r="I343" s="191"/>
      <c r="J343" s="191"/>
      <c r="K343" s="191">
        <f t="shared" si="33"/>
        <v>0</v>
      </c>
      <c r="L343" s="191">
        <f t="shared" si="34"/>
        <v>0</v>
      </c>
      <c r="M343" s="191">
        <v>401.25</v>
      </c>
      <c r="N343" s="191">
        <f>+M343*1000/(113.8*4*15*60)*T343</f>
        <v>4.8971148213239601</v>
      </c>
      <c r="O343" s="191"/>
      <c r="P343" s="191">
        <f t="shared" si="35"/>
        <v>0</v>
      </c>
      <c r="Q343" s="191"/>
      <c r="R343" s="19">
        <f t="shared" si="36"/>
        <v>0</v>
      </c>
      <c r="S343" s="191">
        <f t="shared" si="37"/>
        <v>0</v>
      </c>
      <c r="T343" s="20">
        <v>5</v>
      </c>
      <c r="U343" s="20"/>
      <c r="V343" s="190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89">
        <v>300304</v>
      </c>
      <c r="B344" s="188" t="s">
        <v>110</v>
      </c>
      <c r="C344" s="219" t="s">
        <v>122</v>
      </c>
      <c r="D344" s="219"/>
      <c r="E344" s="193" t="s">
        <v>125</v>
      </c>
      <c r="F344" s="192"/>
      <c r="G344" s="191"/>
      <c r="H344" s="191"/>
      <c r="I344" s="191"/>
      <c r="J344" s="191"/>
      <c r="K344" s="191">
        <f t="shared" si="33"/>
        <v>0</v>
      </c>
      <c r="L344" s="191">
        <f t="shared" si="34"/>
        <v>0</v>
      </c>
      <c r="M344" s="191">
        <v>401.25</v>
      </c>
      <c r="N344" s="191">
        <f>+M344*1000/(113.8*4*15*60)*T344</f>
        <v>4.8971148213239601</v>
      </c>
      <c r="O344" s="191"/>
      <c r="P344" s="191">
        <f t="shared" si="35"/>
        <v>0</v>
      </c>
      <c r="Q344" s="191"/>
      <c r="R344" s="19">
        <f t="shared" si="36"/>
        <v>0</v>
      </c>
      <c r="S344" s="191">
        <f t="shared" si="37"/>
        <v>0</v>
      </c>
      <c r="T344" s="20">
        <v>5</v>
      </c>
      <c r="U344" s="20"/>
      <c r="V344" s="190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89">
        <v>300300</v>
      </c>
      <c r="B345" s="188" t="s">
        <v>110</v>
      </c>
      <c r="C345" s="219" t="s">
        <v>122</v>
      </c>
      <c r="D345" s="219" t="s">
        <v>123</v>
      </c>
      <c r="E345" s="193" t="s">
        <v>54</v>
      </c>
      <c r="F345" s="192"/>
      <c r="G345" s="191"/>
      <c r="H345" s="191"/>
      <c r="I345" s="191"/>
      <c r="J345" s="191"/>
      <c r="K345" s="191">
        <f t="shared" si="33"/>
        <v>0</v>
      </c>
      <c r="L345" s="191">
        <f t="shared" si="34"/>
        <v>0</v>
      </c>
      <c r="M345" s="191">
        <v>399.07</v>
      </c>
      <c r="N345" s="191">
        <f>+M345*1000/(113.8*4*15*60)*T345</f>
        <v>4.8705086897090411</v>
      </c>
      <c r="O345" s="191"/>
      <c r="P345" s="191">
        <f t="shared" si="35"/>
        <v>0</v>
      </c>
      <c r="Q345" s="191"/>
      <c r="R345" s="19">
        <f t="shared" si="36"/>
        <v>0</v>
      </c>
      <c r="S345" s="191">
        <f t="shared" si="37"/>
        <v>0</v>
      </c>
      <c r="T345" s="20">
        <v>5</v>
      </c>
      <c r="U345" s="20"/>
      <c r="V345" s="190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89">
        <v>300085</v>
      </c>
      <c r="B346" s="188" t="s">
        <v>110</v>
      </c>
      <c r="C346" s="219" t="s">
        <v>126</v>
      </c>
      <c r="D346" s="219" t="s">
        <v>123</v>
      </c>
      <c r="E346" s="193" t="s">
        <v>127</v>
      </c>
      <c r="F346" s="192"/>
      <c r="G346" s="191"/>
      <c r="H346" s="191"/>
      <c r="I346" s="191"/>
      <c r="J346" s="191"/>
      <c r="K346" s="191">
        <f t="shared" si="33"/>
        <v>0</v>
      </c>
      <c r="L346" s="191">
        <f t="shared" si="34"/>
        <v>0</v>
      </c>
      <c r="M346" s="191">
        <v>394.3</v>
      </c>
      <c r="N346" s="191">
        <f>+M346*1000/(104.2*4*15*60)*T346</f>
        <v>6.3067818298144598</v>
      </c>
      <c r="O346" s="191"/>
      <c r="P346" s="191">
        <f t="shared" si="35"/>
        <v>0</v>
      </c>
      <c r="Q346" s="191"/>
      <c r="R346" s="19">
        <f t="shared" si="36"/>
        <v>0</v>
      </c>
      <c r="S346" s="191">
        <f t="shared" si="37"/>
        <v>0</v>
      </c>
      <c r="T346" s="20">
        <v>6</v>
      </c>
      <c r="U346" s="20"/>
      <c r="V346" s="190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89">
        <v>300087</v>
      </c>
      <c r="B347" s="188">
        <v>6503</v>
      </c>
      <c r="C347" s="219" t="s">
        <v>126</v>
      </c>
      <c r="D347" s="219" t="s">
        <v>123</v>
      </c>
      <c r="E347" s="193" t="s">
        <v>80</v>
      </c>
      <c r="F347" s="192">
        <v>2051</v>
      </c>
      <c r="G347" s="191">
        <v>2.5</v>
      </c>
      <c r="H347" s="191">
        <v>0.5</v>
      </c>
      <c r="I347" s="191">
        <f>2+H347</f>
        <v>2.5</v>
      </c>
      <c r="J347" s="191"/>
      <c r="K347" s="191">
        <f t="shared" si="33"/>
        <v>950.25</v>
      </c>
      <c r="L347" s="191">
        <f t="shared" si="34"/>
        <v>950.25</v>
      </c>
      <c r="M347" s="191">
        <v>380.1</v>
      </c>
      <c r="N347" s="191">
        <f>+M347*1000/(104.2*4*16*60)*T347</f>
        <v>4.7497300863723604</v>
      </c>
      <c r="O347" s="191"/>
      <c r="P347" s="191">
        <f t="shared" si="35"/>
        <v>11.874325215930901</v>
      </c>
      <c r="Q347" s="191">
        <v>4</v>
      </c>
      <c r="R347" s="19">
        <f t="shared" si="36"/>
        <v>20</v>
      </c>
      <c r="S347" s="191">
        <f t="shared" si="37"/>
        <v>8.1256747840690995</v>
      </c>
      <c r="T347" s="20">
        <v>5</v>
      </c>
      <c r="U347" s="20">
        <v>5</v>
      </c>
      <c r="V347" s="190">
        <f t="array" ref="V347">IF(ISERROR(L347/K347),"",L347/K347)</f>
        <v>1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89">
        <v>300387</v>
      </c>
      <c r="B348" s="188" t="s">
        <v>128</v>
      </c>
      <c r="C348" s="230" t="s">
        <v>129</v>
      </c>
      <c r="D348" s="231"/>
      <c r="E348" s="193" t="s">
        <v>57</v>
      </c>
      <c r="F348" s="192"/>
      <c r="G348" s="191"/>
      <c r="H348" s="191"/>
      <c r="I348" s="191"/>
      <c r="J348" s="191"/>
      <c r="K348" s="191">
        <f t="shared" si="33"/>
        <v>0</v>
      </c>
      <c r="L348" s="191">
        <f t="shared" si="34"/>
        <v>0</v>
      </c>
      <c r="M348" s="191">
        <v>352.29</v>
      </c>
      <c r="N348" s="191">
        <f>+M348*1000/(104.2*4*16*60)*T348</f>
        <v>4.4022162907869484</v>
      </c>
      <c r="O348" s="191"/>
      <c r="P348" s="191">
        <f t="shared" si="35"/>
        <v>0</v>
      </c>
      <c r="Q348" s="191"/>
      <c r="R348" s="19">
        <f t="shared" si="36"/>
        <v>0</v>
      </c>
      <c r="S348" s="191">
        <f t="shared" si="37"/>
        <v>0</v>
      </c>
      <c r="T348" s="20">
        <v>5</v>
      </c>
      <c r="U348" s="20"/>
      <c r="V348" s="190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89">
        <v>300388</v>
      </c>
      <c r="B349" s="188" t="s">
        <v>130</v>
      </c>
      <c r="C349" s="230" t="s">
        <v>129</v>
      </c>
      <c r="D349" s="231"/>
      <c r="E349" s="193" t="s">
        <v>109</v>
      </c>
      <c r="F349" s="192"/>
      <c r="G349" s="191"/>
      <c r="H349" s="191"/>
      <c r="I349" s="191"/>
      <c r="J349" s="191"/>
      <c r="K349" s="191">
        <f t="shared" si="33"/>
        <v>0</v>
      </c>
      <c r="L349" s="191">
        <f t="shared" si="34"/>
        <v>0</v>
      </c>
      <c r="M349" s="191">
        <v>352.29</v>
      </c>
      <c r="N349" s="191">
        <f>+M349*1000/(104.2*4*16*60)*T349</f>
        <v>4.4022162907869484</v>
      </c>
      <c r="O349" s="191"/>
      <c r="P349" s="191">
        <f t="shared" si="35"/>
        <v>0</v>
      </c>
      <c r="Q349" s="191"/>
      <c r="R349" s="19">
        <f t="shared" si="36"/>
        <v>0</v>
      </c>
      <c r="S349" s="191">
        <f t="shared" si="37"/>
        <v>0</v>
      </c>
      <c r="T349" s="20">
        <v>5</v>
      </c>
      <c r="U349" s="20"/>
      <c r="V349" s="190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89">
        <v>300123</v>
      </c>
      <c r="B350" s="188" t="s">
        <v>110</v>
      </c>
      <c r="C350" s="219" t="s">
        <v>131</v>
      </c>
      <c r="D350" s="219" t="s">
        <v>132</v>
      </c>
      <c r="E350" s="193" t="s">
        <v>127</v>
      </c>
      <c r="F350" s="192"/>
      <c r="G350" s="191"/>
      <c r="H350" s="191"/>
      <c r="I350" s="191"/>
      <c r="J350" s="191"/>
      <c r="K350" s="191">
        <f t="shared" si="33"/>
        <v>0</v>
      </c>
      <c r="L350" s="191">
        <f t="shared" si="34"/>
        <v>0</v>
      </c>
      <c r="M350" s="191">
        <v>557</v>
      </c>
      <c r="N350" s="191">
        <f>+M350*1000/(126.5*4*15*60)*T350</f>
        <v>6.1155028546332888</v>
      </c>
      <c r="O350" s="191"/>
      <c r="P350" s="191">
        <f t="shared" si="35"/>
        <v>0</v>
      </c>
      <c r="Q350" s="191"/>
      <c r="R350" s="19">
        <f t="shared" si="36"/>
        <v>0</v>
      </c>
      <c r="S350" s="191">
        <f t="shared" si="37"/>
        <v>0</v>
      </c>
      <c r="T350" s="20">
        <v>5</v>
      </c>
      <c r="U350" s="20"/>
      <c r="V350" s="190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89">
        <v>300270</v>
      </c>
      <c r="B351" s="188" t="s">
        <v>110</v>
      </c>
      <c r="C351" s="219" t="s">
        <v>133</v>
      </c>
      <c r="D351" s="219"/>
      <c r="E351" s="193" t="s">
        <v>134</v>
      </c>
      <c r="F351" s="192"/>
      <c r="G351" s="191"/>
      <c r="H351" s="191"/>
      <c r="I351" s="191"/>
      <c r="J351" s="191"/>
      <c r="K351" s="191">
        <f t="shared" si="33"/>
        <v>0</v>
      </c>
      <c r="L351" s="191">
        <f t="shared" si="34"/>
        <v>0</v>
      </c>
      <c r="M351" s="191">
        <v>485.7</v>
      </c>
      <c r="N351" s="191">
        <f>+M351*1000/(126.5*4*15*60)*T351</f>
        <v>4.2661396574440049</v>
      </c>
      <c r="O351" s="191"/>
      <c r="P351" s="191">
        <f t="shared" si="35"/>
        <v>0</v>
      </c>
      <c r="Q351" s="191"/>
      <c r="R351" s="19">
        <f t="shared" si="36"/>
        <v>0</v>
      </c>
      <c r="S351" s="191">
        <f t="shared" si="37"/>
        <v>0</v>
      </c>
      <c r="T351" s="20">
        <v>4</v>
      </c>
      <c r="U351" s="20"/>
      <c r="V351" s="190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89">
        <v>300336</v>
      </c>
      <c r="B352" s="188" t="s">
        <v>110</v>
      </c>
      <c r="C352" s="219" t="s">
        <v>135</v>
      </c>
      <c r="D352" s="219"/>
      <c r="E352" s="193" t="s">
        <v>84</v>
      </c>
      <c r="F352" s="192"/>
      <c r="G352" s="191"/>
      <c r="H352" s="191"/>
      <c r="I352" s="191"/>
      <c r="J352" s="191"/>
      <c r="K352" s="191">
        <f t="shared" si="33"/>
        <v>0</v>
      </c>
      <c r="L352" s="191">
        <f t="shared" si="34"/>
        <v>0</v>
      </c>
      <c r="M352" s="191">
        <v>411.4</v>
      </c>
      <c r="N352" s="191">
        <f>+M352*1000/(104.2*4*16*60)*T352</f>
        <v>2.0563419705694179</v>
      </c>
      <c r="O352" s="191"/>
      <c r="P352" s="191">
        <f t="shared" si="35"/>
        <v>0</v>
      </c>
      <c r="Q352" s="191"/>
      <c r="R352" s="19">
        <f t="shared" si="36"/>
        <v>0</v>
      </c>
      <c r="S352" s="191">
        <f t="shared" si="37"/>
        <v>0</v>
      </c>
      <c r="T352" s="20">
        <v>2</v>
      </c>
      <c r="U352" s="20"/>
      <c r="V352" s="190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89">
        <v>300337</v>
      </c>
      <c r="B353" s="188" t="s">
        <v>110</v>
      </c>
      <c r="C353" s="219" t="s">
        <v>135</v>
      </c>
      <c r="D353" s="219"/>
      <c r="E353" s="193" t="s">
        <v>49</v>
      </c>
      <c r="F353" s="192"/>
      <c r="G353" s="191"/>
      <c r="H353" s="191"/>
      <c r="I353" s="191"/>
      <c r="J353" s="191"/>
      <c r="K353" s="191">
        <f t="shared" si="33"/>
        <v>0</v>
      </c>
      <c r="L353" s="191">
        <f t="shared" si="34"/>
        <v>0</v>
      </c>
      <c r="M353" s="191">
        <v>411.4</v>
      </c>
      <c r="N353" s="191">
        <f>+M353*1000/(104.2*4*16*60)*T353</f>
        <v>2.0563419705694179</v>
      </c>
      <c r="O353" s="191"/>
      <c r="P353" s="191">
        <f t="shared" si="35"/>
        <v>0</v>
      </c>
      <c r="Q353" s="191"/>
      <c r="R353" s="19">
        <f t="shared" si="36"/>
        <v>0</v>
      </c>
      <c r="S353" s="191">
        <f t="shared" si="37"/>
        <v>0</v>
      </c>
      <c r="T353" s="20">
        <v>2</v>
      </c>
      <c r="U353" s="20"/>
      <c r="V353" s="190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89">
        <v>300338</v>
      </c>
      <c r="B354" s="188" t="s">
        <v>110</v>
      </c>
      <c r="C354" s="219" t="s">
        <v>135</v>
      </c>
      <c r="D354" s="219"/>
      <c r="E354" s="193" t="s">
        <v>85</v>
      </c>
      <c r="F354" s="192"/>
      <c r="G354" s="191"/>
      <c r="H354" s="191"/>
      <c r="I354" s="191"/>
      <c r="J354" s="191"/>
      <c r="K354" s="191">
        <f t="shared" si="33"/>
        <v>0</v>
      </c>
      <c r="L354" s="191">
        <f t="shared" si="34"/>
        <v>0</v>
      </c>
      <c r="M354" s="191">
        <v>411.4</v>
      </c>
      <c r="N354" s="191">
        <f>+M354*1000/(104.2*4*16*60)*T354</f>
        <v>2.0563419705694179</v>
      </c>
      <c r="O354" s="191"/>
      <c r="P354" s="191">
        <f t="shared" si="35"/>
        <v>0</v>
      </c>
      <c r="Q354" s="191"/>
      <c r="R354" s="19">
        <f t="shared" si="36"/>
        <v>0</v>
      </c>
      <c r="S354" s="191">
        <f t="shared" si="37"/>
        <v>0</v>
      </c>
      <c r="T354" s="20">
        <v>2</v>
      </c>
      <c r="U354" s="20"/>
      <c r="V354" s="190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89">
        <v>300309</v>
      </c>
      <c r="B355" s="188">
        <v>6504</v>
      </c>
      <c r="C355" s="219" t="s">
        <v>137</v>
      </c>
      <c r="D355" s="219"/>
      <c r="E355" s="193" t="s">
        <v>47</v>
      </c>
      <c r="F355" s="192"/>
      <c r="G355" s="191"/>
      <c r="H355" s="191"/>
      <c r="I355" s="191"/>
      <c r="J355" s="191"/>
      <c r="K355" s="191">
        <f t="shared" si="33"/>
        <v>0</v>
      </c>
      <c r="L355" s="191">
        <f t="shared" si="34"/>
        <v>0</v>
      </c>
      <c r="M355" s="191">
        <v>316.88</v>
      </c>
      <c r="N355" s="191">
        <f>+M355*1000/(75.2*4*16*60)*T355</f>
        <v>6.5841090425531918</v>
      </c>
      <c r="O355" s="191"/>
      <c r="P355" s="191">
        <f t="shared" si="35"/>
        <v>0</v>
      </c>
      <c r="Q355" s="191"/>
      <c r="R355" s="19">
        <f t="shared" si="36"/>
        <v>0</v>
      </c>
      <c r="S355" s="191">
        <f t="shared" si="37"/>
        <v>0</v>
      </c>
      <c r="T355" s="20">
        <v>6</v>
      </c>
      <c r="U355" s="20"/>
      <c r="V355" s="190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89">
        <v>300310</v>
      </c>
      <c r="B356" s="188">
        <v>6504</v>
      </c>
      <c r="C356" s="219" t="s">
        <v>137</v>
      </c>
      <c r="D356" s="219"/>
      <c r="E356" s="193" t="s">
        <v>138</v>
      </c>
      <c r="F356" s="192"/>
      <c r="G356" s="191"/>
      <c r="H356" s="191"/>
      <c r="I356" s="191"/>
      <c r="J356" s="191"/>
      <c r="K356" s="191">
        <f t="shared" si="33"/>
        <v>0</v>
      </c>
      <c r="L356" s="191">
        <f t="shared" si="34"/>
        <v>0</v>
      </c>
      <c r="M356" s="191">
        <v>316.88</v>
      </c>
      <c r="N356" s="191">
        <f>+M356*1000/(75.2*4*16*60)*T356</f>
        <v>6.5841090425531918</v>
      </c>
      <c r="O356" s="191"/>
      <c r="P356" s="191">
        <f t="shared" si="35"/>
        <v>0</v>
      </c>
      <c r="Q356" s="191"/>
      <c r="R356" s="19">
        <f t="shared" si="36"/>
        <v>0</v>
      </c>
      <c r="S356" s="191">
        <f t="shared" si="37"/>
        <v>0</v>
      </c>
      <c r="T356" s="20">
        <v>6</v>
      </c>
      <c r="U356" s="20"/>
      <c r="V356" s="190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89">
        <v>300312</v>
      </c>
      <c r="B357" s="188">
        <v>6504</v>
      </c>
      <c r="C357" s="219" t="s">
        <v>137</v>
      </c>
      <c r="D357" s="219"/>
      <c r="E357" s="193" t="s">
        <v>139</v>
      </c>
      <c r="F357" s="192"/>
      <c r="G357" s="191"/>
      <c r="H357" s="191"/>
      <c r="I357" s="191"/>
      <c r="J357" s="191"/>
      <c r="K357" s="191">
        <f t="shared" si="33"/>
        <v>0</v>
      </c>
      <c r="L357" s="191">
        <f t="shared" si="34"/>
        <v>0</v>
      </c>
      <c r="M357" s="191">
        <v>316.88</v>
      </c>
      <c r="N357" s="191">
        <f>+M357*1000/(75.2*4*16*60)*T357</f>
        <v>6.5841090425531918</v>
      </c>
      <c r="O357" s="191"/>
      <c r="P357" s="191">
        <f t="shared" si="35"/>
        <v>0</v>
      </c>
      <c r="Q357" s="191"/>
      <c r="R357" s="19">
        <f t="shared" si="36"/>
        <v>0</v>
      </c>
      <c r="S357" s="191">
        <f t="shared" si="37"/>
        <v>0</v>
      </c>
      <c r="T357" s="20">
        <v>6</v>
      </c>
      <c r="U357" s="20"/>
      <c r="V357" s="190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89">
        <v>300311</v>
      </c>
      <c r="B358" s="188">
        <v>6504</v>
      </c>
      <c r="C358" s="219" t="s">
        <v>137</v>
      </c>
      <c r="D358" s="219"/>
      <c r="E358" s="193" t="s">
        <v>74</v>
      </c>
      <c r="F358" s="192"/>
      <c r="G358" s="191"/>
      <c r="H358" s="191"/>
      <c r="I358" s="191"/>
      <c r="J358" s="191"/>
      <c r="K358" s="191">
        <f t="shared" si="33"/>
        <v>0</v>
      </c>
      <c r="L358" s="191">
        <f t="shared" si="34"/>
        <v>0</v>
      </c>
      <c r="M358" s="191">
        <v>316.88</v>
      </c>
      <c r="N358" s="191">
        <f>+M358*1000/(75.2*4*16*60)*T358</f>
        <v>6.5841090425531918</v>
      </c>
      <c r="O358" s="191"/>
      <c r="P358" s="191">
        <f t="shared" si="35"/>
        <v>0</v>
      </c>
      <c r="Q358" s="191"/>
      <c r="R358" s="19">
        <f t="shared" si="36"/>
        <v>0</v>
      </c>
      <c r="S358" s="191">
        <f t="shared" si="37"/>
        <v>0</v>
      </c>
      <c r="T358" s="20">
        <v>6</v>
      </c>
      <c r="U358" s="20"/>
      <c r="V358" s="190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89">
        <v>300399</v>
      </c>
      <c r="B359" s="188">
        <v>18501</v>
      </c>
      <c r="C359" s="230" t="s">
        <v>140</v>
      </c>
      <c r="D359" s="231"/>
      <c r="E359" s="193" t="s">
        <v>41</v>
      </c>
      <c r="F359" s="192"/>
      <c r="G359" s="191"/>
      <c r="H359" s="191"/>
      <c r="I359" s="191"/>
      <c r="J359" s="191"/>
      <c r="K359" s="191">
        <f t="shared" si="33"/>
        <v>0</v>
      </c>
      <c r="L359" s="191">
        <f t="shared" si="34"/>
        <v>0</v>
      </c>
      <c r="M359" s="191">
        <v>311.2</v>
      </c>
      <c r="N359" s="191">
        <f>+M359*1000/(100*4*16*60)*T359</f>
        <v>4.8624999999999998</v>
      </c>
      <c r="O359" s="191"/>
      <c r="P359" s="191">
        <f t="shared" si="35"/>
        <v>0</v>
      </c>
      <c r="Q359" s="191"/>
      <c r="R359" s="19">
        <f t="shared" si="36"/>
        <v>0</v>
      </c>
      <c r="S359" s="191">
        <f t="shared" si="37"/>
        <v>0</v>
      </c>
      <c r="T359" s="20">
        <v>6</v>
      </c>
      <c r="U359" s="20"/>
      <c r="V359" s="190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89">
        <v>300400</v>
      </c>
      <c r="B360" s="188">
        <v>18501</v>
      </c>
      <c r="C360" s="230" t="s">
        <v>140</v>
      </c>
      <c r="D360" s="231"/>
      <c r="E360" s="193" t="s">
        <v>66</v>
      </c>
      <c r="F360" s="192"/>
      <c r="G360" s="191"/>
      <c r="H360" s="191"/>
      <c r="I360" s="191"/>
      <c r="J360" s="191"/>
      <c r="K360" s="191">
        <f t="shared" si="33"/>
        <v>0</v>
      </c>
      <c r="L360" s="191">
        <f t="shared" si="34"/>
        <v>0</v>
      </c>
      <c r="M360" s="191">
        <v>311.2</v>
      </c>
      <c r="N360" s="191">
        <f>+M360*1000/(100*4*16*60)*T360</f>
        <v>4.8624999999999998</v>
      </c>
      <c r="O360" s="191"/>
      <c r="P360" s="191">
        <f t="shared" si="35"/>
        <v>0</v>
      </c>
      <c r="Q360" s="191"/>
      <c r="R360" s="19">
        <f t="shared" si="36"/>
        <v>0</v>
      </c>
      <c r="S360" s="191">
        <f t="shared" si="37"/>
        <v>0</v>
      </c>
      <c r="T360" s="20">
        <v>6</v>
      </c>
      <c r="U360" s="20"/>
      <c r="V360" s="190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89">
        <v>300401</v>
      </c>
      <c r="B361" s="188">
        <v>18501</v>
      </c>
      <c r="C361" s="230" t="s">
        <v>140</v>
      </c>
      <c r="D361" s="231"/>
      <c r="E361" s="193" t="s">
        <v>141</v>
      </c>
      <c r="F361" s="192"/>
      <c r="G361" s="191"/>
      <c r="H361" s="191"/>
      <c r="I361" s="191"/>
      <c r="J361" s="191"/>
      <c r="K361" s="191">
        <f t="shared" si="33"/>
        <v>0</v>
      </c>
      <c r="L361" s="191">
        <f t="shared" si="34"/>
        <v>0</v>
      </c>
      <c r="M361" s="191">
        <v>311.2</v>
      </c>
      <c r="N361" s="191">
        <f>+M361*1000/(100*4*16*60)*T361</f>
        <v>4.8624999999999998</v>
      </c>
      <c r="O361" s="191"/>
      <c r="P361" s="191">
        <f t="shared" si="35"/>
        <v>0</v>
      </c>
      <c r="Q361" s="191"/>
      <c r="R361" s="19">
        <f t="shared" si="36"/>
        <v>0</v>
      </c>
      <c r="S361" s="191">
        <f t="shared" si="37"/>
        <v>0</v>
      </c>
      <c r="T361" s="20">
        <v>6</v>
      </c>
      <c r="U361" s="20"/>
      <c r="V361" s="190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89">
        <v>300402</v>
      </c>
      <c r="B362" s="188">
        <v>18501</v>
      </c>
      <c r="C362" s="230" t="s">
        <v>142</v>
      </c>
      <c r="D362" s="231"/>
      <c r="E362" s="193" t="s">
        <v>143</v>
      </c>
      <c r="F362" s="192"/>
      <c r="G362" s="191"/>
      <c r="H362" s="191"/>
      <c r="I362" s="191"/>
      <c r="J362" s="191"/>
      <c r="K362" s="191">
        <f t="shared" si="33"/>
        <v>0</v>
      </c>
      <c r="L362" s="191">
        <f t="shared" si="34"/>
        <v>0</v>
      </c>
      <c r="M362" s="191">
        <v>465.3</v>
      </c>
      <c r="N362" s="191">
        <f>+M362*1000/(137*4*16*60)*T362</f>
        <v>5.3067974452554747</v>
      </c>
      <c r="O362" s="191"/>
      <c r="P362" s="191">
        <f t="shared" si="35"/>
        <v>0</v>
      </c>
      <c r="Q362" s="191"/>
      <c r="R362" s="19">
        <f t="shared" si="36"/>
        <v>0</v>
      </c>
      <c r="S362" s="191">
        <f t="shared" si="37"/>
        <v>0</v>
      </c>
      <c r="T362" s="20">
        <v>6</v>
      </c>
      <c r="U362" s="20"/>
      <c r="V362" s="190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89">
        <v>300403</v>
      </c>
      <c r="B363" s="188">
        <v>18501</v>
      </c>
      <c r="C363" s="230" t="s">
        <v>142</v>
      </c>
      <c r="D363" s="231"/>
      <c r="E363" s="193" t="s">
        <v>144</v>
      </c>
      <c r="F363" s="192"/>
      <c r="G363" s="191"/>
      <c r="H363" s="191"/>
      <c r="I363" s="191"/>
      <c r="J363" s="191"/>
      <c r="K363" s="191">
        <f t="shared" ref="K363:K407" si="41">G363*M363</f>
        <v>0</v>
      </c>
      <c r="L363" s="191">
        <f t="shared" ref="L363:L407" si="42">I363*M363</f>
        <v>0</v>
      </c>
      <c r="M363" s="191">
        <v>465.3</v>
      </c>
      <c r="N363" s="191">
        <f>+M363*1000/(137*4*16*60)*T363</f>
        <v>5.3067974452554747</v>
      </c>
      <c r="O363" s="191"/>
      <c r="P363" s="191">
        <f t="shared" ref="P363:P407" si="43">N363*I363+O363*U363</f>
        <v>0</v>
      </c>
      <c r="Q363" s="191"/>
      <c r="R363" s="19">
        <f t="shared" ref="R363:R407" si="44">Q363*U363</f>
        <v>0</v>
      </c>
      <c r="S363" s="191">
        <f t="shared" ref="S363:S407" si="45">R363-P363</f>
        <v>0</v>
      </c>
      <c r="T363" s="20">
        <v>6</v>
      </c>
      <c r="U363" s="20"/>
      <c r="V363" s="190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89">
        <v>300404</v>
      </c>
      <c r="B364" s="188">
        <v>18501</v>
      </c>
      <c r="C364" s="230" t="s">
        <v>142</v>
      </c>
      <c r="D364" s="231"/>
      <c r="E364" s="193" t="s">
        <v>70</v>
      </c>
      <c r="F364" s="192"/>
      <c r="G364" s="191"/>
      <c r="H364" s="191"/>
      <c r="I364" s="191"/>
      <c r="J364" s="191"/>
      <c r="K364" s="191">
        <f t="shared" si="41"/>
        <v>0</v>
      </c>
      <c r="L364" s="191">
        <f t="shared" si="42"/>
        <v>0</v>
      </c>
      <c r="M364" s="191">
        <v>465.3</v>
      </c>
      <c r="N364" s="191">
        <f>+M364*1000/(137*4*16*60)*T364</f>
        <v>5.3067974452554747</v>
      </c>
      <c r="O364" s="191"/>
      <c r="P364" s="191">
        <f t="shared" si="43"/>
        <v>0</v>
      </c>
      <c r="Q364" s="191"/>
      <c r="R364" s="19">
        <f t="shared" si="44"/>
        <v>0</v>
      </c>
      <c r="S364" s="191">
        <f t="shared" si="45"/>
        <v>0</v>
      </c>
      <c r="T364" s="20">
        <v>6</v>
      </c>
      <c r="U364" s="20"/>
      <c r="V364" s="190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89">
        <v>300405</v>
      </c>
      <c r="B365" s="188">
        <v>18501</v>
      </c>
      <c r="C365" s="230" t="s">
        <v>142</v>
      </c>
      <c r="D365" s="231"/>
      <c r="E365" s="193" t="s">
        <v>35</v>
      </c>
      <c r="F365" s="192"/>
      <c r="G365" s="191"/>
      <c r="H365" s="191"/>
      <c r="I365" s="191"/>
      <c r="J365" s="191"/>
      <c r="K365" s="191">
        <f t="shared" si="41"/>
        <v>0</v>
      </c>
      <c r="L365" s="191">
        <f t="shared" si="42"/>
        <v>0</v>
      </c>
      <c r="M365" s="191">
        <v>465.3</v>
      </c>
      <c r="N365" s="191">
        <f>+M365*1000/(137*4*16*60)*T365</f>
        <v>5.3067974452554747</v>
      </c>
      <c r="O365" s="191"/>
      <c r="P365" s="191">
        <f t="shared" si="43"/>
        <v>0</v>
      </c>
      <c r="Q365" s="191"/>
      <c r="R365" s="19">
        <f t="shared" si="44"/>
        <v>0</v>
      </c>
      <c r="S365" s="191">
        <f t="shared" si="45"/>
        <v>0</v>
      </c>
      <c r="T365" s="20">
        <v>6</v>
      </c>
      <c r="U365" s="20"/>
      <c r="V365" s="190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89">
        <v>300372</v>
      </c>
      <c r="B366" s="188">
        <v>18501</v>
      </c>
      <c r="C366" s="230" t="s">
        <v>145</v>
      </c>
      <c r="D366" s="231"/>
      <c r="E366" s="193" t="s">
        <v>47</v>
      </c>
      <c r="F366" s="192"/>
      <c r="G366" s="191"/>
      <c r="H366" s="191"/>
      <c r="I366" s="191"/>
      <c r="J366" s="191"/>
      <c r="K366" s="191">
        <f t="shared" si="41"/>
        <v>0</v>
      </c>
      <c r="L366" s="191">
        <f t="shared" si="42"/>
        <v>0</v>
      </c>
      <c r="M366" s="191">
        <v>420.58</v>
      </c>
      <c r="N366" s="191">
        <f>+M366*1000/(140*4*16*60)*T366</f>
        <v>4.6939732142857142</v>
      </c>
      <c r="O366" s="191"/>
      <c r="P366" s="191">
        <f t="shared" si="43"/>
        <v>0</v>
      </c>
      <c r="Q366" s="191"/>
      <c r="R366" s="19">
        <f t="shared" si="44"/>
        <v>0</v>
      </c>
      <c r="S366" s="191">
        <f t="shared" si="45"/>
        <v>0</v>
      </c>
      <c r="T366" s="20">
        <v>6</v>
      </c>
      <c r="U366" s="20"/>
      <c r="V366" s="190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89">
        <v>300373</v>
      </c>
      <c r="B367" s="188">
        <v>18501</v>
      </c>
      <c r="C367" s="230" t="s">
        <v>145</v>
      </c>
      <c r="D367" s="231"/>
      <c r="E367" s="193" t="s">
        <v>138</v>
      </c>
      <c r="F367" s="192"/>
      <c r="G367" s="191"/>
      <c r="H367" s="191"/>
      <c r="I367" s="191"/>
      <c r="J367" s="191"/>
      <c r="K367" s="191">
        <f t="shared" si="41"/>
        <v>0</v>
      </c>
      <c r="L367" s="191">
        <f t="shared" si="42"/>
        <v>0</v>
      </c>
      <c r="M367" s="191">
        <v>420.58</v>
      </c>
      <c r="N367" s="191">
        <f>+M367*1000/(140*4*16*60)*T367</f>
        <v>4.6939732142857142</v>
      </c>
      <c r="O367" s="191"/>
      <c r="P367" s="191">
        <f t="shared" si="43"/>
        <v>0</v>
      </c>
      <c r="Q367" s="191"/>
      <c r="R367" s="19">
        <f t="shared" si="44"/>
        <v>0</v>
      </c>
      <c r="S367" s="191">
        <f t="shared" si="45"/>
        <v>0</v>
      </c>
      <c r="T367" s="20">
        <v>6</v>
      </c>
      <c r="U367" s="20"/>
      <c r="V367" s="190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89">
        <v>300374</v>
      </c>
      <c r="B368" s="188">
        <v>18501</v>
      </c>
      <c r="C368" s="230" t="s">
        <v>145</v>
      </c>
      <c r="D368" s="231"/>
      <c r="E368" s="193" t="s">
        <v>139</v>
      </c>
      <c r="F368" s="192"/>
      <c r="G368" s="191"/>
      <c r="H368" s="191"/>
      <c r="I368" s="191"/>
      <c r="J368" s="191"/>
      <c r="K368" s="191">
        <f t="shared" si="41"/>
        <v>0</v>
      </c>
      <c r="L368" s="191">
        <f t="shared" si="42"/>
        <v>0</v>
      </c>
      <c r="M368" s="191">
        <v>420.58</v>
      </c>
      <c r="N368" s="191">
        <f>+M368*1000/(140*4*16*60)*T368</f>
        <v>4.6939732142857142</v>
      </c>
      <c r="O368" s="191"/>
      <c r="P368" s="191">
        <f t="shared" si="43"/>
        <v>0</v>
      </c>
      <c r="Q368" s="191"/>
      <c r="R368" s="19">
        <f t="shared" si="44"/>
        <v>0</v>
      </c>
      <c r="S368" s="191">
        <f t="shared" si="45"/>
        <v>0</v>
      </c>
      <c r="T368" s="20">
        <v>6</v>
      </c>
      <c r="U368" s="20"/>
      <c r="V368" s="190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89">
        <v>300375</v>
      </c>
      <c r="B369" s="188">
        <v>18501</v>
      </c>
      <c r="C369" s="230" t="s">
        <v>145</v>
      </c>
      <c r="D369" s="231"/>
      <c r="E369" s="193" t="s">
        <v>74</v>
      </c>
      <c r="F369" s="192"/>
      <c r="G369" s="191"/>
      <c r="H369" s="191"/>
      <c r="I369" s="191"/>
      <c r="J369" s="191"/>
      <c r="K369" s="191">
        <f t="shared" si="41"/>
        <v>0</v>
      </c>
      <c r="L369" s="191">
        <f t="shared" si="42"/>
        <v>0</v>
      </c>
      <c r="M369" s="191">
        <v>420.58</v>
      </c>
      <c r="N369" s="191">
        <f>+M369*1000/(140*4*16*60)*T369</f>
        <v>4.6939732142857142</v>
      </c>
      <c r="O369" s="191"/>
      <c r="P369" s="191">
        <f t="shared" si="43"/>
        <v>0</v>
      </c>
      <c r="Q369" s="191"/>
      <c r="R369" s="19">
        <f t="shared" si="44"/>
        <v>0</v>
      </c>
      <c r="S369" s="191">
        <f t="shared" si="45"/>
        <v>0</v>
      </c>
      <c r="T369" s="20">
        <v>6</v>
      </c>
      <c r="U369" s="20"/>
      <c r="V369" s="190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89">
        <v>300341</v>
      </c>
      <c r="B370" s="188">
        <v>18501</v>
      </c>
      <c r="C370" s="237" t="s">
        <v>146</v>
      </c>
      <c r="D370" s="238"/>
      <c r="E370" s="193" t="s">
        <v>39</v>
      </c>
      <c r="F370" s="192"/>
      <c r="G370" s="191"/>
      <c r="H370" s="191"/>
      <c r="I370" s="191"/>
      <c r="J370" s="191"/>
      <c r="K370" s="191">
        <f t="shared" si="41"/>
        <v>0</v>
      </c>
      <c r="L370" s="191">
        <f t="shared" si="42"/>
        <v>0</v>
      </c>
      <c r="M370" s="191">
        <v>439.3</v>
      </c>
      <c r="N370" s="191">
        <f>+M370*1000/(169.7*4*13*60)*T370</f>
        <v>4.1485351223123761</v>
      </c>
      <c r="O370" s="191"/>
      <c r="P370" s="191">
        <f t="shared" si="43"/>
        <v>0</v>
      </c>
      <c r="Q370" s="191"/>
      <c r="R370" s="19">
        <f t="shared" si="44"/>
        <v>0</v>
      </c>
      <c r="S370" s="191">
        <f t="shared" si="45"/>
        <v>0</v>
      </c>
      <c r="T370" s="20">
        <v>5</v>
      </c>
      <c r="U370" s="20"/>
      <c r="V370" s="190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89">
        <v>300342</v>
      </c>
      <c r="B371" s="188">
        <v>18501</v>
      </c>
      <c r="C371" s="237" t="s">
        <v>146</v>
      </c>
      <c r="D371" s="238"/>
      <c r="E371" s="193" t="s">
        <v>80</v>
      </c>
      <c r="F371" s="192"/>
      <c r="G371" s="191"/>
      <c r="H371" s="191"/>
      <c r="I371" s="191"/>
      <c r="J371" s="191"/>
      <c r="K371" s="191">
        <f t="shared" si="41"/>
        <v>0</v>
      </c>
      <c r="L371" s="191">
        <f t="shared" si="42"/>
        <v>0</v>
      </c>
      <c r="M371" s="191">
        <v>439.3</v>
      </c>
      <c r="N371" s="191">
        <f t="shared" ref="N371:N376" si="46">+M371*1000/(169.7*4*13*60)*T371</f>
        <v>4.1485351223123761</v>
      </c>
      <c r="O371" s="191"/>
      <c r="P371" s="191">
        <f t="shared" si="43"/>
        <v>0</v>
      </c>
      <c r="Q371" s="191"/>
      <c r="R371" s="19">
        <f t="shared" si="44"/>
        <v>0</v>
      </c>
      <c r="S371" s="191">
        <f t="shared" si="45"/>
        <v>0</v>
      </c>
      <c r="T371" s="20">
        <v>5</v>
      </c>
      <c r="U371" s="20"/>
      <c r="V371" s="190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89">
        <v>300343</v>
      </c>
      <c r="B372" s="188">
        <v>18501</v>
      </c>
      <c r="C372" s="237" t="s">
        <v>146</v>
      </c>
      <c r="D372" s="238"/>
      <c r="E372" s="193" t="s">
        <v>35</v>
      </c>
      <c r="F372" s="192"/>
      <c r="G372" s="191"/>
      <c r="H372" s="191"/>
      <c r="I372" s="191"/>
      <c r="J372" s="191"/>
      <c r="K372" s="191">
        <f t="shared" si="41"/>
        <v>0</v>
      </c>
      <c r="L372" s="191">
        <f t="shared" si="42"/>
        <v>0</v>
      </c>
      <c r="M372" s="191">
        <v>455.4</v>
      </c>
      <c r="N372" s="191">
        <f t="shared" si="46"/>
        <v>4.3005756765332483</v>
      </c>
      <c r="O372" s="191"/>
      <c r="P372" s="191">
        <f t="shared" si="43"/>
        <v>0</v>
      </c>
      <c r="Q372" s="191"/>
      <c r="R372" s="19">
        <f t="shared" si="44"/>
        <v>0</v>
      </c>
      <c r="S372" s="191">
        <f t="shared" si="45"/>
        <v>0</v>
      </c>
      <c r="T372" s="20">
        <v>5</v>
      </c>
      <c r="U372" s="20"/>
      <c r="V372" s="190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89">
        <v>300344</v>
      </c>
      <c r="B373" s="188">
        <v>18501</v>
      </c>
      <c r="C373" s="237" t="s">
        <v>146</v>
      </c>
      <c r="D373" s="238"/>
      <c r="E373" s="193" t="s">
        <v>40</v>
      </c>
      <c r="F373" s="192"/>
      <c r="G373" s="191"/>
      <c r="H373" s="191"/>
      <c r="I373" s="191"/>
      <c r="J373" s="191"/>
      <c r="K373" s="191">
        <f t="shared" si="41"/>
        <v>0</v>
      </c>
      <c r="L373" s="191">
        <f t="shared" si="42"/>
        <v>0</v>
      </c>
      <c r="M373" s="191">
        <v>455.4</v>
      </c>
      <c r="N373" s="191">
        <f t="shared" si="46"/>
        <v>4.3005756765332483</v>
      </c>
      <c r="O373" s="191"/>
      <c r="P373" s="191">
        <f t="shared" si="43"/>
        <v>0</v>
      </c>
      <c r="Q373" s="191"/>
      <c r="R373" s="19">
        <f t="shared" si="44"/>
        <v>0</v>
      </c>
      <c r="S373" s="191">
        <f t="shared" si="45"/>
        <v>0</v>
      </c>
      <c r="T373" s="20">
        <v>5</v>
      </c>
      <c r="U373" s="20"/>
      <c r="V373" s="190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89">
        <v>300396</v>
      </c>
      <c r="B374" s="188">
        <v>18501</v>
      </c>
      <c r="C374" s="237" t="s">
        <v>147</v>
      </c>
      <c r="D374" s="238"/>
      <c r="E374" s="193" t="s">
        <v>41</v>
      </c>
      <c r="F374" s="192"/>
      <c r="G374" s="191"/>
      <c r="H374" s="191"/>
      <c r="I374" s="191"/>
      <c r="J374" s="191"/>
      <c r="K374" s="191">
        <f t="shared" si="41"/>
        <v>0</v>
      </c>
      <c r="L374" s="191">
        <f t="shared" si="42"/>
        <v>0</v>
      </c>
      <c r="M374" s="191">
        <v>417.1</v>
      </c>
      <c r="N374" s="191">
        <f t="shared" si="46"/>
        <v>3.9388891407158937</v>
      </c>
      <c r="O374" s="191"/>
      <c r="P374" s="191">
        <f t="shared" si="43"/>
        <v>0</v>
      </c>
      <c r="Q374" s="191"/>
      <c r="R374" s="19">
        <f t="shared" si="44"/>
        <v>0</v>
      </c>
      <c r="S374" s="191">
        <f t="shared" si="45"/>
        <v>0</v>
      </c>
      <c r="T374" s="20">
        <v>5</v>
      </c>
      <c r="U374" s="20"/>
      <c r="V374" s="190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89">
        <v>300397</v>
      </c>
      <c r="B375" s="188">
        <v>18501</v>
      </c>
      <c r="C375" s="237" t="s">
        <v>147</v>
      </c>
      <c r="D375" s="238"/>
      <c r="E375" s="193" t="s">
        <v>66</v>
      </c>
      <c r="F375" s="192"/>
      <c r="G375" s="191"/>
      <c r="H375" s="191"/>
      <c r="I375" s="191"/>
      <c r="J375" s="191"/>
      <c r="K375" s="191">
        <f t="shared" si="41"/>
        <v>0</v>
      </c>
      <c r="L375" s="191">
        <f t="shared" si="42"/>
        <v>0</v>
      </c>
      <c r="M375" s="191">
        <v>417.1</v>
      </c>
      <c r="N375" s="191">
        <f t="shared" si="46"/>
        <v>3.9388891407158937</v>
      </c>
      <c r="O375" s="191"/>
      <c r="P375" s="191">
        <f t="shared" si="43"/>
        <v>0</v>
      </c>
      <c r="Q375" s="191"/>
      <c r="R375" s="19">
        <f t="shared" si="44"/>
        <v>0</v>
      </c>
      <c r="S375" s="191">
        <f t="shared" si="45"/>
        <v>0</v>
      </c>
      <c r="T375" s="20">
        <v>5</v>
      </c>
      <c r="U375" s="20"/>
      <c r="V375" s="190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89">
        <v>300398</v>
      </c>
      <c r="B376" s="188">
        <v>18501</v>
      </c>
      <c r="C376" s="237" t="s">
        <v>147</v>
      </c>
      <c r="D376" s="238"/>
      <c r="E376" s="193" t="s">
        <v>141</v>
      </c>
      <c r="F376" s="192"/>
      <c r="G376" s="191"/>
      <c r="H376" s="191"/>
      <c r="I376" s="191"/>
      <c r="J376" s="191"/>
      <c r="K376" s="191">
        <f t="shared" si="41"/>
        <v>0</v>
      </c>
      <c r="L376" s="191">
        <f t="shared" si="42"/>
        <v>0</v>
      </c>
      <c r="M376" s="191">
        <v>417.1</v>
      </c>
      <c r="N376" s="191">
        <f t="shared" si="46"/>
        <v>3.9388891407158937</v>
      </c>
      <c r="O376" s="191"/>
      <c r="P376" s="191">
        <f t="shared" si="43"/>
        <v>0</v>
      </c>
      <c r="Q376" s="191"/>
      <c r="R376" s="19">
        <f t="shared" si="44"/>
        <v>0</v>
      </c>
      <c r="S376" s="191">
        <f t="shared" si="45"/>
        <v>0</v>
      </c>
      <c r="T376" s="20">
        <v>5</v>
      </c>
      <c r="U376" s="20"/>
      <c r="V376" s="190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89">
        <v>300271</v>
      </c>
      <c r="B377" s="188">
        <v>18501</v>
      </c>
      <c r="C377" s="219" t="s">
        <v>148</v>
      </c>
      <c r="D377" s="219"/>
      <c r="E377" s="193" t="s">
        <v>134</v>
      </c>
      <c r="F377" s="192"/>
      <c r="G377" s="191"/>
      <c r="H377" s="191"/>
      <c r="I377" s="191"/>
      <c r="J377" s="191"/>
      <c r="K377" s="191">
        <f t="shared" si="41"/>
        <v>0</v>
      </c>
      <c r="L377" s="191">
        <f t="shared" si="42"/>
        <v>0</v>
      </c>
      <c r="M377" s="191">
        <v>580.1</v>
      </c>
      <c r="N377" s="191">
        <f>+M377*1000/(188*4*13*60)*T377</f>
        <v>4.9449331696672125</v>
      </c>
      <c r="O377" s="191"/>
      <c r="P377" s="191">
        <f t="shared" si="43"/>
        <v>0</v>
      </c>
      <c r="Q377" s="191"/>
      <c r="R377" s="19">
        <f t="shared" si="44"/>
        <v>0</v>
      </c>
      <c r="S377" s="191">
        <f t="shared" si="45"/>
        <v>0</v>
      </c>
      <c r="T377" s="20">
        <v>5</v>
      </c>
      <c r="U377" s="20"/>
      <c r="V377" s="190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89">
        <v>300009</v>
      </c>
      <c r="B378" s="188">
        <v>18501</v>
      </c>
      <c r="C378" s="219" t="s">
        <v>149</v>
      </c>
      <c r="D378" s="219" t="s">
        <v>150</v>
      </c>
      <c r="E378" s="193" t="s">
        <v>127</v>
      </c>
      <c r="F378" s="192">
        <v>2084</v>
      </c>
      <c r="G378" s="191">
        <v>11.13</v>
      </c>
      <c r="H378" s="191">
        <v>0.5</v>
      </c>
      <c r="I378" s="191">
        <f>11+H378-J378/400</f>
        <v>11.125</v>
      </c>
      <c r="J378" s="191">
        <v>150</v>
      </c>
      <c r="K378" s="191">
        <f t="shared" si="41"/>
        <v>5796.5039999999999</v>
      </c>
      <c r="L378" s="191">
        <f t="shared" si="42"/>
        <v>5793.9</v>
      </c>
      <c r="M378" s="191">
        <v>520.79999999999995</v>
      </c>
      <c r="N378" s="191">
        <f>+M378*1000/(188*4*13*60)*T378</f>
        <v>4.4394435351882153</v>
      </c>
      <c r="O378" s="191"/>
      <c r="P378" s="191">
        <f t="shared" si="43"/>
        <v>49.388809328968897</v>
      </c>
      <c r="Q378" s="191">
        <v>11.5</v>
      </c>
      <c r="R378" s="19">
        <f t="shared" si="44"/>
        <v>80.5</v>
      </c>
      <c r="S378" s="191">
        <f t="shared" si="45"/>
        <v>31.111190671031103</v>
      </c>
      <c r="T378" s="20">
        <v>5</v>
      </c>
      <c r="U378" s="20">
        <v>7</v>
      </c>
      <c r="V378" s="190">
        <f t="array" ref="V378">IF(ISERROR(L378/K378),"",L378/K378)</f>
        <v>0.99955076370170703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92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90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92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90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92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90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92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90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92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90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92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90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92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90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92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90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92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90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92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90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92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90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92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90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92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90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92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90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92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90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92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90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92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90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92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90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92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90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68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90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68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90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>
        <v>13002</v>
      </c>
      <c r="C400" s="219" t="s">
        <v>304</v>
      </c>
      <c r="D400" s="219" t="s">
        <v>89</v>
      </c>
      <c r="E400" s="184" t="s">
        <v>35</v>
      </c>
      <c r="F400" s="168">
        <v>2026</v>
      </c>
      <c r="G400" s="191">
        <v>3</v>
      </c>
      <c r="H400" s="191"/>
      <c r="I400" s="191">
        <f>3-J400/300</f>
        <v>2.5</v>
      </c>
      <c r="J400" s="191">
        <v>150</v>
      </c>
      <c r="K400" s="182">
        <f t="shared" si="41"/>
        <v>1009.8000000000001</v>
      </c>
      <c r="L400" s="182">
        <f t="shared" si="42"/>
        <v>841.5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3.4629629629629628</v>
      </c>
      <c r="Q400" s="182">
        <v>2</v>
      </c>
      <c r="R400" s="19">
        <f t="shared" si="44"/>
        <v>8</v>
      </c>
      <c r="S400" s="182">
        <f t="shared" si="45"/>
        <v>4.5370370370370372</v>
      </c>
      <c r="T400" s="20">
        <v>2</v>
      </c>
      <c r="U400" s="20">
        <v>4</v>
      </c>
      <c r="V400" s="190">
        <f t="array" ref="V400">IF(ISERROR(L400/K400),"",L400/K400)</f>
        <v>0.83333333333333326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65.7</v>
      </c>
      <c r="H408" s="182">
        <f t="array" ref="H408">SUM(IF(ISERROR(H215:H407),“”,H215:H407))</f>
        <v>1.5433333333333334</v>
      </c>
      <c r="I408" s="182">
        <f t="array" ref="I408">SUM(IF(ISERROR(I215:I407),“”,I215:I407))</f>
        <v>63.21595238095238</v>
      </c>
      <c r="J408" s="182">
        <f t="array" ref="J408">SUM(IF(ISERROR(J215:J407),“”,J215:J407))</f>
        <v>1590</v>
      </c>
      <c r="K408" s="182">
        <f t="array" ref="K408">SUM(IF(ISERROR(K215:K407),“”,K215:K407))</f>
        <v>33717.772000000004</v>
      </c>
      <c r="L408" s="117">
        <f>SUM(L215:L400)</f>
        <v>32657.606476190478</v>
      </c>
      <c r="M408" s="182"/>
      <c r="N408" s="182"/>
      <c r="O408" s="182">
        <f t="array" ref="O408">SUM(IF(ISERROR(O215:O407),“”,O215:O407))</f>
        <v>2.5</v>
      </c>
      <c r="P408" s="56">
        <f>SUM((P215:P399),(W413:X418))</f>
        <v>389.35031062836254</v>
      </c>
      <c r="Q408" s="182"/>
      <c r="R408" s="56">
        <f>SUM((R215:R399),(Y413:Z418))</f>
        <v>457</v>
      </c>
      <c r="S408" s="182">
        <f t="array" ref="S408">SUM(IF(ISERROR(S215:S407),“”,S215:S407))</f>
        <v>60.686726408674524</v>
      </c>
      <c r="T408" s="182"/>
      <c r="U408" s="182"/>
      <c r="V408" s="179">
        <f t="array" ref="V408">IF(ISERROR(L408/K408),"",L408/K408)</f>
        <v>0.96855766378011199</v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>
        <f t="array" ref="O409">IF(ISERROR(P408/R408),"",P408/R408)</f>
        <v>0.85197004513864882</v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>
        <v>199.5</v>
      </c>
      <c r="F411" s="250"/>
      <c r="G411" s="250">
        <v>199.5</v>
      </c>
      <c r="H411" s="250"/>
      <c r="I411" s="250">
        <f>G411-E411</f>
        <v>0</v>
      </c>
      <c r="J411" s="250"/>
      <c r="K411" s="252">
        <f t="array" ref="K411">IF(ISERROR(I411/E411),"",I411/E411)</f>
        <v>0</v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>
        <v>5999.6</v>
      </c>
      <c r="F412" s="250"/>
      <c r="G412" s="250">
        <v>6319.6</v>
      </c>
      <c r="H412" s="250"/>
      <c r="I412" s="250">
        <f>G412-E412</f>
        <v>320</v>
      </c>
      <c r="J412" s="250"/>
      <c r="K412" s="252">
        <f t="array" ref="K412">IF(ISERROR(I412/E412),"",I412/E412)</f>
        <v>5.3336889125941728E-2</v>
      </c>
      <c r="L412" s="252"/>
      <c r="M412" s="237"/>
      <c r="N412" s="238"/>
      <c r="O412" s="291"/>
      <c r="P412" s="291"/>
      <c r="Q412" s="254" t="s">
        <v>185</v>
      </c>
      <c r="R412" s="254"/>
      <c r="S412" s="255">
        <v>29</v>
      </c>
      <c r="T412" s="255"/>
      <c r="U412" s="255">
        <v>29</v>
      </c>
      <c r="V412" s="255"/>
      <c r="W412" s="254">
        <f>S412*11.5</f>
        <v>333.5</v>
      </c>
      <c r="X412" s="254"/>
      <c r="Y412" s="254">
        <f>U412*11.5</f>
        <v>333.5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>
        <v>2205</v>
      </c>
      <c r="F413" s="250"/>
      <c r="G413" s="250">
        <v>2205</v>
      </c>
      <c r="H413" s="250"/>
      <c r="I413" s="250">
        <f>G413-E413</f>
        <v>0</v>
      </c>
      <c r="J413" s="250"/>
      <c r="K413" s="252">
        <f t="array" ref="K413">IF(ISERROR(I413/E413),"",I413/E413)</f>
        <v>0</v>
      </c>
      <c r="L413" s="252"/>
      <c r="M413" s="237"/>
      <c r="N413" s="238"/>
      <c r="O413" s="291"/>
      <c r="P413" s="291"/>
      <c r="Q413" s="254" t="s">
        <v>187</v>
      </c>
      <c r="R413" s="254"/>
      <c r="S413" s="255">
        <v>6</v>
      </c>
      <c r="T413" s="255"/>
      <c r="U413" s="255">
        <v>7</v>
      </c>
      <c r="V413" s="255"/>
      <c r="W413" s="254">
        <f t="shared" ref="W413:W419" si="50">S413*11.5</f>
        <v>69</v>
      </c>
      <c r="X413" s="254"/>
      <c r="Y413" s="254">
        <f t="shared" ref="Y413:Y419" si="51">U413*11.5</f>
        <v>80.5</v>
      </c>
      <c r="Z413" s="254"/>
      <c r="AA413" s="254">
        <f t="shared" si="49"/>
        <v>11.5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92">
        <v>0.75</v>
      </c>
      <c r="T414" s="293"/>
      <c r="U414" s="255">
        <v>1</v>
      </c>
      <c r="V414" s="255"/>
      <c r="W414" s="254">
        <f t="shared" si="50"/>
        <v>8.625</v>
      </c>
      <c r="X414" s="254"/>
      <c r="Y414" s="254">
        <f t="shared" si="51"/>
        <v>11.5</v>
      </c>
      <c r="Z414" s="254"/>
      <c r="AA414" s="254">
        <f t="shared" si="49"/>
        <v>2.875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>
        <v>154200</v>
      </c>
      <c r="H415" s="296"/>
      <c r="I415" s="325">
        <v>154079</v>
      </c>
      <c r="J415" s="326"/>
      <c r="K415" s="260">
        <f>G415-I415</f>
        <v>121</v>
      </c>
      <c r="L415" s="260"/>
      <c r="M415" s="261">
        <f t="array" ref="M415">IF(ISERROR(K415/L408),"",K415/(L408/1000))</f>
        <v>3.70510925496689</v>
      </c>
      <c r="N415" s="261"/>
      <c r="O415" s="291"/>
      <c r="P415" s="291"/>
      <c r="Q415" s="254" t="s">
        <v>197</v>
      </c>
      <c r="R415" s="254"/>
      <c r="S415" s="292">
        <v>0.75</v>
      </c>
      <c r="T415" s="293"/>
      <c r="U415" s="255">
        <v>1</v>
      </c>
      <c r="V415" s="255"/>
      <c r="W415" s="254">
        <f t="shared" si="50"/>
        <v>8.625</v>
      </c>
      <c r="X415" s="254"/>
      <c r="Y415" s="254">
        <f t="shared" si="51"/>
        <v>11.5</v>
      </c>
      <c r="Z415" s="254"/>
      <c r="AA415" s="254">
        <f t="shared" si="49"/>
        <v>2.875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>
        <f>45312.3*60+28926.8*120</f>
        <v>6189954</v>
      </c>
      <c r="H416" s="295"/>
      <c r="I416" s="294">
        <v>6188196</v>
      </c>
      <c r="J416" s="295"/>
      <c r="K416" s="260">
        <f>G416-I416</f>
        <v>1758</v>
      </c>
      <c r="L416" s="260"/>
      <c r="M416" s="261">
        <f t="array" ref="M416">IF(ISERROR(K416/L408),"",K416/(L408/1000))</f>
        <v>53.831256778775149</v>
      </c>
      <c r="N416" s="261"/>
      <c r="O416" s="291"/>
      <c r="P416" s="291"/>
      <c r="Q416" s="254" t="s">
        <v>200</v>
      </c>
      <c r="R416" s="254"/>
      <c r="S416" s="292">
        <v>1.5</v>
      </c>
      <c r="T416" s="293"/>
      <c r="U416" s="255">
        <v>1</v>
      </c>
      <c r="V416" s="255"/>
      <c r="W416" s="254">
        <f t="shared" si="50"/>
        <v>17.25</v>
      </c>
      <c r="X416" s="254"/>
      <c r="Y416" s="254">
        <f t="shared" si="51"/>
        <v>11.5</v>
      </c>
      <c r="Z416" s="254"/>
      <c r="AA416" s="254">
        <f t="shared" si="49"/>
        <v>-5.75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>
        <f>+I417+19</f>
        <v>28520</v>
      </c>
      <c r="H417" s="296"/>
      <c r="I417" s="327">
        <v>28501</v>
      </c>
      <c r="J417" s="328"/>
      <c r="K417" s="260">
        <f>G417-I417</f>
        <v>19</v>
      </c>
      <c r="L417" s="260"/>
      <c r="M417" s="264">
        <f t="array" ref="M417">IF(ISERROR(K417/L408),"",K417/(L408/1000))</f>
        <v>0.58179401524273489</v>
      </c>
      <c r="N417" s="264"/>
      <c r="O417" s="291"/>
      <c r="P417" s="291"/>
      <c r="Q417" s="254" t="s">
        <v>203</v>
      </c>
      <c r="R417" s="254"/>
      <c r="S417" s="292">
        <v>1</v>
      </c>
      <c r="T417" s="293"/>
      <c r="U417" s="255">
        <v>1</v>
      </c>
      <c r="V417" s="255"/>
      <c r="W417" s="254">
        <f t="shared" si="50"/>
        <v>11.5</v>
      </c>
      <c r="X417" s="254"/>
      <c r="Y417" s="254">
        <f t="shared" si="51"/>
        <v>11.5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>
        <f>2.56/2+2.56</f>
        <v>3.84</v>
      </c>
      <c r="L418" s="272"/>
      <c r="M418" s="265">
        <f t="array" ref="M418">IF(ISERROR((K418+K419)/L408),"",((K418+K419)*1000)/(L408/1000))</f>
        <v>117.58363255432114</v>
      </c>
      <c r="N418" s="266"/>
      <c r="O418" s="291"/>
      <c r="P418" s="291"/>
      <c r="Q418" s="254" t="s">
        <v>206</v>
      </c>
      <c r="R418" s="254"/>
      <c r="S418" s="292">
        <v>3</v>
      </c>
      <c r="T418" s="293"/>
      <c r="U418" s="255">
        <v>3</v>
      </c>
      <c r="V418" s="255"/>
      <c r="W418" s="254">
        <f t="shared" si="50"/>
        <v>34.5</v>
      </c>
      <c r="X418" s="254"/>
      <c r="Y418" s="254">
        <f t="shared" si="51"/>
        <v>34.5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42</v>
      </c>
      <c r="T419" s="255"/>
      <c r="U419" s="255">
        <f>SUM(U412:V418)</f>
        <v>43</v>
      </c>
      <c r="V419" s="255"/>
      <c r="W419" s="254">
        <f t="shared" si="50"/>
        <v>483</v>
      </c>
      <c r="X419" s="254"/>
      <c r="Y419" s="254">
        <f t="shared" si="51"/>
        <v>494.5</v>
      </c>
      <c r="Z419" s="254"/>
      <c r="AA419" s="254">
        <f t="shared" si="49"/>
        <v>11.5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>
        <f>IF(ISERROR(K417/K418),"",K417/K418)</f>
        <v>4.947916666666667</v>
      </c>
      <c r="N420" s="274"/>
      <c r="O420" s="291"/>
      <c r="P420" s="291"/>
      <c r="Q420" s="251" t="s">
        <v>211</v>
      </c>
      <c r="R420" s="251"/>
      <c r="S420" s="297">
        <f t="array" ref="S420">IF(ISERROR(L408/Y419),"",L408/Y419)</f>
        <v>66.041671337088928</v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65891.0052</v>
      </c>
      <c r="D423" s="304"/>
      <c r="E423" s="300" t="s">
        <v>218</v>
      </c>
      <c r="F423" s="300"/>
      <c r="G423" s="300">
        <f>L199+L408</f>
        <v>64127.372976190483</v>
      </c>
      <c r="H423" s="300"/>
      <c r="I423" s="307" t="s">
        <v>219</v>
      </c>
      <c r="J423" s="307"/>
      <c r="K423" s="306">
        <f>IF(ISERROR(G423/C423),"",G423/C423)</f>
        <v>0.97323409745448053</v>
      </c>
      <c r="L423" s="306"/>
      <c r="M423" s="300" t="s">
        <v>220</v>
      </c>
      <c r="N423" s="300"/>
      <c r="O423" s="301">
        <f>IF(ISERROR(G423/G424),"",G423/G424)</f>
        <v>65.839191967341364</v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811.90020602697109</v>
      </c>
      <c r="D424" s="304"/>
      <c r="E424" s="305" t="s">
        <v>18</v>
      </c>
      <c r="F424" s="305"/>
      <c r="G424" s="300">
        <f>R199+R408</f>
        <v>974</v>
      </c>
      <c r="H424" s="300"/>
      <c r="I424" s="284" t="s">
        <v>168</v>
      </c>
      <c r="J424" s="284"/>
      <c r="K424" s="306">
        <f>IF(ISERROR(C424/G424),"",C424/G424)</f>
        <v>0.83357310680387176</v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>
        <f t="array" ref="S424">IF(ISERROR(O424/G424),"",O424/G424)</f>
        <v>0</v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261</v>
      </c>
      <c r="D426" s="304"/>
      <c r="E426" s="300" t="s">
        <v>226</v>
      </c>
      <c r="F426" s="300"/>
      <c r="G426" s="264">
        <f t="array" ref="G426">IF(ISERROR(C426/G423),"",C426/(G423/1000))</f>
        <v>4.0700248253878311</v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3798</v>
      </c>
      <c r="D427" s="304"/>
      <c r="E427" s="300" t="s">
        <v>228</v>
      </c>
      <c r="F427" s="300"/>
      <c r="G427" s="264">
        <f>IF(ISERROR(C427/G423),"",C427/(G423/1000))</f>
        <v>59.225878493574648</v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38</v>
      </c>
      <c r="D428" s="304"/>
      <c r="E428" s="300" t="s">
        <v>230</v>
      </c>
      <c r="F428" s="300"/>
      <c r="G428" s="264">
        <f>IF(ISERROR(C428/G423),"",C428/(G423/1000))</f>
        <v>0.59257066423271099</v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7.84</v>
      </c>
      <c r="D429" s="304"/>
      <c r="E429" s="300" t="s">
        <v>232</v>
      </c>
      <c r="F429" s="300"/>
      <c r="G429" s="308">
        <f>IF(ISERROR(C429/G423),"",C429/(G423/1000))</f>
        <v>0.12225668441011722</v>
      </c>
      <c r="H429" s="308"/>
      <c r="I429" s="300" t="s">
        <v>233</v>
      </c>
      <c r="J429" s="300"/>
      <c r="K429" s="309">
        <f>IF(ISERROR(C428/C429),"",C428/C429)</f>
        <v>4.8469387755102042</v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>
        <f>IF(ISERROR(C430/G423),"",C430/(G423/1000))</f>
        <v>0</v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415.5</v>
      </c>
      <c r="D432" s="313"/>
      <c r="E432" s="300" t="s">
        <v>239</v>
      </c>
      <c r="F432" s="318"/>
      <c r="G432" s="314">
        <f>+G411+G202</f>
        <v>415.5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>
        <f t="array" ref="O432">IF(ISERROR(K432/C432),"",K432/C432)</f>
        <v>0</v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11433.6</v>
      </c>
      <c r="D433" s="313"/>
      <c r="E433" s="300" t="s">
        <v>243</v>
      </c>
      <c r="F433" s="300"/>
      <c r="G433" s="314">
        <f>+G412+G203</f>
        <v>11753.6</v>
      </c>
      <c r="H433" s="315"/>
      <c r="I433" s="300" t="s">
        <v>244</v>
      </c>
      <c r="J433" s="300"/>
      <c r="K433" s="285">
        <f>G433-C433</f>
        <v>320</v>
      </c>
      <c r="L433" s="287"/>
      <c r="M433" s="316" t="s">
        <v>245</v>
      </c>
      <c r="N433" s="317"/>
      <c r="O433" s="310">
        <f t="array" ref="O433">IF(ISERROR(K433/C433),"",K433/C433)</f>
        <v>2.7987685418415897E-2</v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4455</v>
      </c>
      <c r="D434" s="313"/>
      <c r="E434" s="300" t="s">
        <v>247</v>
      </c>
      <c r="F434" s="318"/>
      <c r="G434" s="314">
        <f>+G413+G204</f>
        <v>4455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>
        <f t="array" ref="O434">IF(ISERROR(K434/C434),"",K434/C434)</f>
        <v>0</v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5</v>
      </c>
      <c r="D437" s="67">
        <v>5</v>
      </c>
      <c r="E437" s="171"/>
      <c r="F437" s="171"/>
      <c r="G437" s="171"/>
      <c r="H437" s="172"/>
      <c r="I437" s="172"/>
      <c r="J437" s="83">
        <f t="shared" ref="J437:J452" si="5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5</v>
      </c>
      <c r="R437" s="176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6</v>
      </c>
      <c r="D438" s="67">
        <v>6</v>
      </c>
      <c r="E438" s="171"/>
      <c r="F438" s="171"/>
      <c r="G438" s="171"/>
      <c r="H438" s="172"/>
      <c r="I438" s="172"/>
      <c r="J438" s="83">
        <f t="shared" si="53"/>
        <v>6</v>
      </c>
      <c r="K438" s="67"/>
      <c r="L438" s="67"/>
      <c r="M438" s="67"/>
      <c r="N438" s="67"/>
      <c r="O438" s="67"/>
      <c r="P438" s="118"/>
      <c r="Q438" s="83">
        <f t="shared" si="54"/>
        <v>6</v>
      </c>
      <c r="R438" s="176">
        <f t="shared" ref="R438:R443" si="5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3</v>
      </c>
      <c r="D439" s="67">
        <v>3</v>
      </c>
      <c r="E439" s="171"/>
      <c r="F439" s="171"/>
      <c r="G439" s="171"/>
      <c r="H439" s="172"/>
      <c r="I439" s="172"/>
      <c r="J439" s="83">
        <f t="shared" si="53"/>
        <v>3</v>
      </c>
      <c r="K439" s="67"/>
      <c r="L439" s="67"/>
      <c r="M439" s="67"/>
      <c r="N439" s="67"/>
      <c r="O439" s="67"/>
      <c r="P439" s="118"/>
      <c r="Q439" s="83">
        <f t="shared" si="54"/>
        <v>3</v>
      </c>
      <c r="R439" s="176">
        <f t="shared" si="5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26</v>
      </c>
      <c r="D440" s="67">
        <v>26</v>
      </c>
      <c r="E440" s="171"/>
      <c r="F440" s="171"/>
      <c r="G440" s="171"/>
      <c r="H440" s="172"/>
      <c r="I440" s="172"/>
      <c r="J440" s="83">
        <f t="shared" si="53"/>
        <v>26</v>
      </c>
      <c r="K440" s="67">
        <v>1</v>
      </c>
      <c r="L440" s="67"/>
      <c r="M440" s="67"/>
      <c r="N440" s="67"/>
      <c r="O440" s="67"/>
      <c r="P440" s="118"/>
      <c r="Q440" s="83">
        <f t="shared" si="54"/>
        <v>25</v>
      </c>
      <c r="R440" s="176">
        <f t="shared" si="5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1</v>
      </c>
      <c r="D441" s="67">
        <v>1</v>
      </c>
      <c r="E441" s="171"/>
      <c r="F441" s="171"/>
      <c r="G441" s="171"/>
      <c r="H441" s="172"/>
      <c r="I441" s="172"/>
      <c r="J441" s="83">
        <f t="shared" si="53"/>
        <v>1</v>
      </c>
      <c r="K441" s="67"/>
      <c r="L441" s="67"/>
      <c r="M441" s="67"/>
      <c r="N441" s="67"/>
      <c r="O441" s="67"/>
      <c r="P441" s="118"/>
      <c r="Q441" s="83">
        <f t="shared" si="54"/>
        <v>1</v>
      </c>
      <c r="R441" s="176">
        <f t="shared" si="5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2</v>
      </c>
      <c r="D442" s="67">
        <v>2</v>
      </c>
      <c r="E442" s="67"/>
      <c r="F442" s="67"/>
      <c r="G442" s="67"/>
      <c r="H442" s="67"/>
      <c r="I442" s="67"/>
      <c r="J442" s="83">
        <f t="shared" si="53"/>
        <v>2</v>
      </c>
      <c r="K442" s="67"/>
      <c r="L442" s="67"/>
      <c r="M442" s="67"/>
      <c r="N442" s="67"/>
      <c r="O442" s="67"/>
      <c r="P442" s="67"/>
      <c r="Q442" s="83">
        <f t="shared" si="54"/>
        <v>2</v>
      </c>
      <c r="R442" s="176">
        <f t="shared" si="5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43</v>
      </c>
      <c r="D443" s="68">
        <v>43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43</v>
      </c>
      <c r="K443" s="68">
        <f t="shared" si="57"/>
        <v>1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42</v>
      </c>
      <c r="R443" s="176">
        <f t="shared" si="55"/>
        <v>462</v>
      </c>
      <c r="S443" s="120">
        <f t="array" ref="S443">IF(ISERROR(Q443/J443),"",Q443/J443)</f>
        <v>0.97674418604651159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5</v>
      </c>
      <c r="D444" s="67">
        <v>5</v>
      </c>
      <c r="E444" s="67"/>
      <c r="F444" s="67"/>
      <c r="G444" s="67"/>
      <c r="H444" s="67"/>
      <c r="I444" s="67"/>
      <c r="J444" s="83">
        <f t="shared" si="53"/>
        <v>5</v>
      </c>
      <c r="K444" s="67"/>
      <c r="L444" s="67"/>
      <c r="M444" s="67"/>
      <c r="N444" s="67"/>
      <c r="O444" s="67"/>
      <c r="P444" s="67"/>
      <c r="Q444" s="83">
        <f t="shared" si="54"/>
        <v>5</v>
      </c>
      <c r="R444" s="176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5</v>
      </c>
      <c r="D445" s="67">
        <v>5</v>
      </c>
      <c r="E445" s="67"/>
      <c r="F445" s="67"/>
      <c r="G445" s="67"/>
      <c r="H445" s="67"/>
      <c r="I445" s="67"/>
      <c r="J445" s="83">
        <f t="shared" si="53"/>
        <v>5</v>
      </c>
      <c r="K445" s="67"/>
      <c r="L445" s="67"/>
      <c r="M445" s="67"/>
      <c r="N445" s="67"/>
      <c r="O445" s="67"/>
      <c r="P445" s="67"/>
      <c r="Q445" s="83">
        <f t="shared" si="54"/>
        <v>5</v>
      </c>
      <c r="R445" s="176">
        <f t="shared" ref="R445:R450" si="5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3</v>
      </c>
      <c r="D446" s="67">
        <v>3</v>
      </c>
      <c r="E446" s="67"/>
      <c r="F446" s="67"/>
      <c r="G446" s="67"/>
      <c r="H446" s="67"/>
      <c r="I446" s="67"/>
      <c r="J446" s="83">
        <f t="shared" si="53"/>
        <v>3</v>
      </c>
      <c r="K446" s="67"/>
      <c r="L446" s="67"/>
      <c r="M446" s="67"/>
      <c r="N446" s="67"/>
      <c r="P446" s="67"/>
      <c r="Q446" s="83">
        <f t="shared" si="54"/>
        <v>3</v>
      </c>
      <c r="R446" s="176">
        <f t="shared" si="5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29</v>
      </c>
      <c r="D447" s="67">
        <v>26</v>
      </c>
      <c r="E447" s="67">
        <v>3</v>
      </c>
      <c r="F447" s="67"/>
      <c r="G447" s="67"/>
      <c r="H447" s="67"/>
      <c r="I447" s="67">
        <v>2</v>
      </c>
      <c r="J447" s="83">
        <f t="shared" si="53"/>
        <v>27</v>
      </c>
      <c r="K447" s="67"/>
      <c r="L447" s="67"/>
      <c r="M447" s="67"/>
      <c r="N447" s="67"/>
      <c r="O447" s="67"/>
      <c r="P447" s="67"/>
      <c r="Q447" s="83">
        <f t="shared" si="54"/>
        <v>27</v>
      </c>
      <c r="R447" s="176">
        <f t="shared" si="58"/>
        <v>310.5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1</v>
      </c>
      <c r="D448" s="67">
        <v>1</v>
      </c>
      <c r="E448" s="67"/>
      <c r="F448" s="67"/>
      <c r="G448" s="67"/>
      <c r="H448" s="67"/>
      <c r="I448" s="67"/>
      <c r="J448" s="83">
        <f t="shared" si="53"/>
        <v>1</v>
      </c>
      <c r="K448" s="67"/>
      <c r="L448" s="67"/>
      <c r="M448" s="110"/>
      <c r="N448" s="67"/>
      <c r="O448" s="67"/>
      <c r="P448" s="67"/>
      <c r="Q448" s="83">
        <f t="shared" si="54"/>
        <v>1</v>
      </c>
      <c r="R448" s="176">
        <f t="shared" si="5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2</v>
      </c>
      <c r="D449" s="67">
        <v>2</v>
      </c>
      <c r="E449" s="67"/>
      <c r="F449" s="67"/>
      <c r="G449" s="67"/>
      <c r="H449" s="67"/>
      <c r="I449" s="67"/>
      <c r="J449" s="83">
        <f t="shared" si="53"/>
        <v>2</v>
      </c>
      <c r="K449" s="67"/>
      <c r="L449" s="67"/>
      <c r="M449" s="67"/>
      <c r="N449" s="67"/>
      <c r="O449" s="67"/>
      <c r="P449" s="67"/>
      <c r="Q449" s="83">
        <f t="shared" si="54"/>
        <v>2</v>
      </c>
      <c r="R449" s="176">
        <f t="shared" si="5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45</v>
      </c>
      <c r="D450" s="69">
        <v>42</v>
      </c>
      <c r="E450" s="69">
        <f t="shared" ref="E450:I450" si="59">SUM(E444:E449)</f>
        <v>3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2</v>
      </c>
      <c r="J450" s="85">
        <f t="shared" si="53"/>
        <v>43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43</v>
      </c>
      <c r="R450" s="176">
        <f t="shared" si="58"/>
        <v>494.5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2</v>
      </c>
      <c r="D451" s="67">
        <v>2</v>
      </c>
      <c r="E451" s="171"/>
      <c r="F451" s="171"/>
      <c r="G451" s="171"/>
      <c r="H451" s="172"/>
      <c r="I451" s="83"/>
      <c r="J451" s="83">
        <f t="shared" si="53"/>
        <v>2</v>
      </c>
      <c r="K451" s="172"/>
      <c r="L451" s="172"/>
      <c r="M451" s="172"/>
      <c r="N451" s="172"/>
      <c r="O451" s="172"/>
      <c r="P451" s="187"/>
      <c r="Q451" s="83">
        <f t="shared" si="54"/>
        <v>2</v>
      </c>
      <c r="R451" s="176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90</v>
      </c>
      <c r="D452" s="69">
        <v>87</v>
      </c>
      <c r="E452" s="69">
        <f>+E443+E450+E451</f>
        <v>3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</v>
      </c>
      <c r="J452" s="85">
        <f t="shared" si="53"/>
        <v>88</v>
      </c>
      <c r="K452" s="69">
        <f t="shared" ref="K452:P452" si="61">+K443+K450+K451</f>
        <v>1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87</v>
      </c>
      <c r="R452" s="67">
        <f>R443+R450+R451</f>
        <v>978.5</v>
      </c>
      <c r="S452" s="123">
        <f t="array" ref="S452">IF(ISERROR(Q452/J452),"",Q452/J452)</f>
        <v>0.98863636363636365</v>
      </c>
      <c r="T452" s="185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3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abSelected="1" topLeftCell="A432" workbookViewId="0">
      <selection activeCell="L446" sqref="L44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35" t="s">
        <v>25</v>
      </c>
      <c r="S5" s="220"/>
      <c r="T5" s="222"/>
      <c r="U5" s="222"/>
      <c r="V5" s="224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1">
        <v>300320</v>
      </c>
      <c r="B6" s="135" t="s">
        <v>33</v>
      </c>
      <c r="C6" s="232" t="s">
        <v>34</v>
      </c>
      <c r="D6" s="232"/>
      <c r="E6" s="147" t="s">
        <v>35</v>
      </c>
      <c r="F6" s="13"/>
      <c r="G6" s="14">
        <f>+SUM('31:29'!G6)</f>
        <v>5.17</v>
      </c>
      <c r="H6" s="14">
        <f>+SUM('31:29'!H6)</f>
        <v>0.75</v>
      </c>
      <c r="I6" s="14">
        <f>+SUM('31:29'!I6)</f>
        <v>5.166666666666667</v>
      </c>
      <c r="J6" s="14">
        <f>+SUM('31:29'!J6)</f>
        <v>350</v>
      </c>
      <c r="K6" s="145">
        <f t="shared" ref="K6:K76" si="0">G6*M6</f>
        <v>3275.712</v>
      </c>
      <c r="L6" s="145">
        <f t="shared" ref="L6:L76" si="1">I6*M6</f>
        <v>3273.6000000000004</v>
      </c>
      <c r="M6" s="145">
        <v>633.6</v>
      </c>
      <c r="N6" s="145">
        <f>+M6*1000/(28.3*10*40*60)*T6</f>
        <v>4.6643109540636036</v>
      </c>
      <c r="O6" s="14">
        <f>+SUM('31:29'!O6)</f>
        <v>0</v>
      </c>
      <c r="P6" s="145">
        <f t="shared" ref="P6:P76" si="2">N6*I6+O6*U6</f>
        <v>24.098939929328619</v>
      </c>
      <c r="Q6" s="14">
        <f>+SUM('31:29'!Q6)</f>
        <v>11</v>
      </c>
      <c r="R6" s="19">
        <f t="shared" ref="R6:R76" si="3">Q6*U6</f>
        <v>22</v>
      </c>
      <c r="S6" s="145">
        <f t="shared" ref="S6:S76" si="4">R6-P6</f>
        <v>-2.0989399293286191</v>
      </c>
      <c r="T6" s="20">
        <v>5</v>
      </c>
      <c r="U6" s="14">
        <f>+SUM('31:29'!U6)</f>
        <v>2</v>
      </c>
      <c r="V6" s="142">
        <f t="array" ref="V6">IF(ISERROR(L6/K6),"",L6/K6)</f>
        <v>0.99935525467440367</v>
      </c>
      <c r="W6" s="14">
        <f>+SUM('31:29'!W6)</f>
        <v>0</v>
      </c>
      <c r="X6" s="14">
        <f>+SUM('31:29'!X6)</f>
        <v>1.6666666666666667</v>
      </c>
      <c r="Y6" s="14">
        <f>+SUM('31:29'!Y6)</f>
        <v>0</v>
      </c>
      <c r="Z6" s="14">
        <f>+SUM('31:29'!Z6)</f>
        <v>0</v>
      </c>
      <c r="AA6" s="14">
        <f>+SUM('31:29'!AA6)</f>
        <v>0</v>
      </c>
      <c r="AB6" s="14">
        <f>+SUM('31:29'!AB6)</f>
        <v>0</v>
      </c>
      <c r="AC6" s="14">
        <f>+SUM('31:29'!AC6)</f>
        <v>0</v>
      </c>
    </row>
    <row r="7" spans="1:29" ht="21.95" customHeight="1">
      <c r="A7" s="141">
        <v>300318</v>
      </c>
      <c r="B7" s="135" t="s">
        <v>33</v>
      </c>
      <c r="C7" s="232" t="s">
        <v>34</v>
      </c>
      <c r="D7" s="232"/>
      <c r="E7" s="147" t="s">
        <v>36</v>
      </c>
      <c r="F7" s="13"/>
      <c r="G7" s="14">
        <f>+SUM('31:29'!G7)</f>
        <v>0</v>
      </c>
      <c r="H7" s="14">
        <f>+SUM('31:29'!H7)</f>
        <v>0</v>
      </c>
      <c r="I7" s="14">
        <f>+SUM('31:29'!I7)</f>
        <v>0</v>
      </c>
      <c r="J7" s="14">
        <f>+SUM('31:29'!J7)</f>
        <v>0</v>
      </c>
      <c r="K7" s="145">
        <f t="shared" si="0"/>
        <v>0</v>
      </c>
      <c r="L7" s="145">
        <f t="shared" si="1"/>
        <v>0</v>
      </c>
      <c r="M7" s="145">
        <v>633.6</v>
      </c>
      <c r="N7" s="145">
        <f t="shared" ref="N7:N13" si="5">+M7*1000/(28.3*10*40*60)*T7</f>
        <v>4.6643109540636036</v>
      </c>
      <c r="O7" s="14">
        <f>+SUM('31:29'!O7)</f>
        <v>0</v>
      </c>
      <c r="P7" s="145">
        <f t="shared" si="2"/>
        <v>0</v>
      </c>
      <c r="Q7" s="14">
        <f>+SUM('31:29'!Q7)</f>
        <v>0</v>
      </c>
      <c r="R7" s="19">
        <f t="shared" si="3"/>
        <v>0</v>
      </c>
      <c r="S7" s="145">
        <f t="shared" si="4"/>
        <v>0</v>
      </c>
      <c r="T7" s="20">
        <v>5</v>
      </c>
      <c r="U7" s="14">
        <f>+SUM('31:29'!U7)</f>
        <v>0</v>
      </c>
      <c r="V7" s="142" t="str">
        <f t="array" ref="V7">IF(ISERROR(L7/K7),"",L7/K7)</f>
        <v/>
      </c>
      <c r="W7" s="14">
        <f>+SUM('31:29'!W7)</f>
        <v>0</v>
      </c>
      <c r="X7" s="14">
        <f>+SUM('31:29'!X7)</f>
        <v>0</v>
      </c>
      <c r="Y7" s="14">
        <f>+SUM('31:29'!Y7)</f>
        <v>0</v>
      </c>
      <c r="Z7" s="14">
        <f>+SUM('31:29'!Z7)</f>
        <v>0</v>
      </c>
      <c r="AA7" s="14">
        <f>+SUM('31:29'!AA7)</f>
        <v>0</v>
      </c>
      <c r="AB7" s="14">
        <f>+SUM('31:29'!AB7)</f>
        <v>0</v>
      </c>
      <c r="AC7" s="14">
        <f>+SUM('31:29'!AC7)</f>
        <v>0</v>
      </c>
    </row>
    <row r="8" spans="1:29" ht="21.95" customHeight="1">
      <c r="A8" s="141">
        <v>300319</v>
      </c>
      <c r="B8" s="135" t="s">
        <v>33</v>
      </c>
      <c r="C8" s="232" t="s">
        <v>34</v>
      </c>
      <c r="D8" s="232"/>
      <c r="E8" s="147" t="s">
        <v>37</v>
      </c>
      <c r="F8" s="13"/>
      <c r="G8" s="14">
        <f>+SUM('31:29'!G8)</f>
        <v>5.17</v>
      </c>
      <c r="H8" s="14">
        <f>+SUM('31:29'!H8)</f>
        <v>0.66666666666666663</v>
      </c>
      <c r="I8" s="14">
        <f>+SUM('31:29'!I8)</f>
        <v>5.166666666666667</v>
      </c>
      <c r="J8" s="14">
        <f>+SUM('31:29'!J8)</f>
        <v>0</v>
      </c>
      <c r="K8" s="145">
        <f t="shared" si="0"/>
        <v>3275.712</v>
      </c>
      <c r="L8" s="145">
        <f t="shared" si="1"/>
        <v>3273.6000000000004</v>
      </c>
      <c r="M8" s="145">
        <v>633.6</v>
      </c>
      <c r="N8" s="145">
        <f t="shared" si="5"/>
        <v>4.6643109540636036</v>
      </c>
      <c r="O8" s="14">
        <f>+SUM('31:29'!O8)</f>
        <v>0</v>
      </c>
      <c r="P8" s="145">
        <f t="shared" si="2"/>
        <v>24.098939929328619</v>
      </c>
      <c r="Q8" s="14">
        <f>+SUM('31:29'!Q8)</f>
        <v>11</v>
      </c>
      <c r="R8" s="19">
        <f t="shared" si="3"/>
        <v>22</v>
      </c>
      <c r="S8" s="145">
        <f t="shared" si="4"/>
        <v>-2.0989399293286191</v>
      </c>
      <c r="T8" s="20">
        <v>5</v>
      </c>
      <c r="U8" s="14">
        <f>+SUM('31:29'!U8)</f>
        <v>2</v>
      </c>
      <c r="V8" s="142">
        <f t="array" ref="V8">IF(ISERROR(L8/K8),"",L8/K8)</f>
        <v>0.99935525467440367</v>
      </c>
      <c r="W8" s="14">
        <f>+SUM('31:29'!W8)</f>
        <v>0</v>
      </c>
      <c r="X8" s="14">
        <f>+SUM('31:29'!X8)</f>
        <v>0</v>
      </c>
      <c r="Y8" s="14">
        <f>+SUM('31:29'!Y8)</f>
        <v>0</v>
      </c>
      <c r="Z8" s="14">
        <f>+SUM('31:29'!Z8)</f>
        <v>0</v>
      </c>
      <c r="AA8" s="14">
        <f>+SUM('31:29'!AA8)</f>
        <v>0</v>
      </c>
      <c r="AB8" s="14">
        <f>+SUM('31:29'!AB8)</f>
        <v>0</v>
      </c>
      <c r="AC8" s="14">
        <f>+SUM('31:29'!AC8)</f>
        <v>0</v>
      </c>
    </row>
    <row r="9" spans="1:29" ht="21.95" customHeight="1">
      <c r="A9" s="141">
        <v>300316</v>
      </c>
      <c r="B9" s="135" t="s">
        <v>33</v>
      </c>
      <c r="C9" s="232" t="s">
        <v>34</v>
      </c>
      <c r="D9" s="232"/>
      <c r="E9" s="147" t="s">
        <v>38</v>
      </c>
      <c r="F9" s="13"/>
      <c r="G9" s="14">
        <f>+SUM('31:29'!G9)</f>
        <v>7</v>
      </c>
      <c r="H9" s="14">
        <f>+SUM('31:29'!H9)</f>
        <v>0.13333333333333333</v>
      </c>
      <c r="I9" s="14">
        <f>+SUM('31:29'!I9)</f>
        <v>6.8000000000000007</v>
      </c>
      <c r="J9" s="14">
        <f>+SUM('31:29'!J9)</f>
        <v>200</v>
      </c>
      <c r="K9" s="145">
        <f t="shared" si="0"/>
        <v>4312</v>
      </c>
      <c r="L9" s="145">
        <f t="shared" si="1"/>
        <v>4188.8</v>
      </c>
      <c r="M9" s="145">
        <v>616</v>
      </c>
      <c r="N9" s="145">
        <f t="shared" si="5"/>
        <v>4.534746760895171</v>
      </c>
      <c r="O9" s="14">
        <f>+SUM('31:29'!O9)</f>
        <v>0</v>
      </c>
      <c r="P9" s="145">
        <f t="shared" si="2"/>
        <v>30.836277974087167</v>
      </c>
      <c r="Q9" s="14">
        <f>+SUM('31:29'!Q9)</f>
        <v>11</v>
      </c>
      <c r="R9" s="19">
        <f t="shared" si="3"/>
        <v>22</v>
      </c>
      <c r="S9" s="145">
        <f t="shared" si="4"/>
        <v>-8.8362779740871673</v>
      </c>
      <c r="T9" s="20">
        <v>5</v>
      </c>
      <c r="U9" s="14">
        <f>+SUM('31:29'!U9)</f>
        <v>2</v>
      </c>
      <c r="V9" s="142"/>
      <c r="W9" s="14">
        <f>+SUM('31:29'!W9)</f>
        <v>0</v>
      </c>
      <c r="X9" s="14">
        <f>+SUM('31:29'!X9)</f>
        <v>0</v>
      </c>
      <c r="Y9" s="14">
        <f>+SUM('31:29'!Y9)</f>
        <v>0</v>
      </c>
      <c r="Z9" s="14">
        <f>+SUM('31:29'!Z9)</f>
        <v>0</v>
      </c>
      <c r="AA9" s="14">
        <f>+SUM('31:29'!AA9)</f>
        <v>0</v>
      </c>
      <c r="AB9" s="14">
        <f>+SUM('31:29'!AB9)</f>
        <v>0</v>
      </c>
      <c r="AC9" s="14">
        <f>+SUM('31:29'!AC9)</f>
        <v>0</v>
      </c>
    </row>
    <row r="10" spans="1:29" ht="21.95" customHeight="1">
      <c r="A10" s="141">
        <v>300317</v>
      </c>
      <c r="B10" s="135" t="s">
        <v>33</v>
      </c>
      <c r="C10" s="219" t="s">
        <v>34</v>
      </c>
      <c r="D10" s="219"/>
      <c r="E10" s="147" t="s">
        <v>39</v>
      </c>
      <c r="F10" s="13"/>
      <c r="G10" s="14">
        <f>+SUM('31:29'!G10)</f>
        <v>0</v>
      </c>
      <c r="H10" s="14">
        <f>+SUM('31:29'!H10)</f>
        <v>0</v>
      </c>
      <c r="I10" s="14">
        <f>+SUM('31:29'!I10)</f>
        <v>0</v>
      </c>
      <c r="J10" s="14">
        <f>+SUM('31:29'!J10)</f>
        <v>0</v>
      </c>
      <c r="K10" s="145">
        <f t="shared" si="0"/>
        <v>0</v>
      </c>
      <c r="L10" s="145">
        <f t="shared" si="1"/>
        <v>0</v>
      </c>
      <c r="M10" s="145">
        <v>616</v>
      </c>
      <c r="N10" s="145">
        <f t="shared" si="5"/>
        <v>4.534746760895171</v>
      </c>
      <c r="O10" s="14">
        <f>+SUM('31:29'!O10)</f>
        <v>0</v>
      </c>
      <c r="P10" s="145">
        <f t="shared" si="2"/>
        <v>0</v>
      </c>
      <c r="Q10" s="14">
        <f>+SUM('31:29'!Q10)</f>
        <v>0</v>
      </c>
      <c r="R10" s="19">
        <f t="shared" si="3"/>
        <v>0</v>
      </c>
      <c r="S10" s="145">
        <f t="shared" si="4"/>
        <v>0</v>
      </c>
      <c r="T10" s="20">
        <v>5</v>
      </c>
      <c r="U10" s="14">
        <f>+SUM('31:29'!U10)</f>
        <v>0</v>
      </c>
      <c r="V10" s="142"/>
      <c r="W10" s="14">
        <f>+SUM('31:29'!W10)</f>
        <v>0</v>
      </c>
      <c r="X10" s="14">
        <f>+SUM('31:29'!X10)</f>
        <v>0</v>
      </c>
      <c r="Y10" s="14">
        <f>+SUM('31:29'!Y10)</f>
        <v>0</v>
      </c>
      <c r="Z10" s="14">
        <f>+SUM('31:29'!Z10)</f>
        <v>0</v>
      </c>
      <c r="AA10" s="14">
        <f>+SUM('31:29'!AA10)</f>
        <v>0</v>
      </c>
      <c r="AB10" s="14">
        <f>+SUM('31:29'!AB10)</f>
        <v>0</v>
      </c>
      <c r="AC10" s="14">
        <f>+SUM('31:29'!AC10)</f>
        <v>0</v>
      </c>
    </row>
    <row r="11" spans="1:29" ht="21.95" customHeight="1">
      <c r="A11" s="141">
        <v>300315</v>
      </c>
      <c r="B11" s="135" t="s">
        <v>33</v>
      </c>
      <c r="C11" s="219" t="s">
        <v>34</v>
      </c>
      <c r="D11" s="219"/>
      <c r="E11" s="147" t="s">
        <v>40</v>
      </c>
      <c r="F11" s="13"/>
      <c r="G11" s="14">
        <f>+SUM('31:29'!G11)</f>
        <v>6.27</v>
      </c>
      <c r="H11" s="14">
        <f>+SUM('31:29'!H11)</f>
        <v>0.43333333333333335</v>
      </c>
      <c r="I11" s="14">
        <f>+SUM('31:29'!I11)</f>
        <v>6.2666666666666666</v>
      </c>
      <c r="J11" s="14">
        <f>+SUM('31:29'!J11)</f>
        <v>100</v>
      </c>
      <c r="K11" s="145">
        <f t="shared" si="0"/>
        <v>3862.3199999999997</v>
      </c>
      <c r="L11" s="145">
        <f t="shared" si="1"/>
        <v>3860.2666666666664</v>
      </c>
      <c r="M11" s="145">
        <v>616</v>
      </c>
      <c r="N11" s="145">
        <f t="shared" si="5"/>
        <v>4.534746760895171</v>
      </c>
      <c r="O11" s="14">
        <f>+SUM('31:29'!O11)</f>
        <v>0</v>
      </c>
      <c r="P11" s="145">
        <f t="shared" si="2"/>
        <v>28.417746368276404</v>
      </c>
      <c r="Q11" s="14">
        <f>+SUM('31:29'!Q11)</f>
        <v>11</v>
      </c>
      <c r="R11" s="19">
        <f t="shared" si="3"/>
        <v>22</v>
      </c>
      <c r="S11" s="145">
        <f t="shared" si="4"/>
        <v>-6.4177463682764042</v>
      </c>
      <c r="T11" s="20">
        <v>5</v>
      </c>
      <c r="U11" s="14">
        <f>+SUM('31:29'!U11)</f>
        <v>2</v>
      </c>
      <c r="V11" s="142">
        <f t="array" ref="V11">IF(ISERROR(L11/K11),"",L11/K11)</f>
        <v>0.99946836788942051</v>
      </c>
      <c r="W11" s="14">
        <f>+SUM('31:29'!W11)</f>
        <v>0</v>
      </c>
      <c r="X11" s="14">
        <f>+SUM('31:29'!X11)</f>
        <v>0</v>
      </c>
      <c r="Y11" s="14">
        <f>+SUM('31:29'!Y11)</f>
        <v>0</v>
      </c>
      <c r="Z11" s="14">
        <f>+SUM('31:29'!Z11)</f>
        <v>0</v>
      </c>
      <c r="AA11" s="14">
        <f>+SUM('31:29'!AA11)</f>
        <v>0</v>
      </c>
      <c r="AB11" s="14">
        <f>+SUM('31:29'!AB11)</f>
        <v>0</v>
      </c>
      <c r="AC11" s="14">
        <f>+SUM('31:29'!AC11)</f>
        <v>0</v>
      </c>
    </row>
    <row r="12" spans="1:29" ht="21.95" customHeight="1">
      <c r="A12" s="141">
        <v>300314</v>
      </c>
      <c r="B12" s="135" t="s">
        <v>33</v>
      </c>
      <c r="C12" s="219" t="s">
        <v>34</v>
      </c>
      <c r="D12" s="219"/>
      <c r="E12" s="147" t="s">
        <v>41</v>
      </c>
      <c r="F12" s="13"/>
      <c r="G12" s="14">
        <f>+SUM('31:29'!G12)</f>
        <v>0</v>
      </c>
      <c r="H12" s="14">
        <f>+SUM('31:29'!H12)</f>
        <v>0</v>
      </c>
      <c r="I12" s="14">
        <f>+SUM('31:29'!I12)</f>
        <v>0</v>
      </c>
      <c r="J12" s="14">
        <f>+SUM('31:29'!J12)</f>
        <v>0</v>
      </c>
      <c r="K12" s="145">
        <f t="shared" si="0"/>
        <v>0</v>
      </c>
      <c r="L12" s="145">
        <f t="shared" si="1"/>
        <v>0</v>
      </c>
      <c r="M12" s="145">
        <v>616</v>
      </c>
      <c r="N12" s="145">
        <f t="shared" si="5"/>
        <v>4.534746760895171</v>
      </c>
      <c r="O12" s="14">
        <f>+SUM('31:29'!O12)</f>
        <v>0</v>
      </c>
      <c r="P12" s="145">
        <f t="shared" si="2"/>
        <v>0</v>
      </c>
      <c r="Q12" s="14">
        <f>+SUM('31:29'!Q12)</f>
        <v>0</v>
      </c>
      <c r="R12" s="19">
        <f t="shared" si="3"/>
        <v>0</v>
      </c>
      <c r="S12" s="145">
        <f t="shared" si="4"/>
        <v>0</v>
      </c>
      <c r="T12" s="20">
        <v>5</v>
      </c>
      <c r="U12" s="14">
        <f>+SUM('31:29'!U12)</f>
        <v>0</v>
      </c>
      <c r="V12" s="142" t="str">
        <f t="array" ref="V12">IF(ISERROR(L12/K12),"",L12/K12)</f>
        <v/>
      </c>
      <c r="W12" s="14">
        <f>+SUM('31:29'!W12)</f>
        <v>0</v>
      </c>
      <c r="X12" s="14">
        <f>+SUM('31:29'!X12)</f>
        <v>0</v>
      </c>
      <c r="Y12" s="14">
        <f>+SUM('31:29'!Y12)</f>
        <v>0</v>
      </c>
      <c r="Z12" s="14">
        <f>+SUM('31:29'!Z12)</f>
        <v>0</v>
      </c>
      <c r="AA12" s="14">
        <f>+SUM('31:29'!AA12)</f>
        <v>0</v>
      </c>
      <c r="AB12" s="14">
        <f>+SUM('31:29'!AB12)</f>
        <v>0</v>
      </c>
      <c r="AC12" s="14">
        <f>+SUM('31:29'!AC12)</f>
        <v>0</v>
      </c>
    </row>
    <row r="13" spans="1:29" ht="21.95" customHeight="1">
      <c r="A13" s="141">
        <v>300313</v>
      </c>
      <c r="B13" s="135" t="s">
        <v>33</v>
      </c>
      <c r="C13" s="219" t="s">
        <v>34</v>
      </c>
      <c r="D13" s="219"/>
      <c r="E13" s="147" t="s">
        <v>42</v>
      </c>
      <c r="F13" s="13"/>
      <c r="G13" s="14">
        <f>+SUM('31:29'!G13)</f>
        <v>0</v>
      </c>
      <c r="H13" s="14">
        <f>+SUM('31:29'!H13)</f>
        <v>0</v>
      </c>
      <c r="I13" s="14">
        <f>+SUM('31:29'!I13)</f>
        <v>0</v>
      </c>
      <c r="J13" s="14">
        <f>+SUM('31:29'!J13)</f>
        <v>0</v>
      </c>
      <c r="K13" s="145">
        <f t="shared" si="0"/>
        <v>0</v>
      </c>
      <c r="L13" s="145">
        <f t="shared" si="1"/>
        <v>0</v>
      </c>
      <c r="M13" s="145">
        <v>616</v>
      </c>
      <c r="N13" s="145">
        <f t="shared" si="5"/>
        <v>4.534746760895171</v>
      </c>
      <c r="O13" s="14">
        <f>+SUM('31:29'!O13)</f>
        <v>0</v>
      </c>
      <c r="P13" s="145">
        <f t="shared" si="2"/>
        <v>0</v>
      </c>
      <c r="Q13" s="14">
        <f>+SUM('31:29'!Q13)</f>
        <v>0</v>
      </c>
      <c r="R13" s="19">
        <f t="shared" si="3"/>
        <v>0</v>
      </c>
      <c r="S13" s="145">
        <f t="shared" si="4"/>
        <v>0</v>
      </c>
      <c r="T13" s="20">
        <v>5</v>
      </c>
      <c r="U13" s="14">
        <f>+SUM('31:29'!U13)</f>
        <v>0</v>
      </c>
      <c r="V13" s="142" t="str">
        <f t="array" ref="V13">IF(ISERROR(L13/K13),"",L13/K13)</f>
        <v/>
      </c>
      <c r="W13" s="14">
        <f>+SUM('31:29'!W13)</f>
        <v>0</v>
      </c>
      <c r="X13" s="14">
        <f>+SUM('31:29'!X13)</f>
        <v>0</v>
      </c>
      <c r="Y13" s="14">
        <f>+SUM('31:29'!Y13)</f>
        <v>0</v>
      </c>
      <c r="Z13" s="14">
        <f>+SUM('31:29'!Z13)</f>
        <v>0</v>
      </c>
      <c r="AA13" s="14">
        <f>+SUM('31:29'!AA13)</f>
        <v>0</v>
      </c>
      <c r="AB13" s="14">
        <f>+SUM('31:29'!AB13)</f>
        <v>0</v>
      </c>
      <c r="AC13" s="14">
        <f>+SUM('31:29'!AC13)</f>
        <v>0</v>
      </c>
    </row>
    <row r="14" spans="1:29" ht="21.95" customHeight="1">
      <c r="A14" s="141"/>
      <c r="B14" s="135" t="s">
        <v>43</v>
      </c>
      <c r="C14" s="230" t="s">
        <v>305</v>
      </c>
      <c r="D14" s="231"/>
      <c r="E14" s="147" t="s">
        <v>306</v>
      </c>
      <c r="F14" s="13"/>
      <c r="G14" s="14">
        <f>+SUM('31:29'!G14)</f>
        <v>0</v>
      </c>
      <c r="H14" s="14">
        <f>+SUM('31:29'!H14)</f>
        <v>0</v>
      </c>
      <c r="I14" s="14">
        <f>+SUM('31:29'!I14)</f>
        <v>0</v>
      </c>
      <c r="J14" s="14">
        <f>+SUM('31:29'!J14)</f>
        <v>0</v>
      </c>
      <c r="K14" s="145">
        <f t="shared" si="0"/>
        <v>0</v>
      </c>
      <c r="L14" s="145">
        <f t="shared" si="1"/>
        <v>0</v>
      </c>
      <c r="M14" s="145">
        <v>213.4</v>
      </c>
      <c r="N14" s="145">
        <f>+M14*1000/(15.4*10*17*60)*T14</f>
        <v>4.0756302521008401</v>
      </c>
      <c r="O14" s="14">
        <f>+SUM('31:29'!O14)</f>
        <v>0</v>
      </c>
      <c r="P14" s="145">
        <f t="shared" si="2"/>
        <v>0</v>
      </c>
      <c r="Q14" s="14">
        <f>+SUM('31:29'!Q14)</f>
        <v>0</v>
      </c>
      <c r="R14" s="19">
        <f t="shared" si="3"/>
        <v>0</v>
      </c>
      <c r="S14" s="145">
        <f t="shared" si="4"/>
        <v>0</v>
      </c>
      <c r="T14" s="20">
        <v>3</v>
      </c>
      <c r="U14" s="14">
        <f>+SUM('31:29'!U14)</f>
        <v>0</v>
      </c>
      <c r="V14" s="142"/>
      <c r="W14" s="14">
        <f>+SUM('31:29'!W14)</f>
        <v>0</v>
      </c>
      <c r="X14" s="14">
        <f>+SUM('31:29'!X14)</f>
        <v>0</v>
      </c>
      <c r="Y14" s="14">
        <f>+SUM('31:29'!Y14)</f>
        <v>0</v>
      </c>
      <c r="Z14" s="14">
        <f>+SUM('31:29'!Z14)</f>
        <v>0</v>
      </c>
      <c r="AA14" s="14">
        <f>+SUM('31:29'!AA14)</f>
        <v>0</v>
      </c>
      <c r="AB14" s="14">
        <f>+SUM('31:29'!AB14)</f>
        <v>0</v>
      </c>
      <c r="AC14" s="14">
        <f>+SUM('31:29'!AC14)</f>
        <v>0</v>
      </c>
    </row>
    <row r="15" spans="1:29" ht="21.95" customHeight="1">
      <c r="A15" s="141"/>
      <c r="B15" s="135" t="s">
        <v>43</v>
      </c>
      <c r="C15" s="230" t="s">
        <v>305</v>
      </c>
      <c r="D15" s="231"/>
      <c r="E15" s="147" t="s">
        <v>307</v>
      </c>
      <c r="F15" s="13"/>
      <c r="G15" s="14">
        <f>+SUM('31:29'!G15)</f>
        <v>0</v>
      </c>
      <c r="H15" s="14">
        <f>+SUM('31:29'!H15)</f>
        <v>0</v>
      </c>
      <c r="I15" s="14">
        <f>+SUM('31:29'!I15)</f>
        <v>0</v>
      </c>
      <c r="J15" s="14">
        <f>+SUM('31:29'!J15)</f>
        <v>0</v>
      </c>
      <c r="K15" s="145">
        <f t="shared" si="0"/>
        <v>0</v>
      </c>
      <c r="L15" s="145">
        <f t="shared" si="1"/>
        <v>0</v>
      </c>
      <c r="M15" s="145">
        <v>213.4</v>
      </c>
      <c r="N15" s="145">
        <f>+M15*1000/(15.4*10*17*60)*T15</f>
        <v>4.0756302521008401</v>
      </c>
      <c r="O15" s="14">
        <f>+SUM('31:29'!O15)</f>
        <v>0</v>
      </c>
      <c r="P15" s="145">
        <f t="shared" si="2"/>
        <v>0</v>
      </c>
      <c r="Q15" s="14">
        <f>+SUM('31:29'!Q15)</f>
        <v>0</v>
      </c>
      <c r="R15" s="19">
        <f t="shared" si="3"/>
        <v>0</v>
      </c>
      <c r="S15" s="145">
        <f t="shared" si="4"/>
        <v>0</v>
      </c>
      <c r="T15" s="20">
        <v>3</v>
      </c>
      <c r="U15" s="14">
        <f>+SUM('31:29'!U15)</f>
        <v>0</v>
      </c>
      <c r="V15" s="142"/>
      <c r="W15" s="14">
        <f>+SUM('31:29'!W15)</f>
        <v>0</v>
      </c>
      <c r="X15" s="14">
        <f>+SUM('31:29'!X15)</f>
        <v>0</v>
      </c>
      <c r="Y15" s="14">
        <f>+SUM('31:29'!Y15)</f>
        <v>0</v>
      </c>
      <c r="Z15" s="14">
        <f>+SUM('31:29'!Z15)</f>
        <v>0</v>
      </c>
      <c r="AA15" s="14">
        <f>+SUM('31:29'!AA15)</f>
        <v>0</v>
      </c>
      <c r="AB15" s="14">
        <f>+SUM('31:29'!AB15)</f>
        <v>0</v>
      </c>
      <c r="AC15" s="14">
        <f>+SUM('31:29'!AC15)</f>
        <v>0</v>
      </c>
    </row>
    <row r="16" spans="1:29" ht="21" customHeight="1">
      <c r="A16" s="135">
        <v>300202</v>
      </c>
      <c r="B16" s="135" t="s">
        <v>43</v>
      </c>
      <c r="C16" s="230" t="s">
        <v>44</v>
      </c>
      <c r="D16" s="231"/>
      <c r="E16" s="135" t="s">
        <v>35</v>
      </c>
      <c r="F16" s="13"/>
      <c r="G16" s="14">
        <f>+SUM('31:29'!G16)</f>
        <v>0</v>
      </c>
      <c r="H16" s="14">
        <f>+SUM('31:29'!H16)</f>
        <v>0</v>
      </c>
      <c r="I16" s="14">
        <f>+SUM('31:29'!I16)</f>
        <v>0</v>
      </c>
      <c r="J16" s="14">
        <f>+SUM('31:29'!J16)</f>
        <v>0</v>
      </c>
      <c r="K16" s="145">
        <f t="shared" si="0"/>
        <v>0</v>
      </c>
      <c r="L16" s="145">
        <f t="shared" si="1"/>
        <v>0</v>
      </c>
      <c r="M16" s="145">
        <v>212.4</v>
      </c>
      <c r="N16" s="145">
        <f>+M16*1000/(15.4*10*17*60)*T16</f>
        <v>4.0565317035905268</v>
      </c>
      <c r="O16" s="14">
        <f>+SUM('31:29'!O16)</f>
        <v>0</v>
      </c>
      <c r="P16" s="145">
        <f t="shared" si="2"/>
        <v>0</v>
      </c>
      <c r="Q16" s="14">
        <f>+SUM('31:29'!Q16)</f>
        <v>0</v>
      </c>
      <c r="R16" s="19">
        <f t="shared" si="3"/>
        <v>0</v>
      </c>
      <c r="S16" s="145">
        <f t="shared" si="4"/>
        <v>0</v>
      </c>
      <c r="T16" s="20">
        <v>3</v>
      </c>
      <c r="U16" s="14">
        <f>+SUM('31:29'!U16)</f>
        <v>0</v>
      </c>
      <c r="V16" s="142" t="str">
        <f t="array" ref="V16">IF(ISERROR(L16/K16),"",L16/K16)</f>
        <v/>
      </c>
      <c r="W16" s="14">
        <f>+SUM('31:29'!W16)</f>
        <v>0</v>
      </c>
      <c r="X16" s="14">
        <f>+SUM('31:29'!X16)</f>
        <v>0</v>
      </c>
      <c r="Y16" s="14">
        <f>+SUM('31:29'!Y16)</f>
        <v>0</v>
      </c>
      <c r="Z16" s="14">
        <f>+SUM('31:29'!Z16)</f>
        <v>0</v>
      </c>
      <c r="AA16" s="14">
        <f>+SUM('31:29'!AA16)</f>
        <v>0</v>
      </c>
      <c r="AB16" s="14">
        <f>+SUM('31:29'!AB16)</f>
        <v>0</v>
      </c>
      <c r="AC16" s="14">
        <f>+SUM('31:29'!AC16)</f>
        <v>0</v>
      </c>
    </row>
    <row r="17" spans="1:29" ht="21.95" customHeight="1">
      <c r="A17" s="135">
        <v>300203</v>
      </c>
      <c r="B17" s="135" t="s">
        <v>43</v>
      </c>
      <c r="C17" s="230" t="s">
        <v>44</v>
      </c>
      <c r="D17" s="231"/>
      <c r="E17" s="135" t="s">
        <v>41</v>
      </c>
      <c r="F17" s="13"/>
      <c r="G17" s="14">
        <f>+SUM('31:29'!G17)</f>
        <v>0</v>
      </c>
      <c r="H17" s="14">
        <f>+SUM('31:29'!H17)</f>
        <v>0</v>
      </c>
      <c r="I17" s="14">
        <f>+SUM('31:29'!I17)</f>
        <v>0</v>
      </c>
      <c r="J17" s="14">
        <f>+SUM('31:29'!J17)</f>
        <v>0</v>
      </c>
      <c r="K17" s="145">
        <f t="shared" si="0"/>
        <v>0</v>
      </c>
      <c r="L17" s="145">
        <f t="shared" si="1"/>
        <v>0</v>
      </c>
      <c r="M17" s="145">
        <v>212.4</v>
      </c>
      <c r="N17" s="145">
        <f>+M17*1000/(15.4*10*17*60)*T17</f>
        <v>4.0565317035905268</v>
      </c>
      <c r="O17" s="14">
        <f>+SUM('31:29'!O17)</f>
        <v>0</v>
      </c>
      <c r="P17" s="145">
        <f t="shared" si="2"/>
        <v>0</v>
      </c>
      <c r="Q17" s="14">
        <f>+SUM('31:29'!Q17)</f>
        <v>0</v>
      </c>
      <c r="R17" s="19">
        <f t="shared" si="3"/>
        <v>0</v>
      </c>
      <c r="S17" s="145">
        <f t="shared" si="4"/>
        <v>0</v>
      </c>
      <c r="T17" s="20">
        <v>3</v>
      </c>
      <c r="U17" s="14">
        <f>+SUM('31:29'!U17)</f>
        <v>0</v>
      </c>
      <c r="V17" s="142" t="str">
        <f t="array" ref="V17">IF(ISERROR(L17/K17),"",L17/K17)</f>
        <v/>
      </c>
      <c r="W17" s="14">
        <f>+SUM('31:29'!W17)</f>
        <v>0</v>
      </c>
      <c r="X17" s="14">
        <f>+SUM('31:29'!X17)</f>
        <v>0</v>
      </c>
      <c r="Y17" s="14">
        <f>+SUM('31:29'!Y17)</f>
        <v>0</v>
      </c>
      <c r="Z17" s="14">
        <f>+SUM('31:29'!Z17)</f>
        <v>0</v>
      </c>
      <c r="AA17" s="14">
        <f>+SUM('31:29'!AA17)</f>
        <v>0</v>
      </c>
      <c r="AB17" s="14">
        <f>+SUM('31:29'!AB17)</f>
        <v>0</v>
      </c>
      <c r="AC17" s="14">
        <f>+SUM('31:29'!AC17)</f>
        <v>0</v>
      </c>
    </row>
    <row r="18" spans="1:29" ht="21.95" customHeight="1">
      <c r="A18" s="135">
        <v>300204</v>
      </c>
      <c r="B18" s="135" t="s">
        <v>43</v>
      </c>
      <c r="C18" s="230" t="s">
        <v>44</v>
      </c>
      <c r="D18" s="231"/>
      <c r="E18" s="135" t="s">
        <v>37</v>
      </c>
      <c r="F18" s="13"/>
      <c r="G18" s="14">
        <f>+SUM('31:29'!G18)</f>
        <v>0</v>
      </c>
      <c r="H18" s="14">
        <f>+SUM('31:29'!H18)</f>
        <v>0</v>
      </c>
      <c r="I18" s="14">
        <f>+SUM('31:29'!I18)</f>
        <v>0</v>
      </c>
      <c r="J18" s="14">
        <f>+SUM('31:29'!J18)</f>
        <v>0</v>
      </c>
      <c r="K18" s="145">
        <f t="shared" si="0"/>
        <v>0</v>
      </c>
      <c r="L18" s="145">
        <f t="shared" si="1"/>
        <v>0</v>
      </c>
      <c r="M18" s="145">
        <v>212.4</v>
      </c>
      <c r="N18" s="145">
        <f>+M18*1000/(15.4*10*17*60)*T18</f>
        <v>4.0565317035905268</v>
      </c>
      <c r="O18" s="14">
        <f>+SUM('31:29'!O18)</f>
        <v>0</v>
      </c>
      <c r="P18" s="145">
        <f t="shared" si="2"/>
        <v>0</v>
      </c>
      <c r="Q18" s="14">
        <f>+SUM('31:29'!Q18)</f>
        <v>0</v>
      </c>
      <c r="R18" s="19">
        <f t="shared" si="3"/>
        <v>0</v>
      </c>
      <c r="S18" s="145">
        <f t="shared" si="4"/>
        <v>0</v>
      </c>
      <c r="T18" s="20">
        <v>3</v>
      </c>
      <c r="U18" s="14">
        <f>+SUM('31:29'!U18)</f>
        <v>0</v>
      </c>
      <c r="V18" s="142" t="str">
        <f t="array" ref="V18">IF(ISERROR(L18/K18),"",L18/K18)</f>
        <v/>
      </c>
      <c r="W18" s="14">
        <f>+SUM('31:29'!W18)</f>
        <v>0</v>
      </c>
      <c r="X18" s="14">
        <f>+SUM('31:29'!X18)</f>
        <v>0</v>
      </c>
      <c r="Y18" s="14">
        <f>+SUM('31:29'!Y18)</f>
        <v>0</v>
      </c>
      <c r="Z18" s="14">
        <f>+SUM('31:29'!Z18)</f>
        <v>0</v>
      </c>
      <c r="AA18" s="14">
        <f>+SUM('31:29'!AA18)</f>
        <v>0</v>
      </c>
      <c r="AB18" s="14">
        <f>+SUM('31:29'!AB18)</f>
        <v>0</v>
      </c>
      <c r="AC18" s="14">
        <f>+SUM('31:29'!AC18)</f>
        <v>0</v>
      </c>
    </row>
    <row r="19" spans="1:29" ht="21.95" customHeight="1">
      <c r="A19" s="141">
        <v>300269</v>
      </c>
      <c r="B19" s="135" t="s">
        <v>43</v>
      </c>
      <c r="C19" s="219" t="s">
        <v>45</v>
      </c>
      <c r="D19" s="219"/>
      <c r="E19" s="147"/>
      <c r="F19" s="13"/>
      <c r="G19" s="14">
        <f>+SUM('31:29'!G19)</f>
        <v>0</v>
      </c>
      <c r="H19" s="14">
        <f>+SUM('31:29'!H19)</f>
        <v>0</v>
      </c>
      <c r="I19" s="14">
        <f>+SUM('31:29'!I19)</f>
        <v>0</v>
      </c>
      <c r="J19" s="14">
        <f>+SUM('31:29'!J19)</f>
        <v>0</v>
      </c>
      <c r="K19" s="145">
        <f t="shared" si="0"/>
        <v>0</v>
      </c>
      <c r="L19" s="145">
        <f t="shared" si="1"/>
        <v>0</v>
      </c>
      <c r="M19" s="145">
        <v>209.4</v>
      </c>
      <c r="N19" s="145">
        <f>+M19*1000/(19.4*10*16*60)*T19</f>
        <v>3.3730670103092786</v>
      </c>
      <c r="O19" s="14">
        <f>+SUM('31:29'!O19)</f>
        <v>0</v>
      </c>
      <c r="P19" s="145">
        <f t="shared" si="2"/>
        <v>0</v>
      </c>
      <c r="Q19" s="14">
        <f>+SUM('31:29'!Q19)</f>
        <v>0</v>
      </c>
      <c r="R19" s="19">
        <f t="shared" si="3"/>
        <v>0</v>
      </c>
      <c r="S19" s="145">
        <f t="shared" si="4"/>
        <v>0</v>
      </c>
      <c r="T19" s="20">
        <v>3</v>
      </c>
      <c r="U19" s="14">
        <f>+SUM('31:29'!U19)</f>
        <v>0</v>
      </c>
      <c r="V19" s="142" t="str">
        <f t="array" ref="V19">IF(ISERROR(L19/K19),"",L19/K19)</f>
        <v/>
      </c>
      <c r="W19" s="14">
        <f>+SUM('31:29'!W19)</f>
        <v>0</v>
      </c>
      <c r="X19" s="14">
        <f>+SUM('31:29'!X19)</f>
        <v>0</v>
      </c>
      <c r="Y19" s="14">
        <f>+SUM('31:29'!Y19)</f>
        <v>0</v>
      </c>
      <c r="Z19" s="14">
        <f>+SUM('31:29'!Z19)</f>
        <v>0</v>
      </c>
      <c r="AA19" s="14">
        <f>+SUM('31:29'!AA19)</f>
        <v>0</v>
      </c>
      <c r="AB19" s="14">
        <f>+SUM('31:29'!AB19)</f>
        <v>0</v>
      </c>
      <c r="AC19" s="14">
        <f>+SUM('31:29'!AC19)</f>
        <v>0</v>
      </c>
    </row>
    <row r="20" spans="1:29" ht="21.95" customHeight="1">
      <c r="A20" s="141"/>
      <c r="B20" s="135"/>
      <c r="C20" s="219" t="s">
        <v>46</v>
      </c>
      <c r="D20" s="219"/>
      <c r="E20" s="147" t="s">
        <v>47</v>
      </c>
      <c r="F20" s="13"/>
      <c r="G20" s="14">
        <f>+SUM('31:29'!G20)</f>
        <v>0</v>
      </c>
      <c r="H20" s="14">
        <f>+SUM('31:29'!H20)</f>
        <v>0</v>
      </c>
      <c r="I20" s="14">
        <f>+SUM('31:29'!I20)</f>
        <v>0</v>
      </c>
      <c r="J20" s="14">
        <f>+SUM('31:29'!J20)</f>
        <v>0</v>
      </c>
      <c r="K20" s="145">
        <f t="shared" si="0"/>
        <v>0</v>
      </c>
      <c r="L20" s="145">
        <f t="shared" si="1"/>
        <v>0</v>
      </c>
      <c r="M20" s="145">
        <v>209.9</v>
      </c>
      <c r="N20" s="145">
        <f>+M20*1000/(19*10*16*60)*T20</f>
        <v>3.4523026315789478</v>
      </c>
      <c r="O20" s="14">
        <f>+SUM('31:29'!O20)</f>
        <v>0</v>
      </c>
      <c r="P20" s="145">
        <f t="shared" si="2"/>
        <v>0</v>
      </c>
      <c r="Q20" s="14">
        <f>+SUM('31:29'!Q20)</f>
        <v>0</v>
      </c>
      <c r="R20" s="19">
        <f t="shared" si="3"/>
        <v>0</v>
      </c>
      <c r="S20" s="145">
        <f t="shared" si="4"/>
        <v>0</v>
      </c>
      <c r="T20" s="20">
        <v>3</v>
      </c>
      <c r="U20" s="14">
        <f>+SUM('31:29'!U20)</f>
        <v>0</v>
      </c>
      <c r="V20" s="142" t="str">
        <f t="array" ref="V20">IF(ISERROR(L20/K20),"",L20/K20)</f>
        <v/>
      </c>
      <c r="W20" s="14">
        <f>+SUM('31:29'!W20)</f>
        <v>0</v>
      </c>
      <c r="X20" s="14">
        <f>+SUM('31:29'!X20)</f>
        <v>0</v>
      </c>
      <c r="Y20" s="14">
        <f>+SUM('31:29'!Y20)</f>
        <v>0</v>
      </c>
      <c r="Z20" s="14">
        <f>+SUM('31:29'!Z20)</f>
        <v>0</v>
      </c>
      <c r="AA20" s="14">
        <f>+SUM('31:29'!AA20)</f>
        <v>0</v>
      </c>
      <c r="AB20" s="14">
        <f>+SUM('31:29'!AB20)</f>
        <v>0</v>
      </c>
      <c r="AC20" s="14">
        <f>+SUM('31:29'!AC20)</f>
        <v>0</v>
      </c>
    </row>
    <row r="21" spans="1:29" ht="21.95" customHeight="1">
      <c r="A21" s="141">
        <v>300350</v>
      </c>
      <c r="B21" s="135" t="s">
        <v>43</v>
      </c>
      <c r="C21" s="219" t="s">
        <v>48</v>
      </c>
      <c r="D21" s="219"/>
      <c r="E21" s="147" t="s">
        <v>49</v>
      </c>
      <c r="F21" s="13"/>
      <c r="G21" s="14">
        <f>+SUM('31:29'!G21)</f>
        <v>0</v>
      </c>
      <c r="H21" s="14">
        <f>+SUM('31:29'!H21)</f>
        <v>0</v>
      </c>
      <c r="I21" s="14">
        <f>+SUM('31:29'!I21)</f>
        <v>0</v>
      </c>
      <c r="J21" s="14">
        <f>+SUM('31:29'!J21)</f>
        <v>0</v>
      </c>
      <c r="K21" s="145">
        <f t="shared" si="0"/>
        <v>0</v>
      </c>
      <c r="L21" s="145">
        <f t="shared" si="1"/>
        <v>0</v>
      </c>
      <c r="M21" s="145">
        <v>209.9</v>
      </c>
      <c r="N21" s="145">
        <f>+M21*1000/(19*10*16*60)*T21</f>
        <v>2.3015350877192984</v>
      </c>
      <c r="O21" s="14">
        <f>+SUM('31:29'!O21)</f>
        <v>0</v>
      </c>
      <c r="P21" s="145">
        <f t="shared" si="2"/>
        <v>0</v>
      </c>
      <c r="Q21" s="14">
        <f>+SUM('31:29'!Q21)</f>
        <v>0</v>
      </c>
      <c r="R21" s="19">
        <f t="shared" si="3"/>
        <v>0</v>
      </c>
      <c r="S21" s="145">
        <f t="shared" si="4"/>
        <v>0</v>
      </c>
      <c r="T21" s="20">
        <v>2</v>
      </c>
      <c r="U21" s="14">
        <f>+SUM('31:29'!U21)</f>
        <v>0</v>
      </c>
      <c r="V21" s="142" t="str">
        <f t="array" ref="V21">IF(ISERROR(L21/K21),"",L21/K21)</f>
        <v/>
      </c>
      <c r="W21" s="14">
        <f>+SUM('31:29'!W21)</f>
        <v>0</v>
      </c>
      <c r="X21" s="14">
        <f>+SUM('31:29'!X21)</f>
        <v>0</v>
      </c>
      <c r="Y21" s="14">
        <f>+SUM('31:29'!Y21)</f>
        <v>0</v>
      </c>
      <c r="Z21" s="14">
        <f>+SUM('31:29'!Z21)</f>
        <v>0</v>
      </c>
      <c r="AA21" s="14">
        <f>+SUM('31:29'!AA21)</f>
        <v>0</v>
      </c>
      <c r="AB21" s="14">
        <f>+SUM('31:29'!AB21)</f>
        <v>0</v>
      </c>
      <c r="AC21" s="14">
        <f>+SUM('31:29'!AC21)</f>
        <v>0</v>
      </c>
    </row>
    <row r="22" spans="1:29" ht="21.95" customHeight="1">
      <c r="A22" s="141">
        <v>300113</v>
      </c>
      <c r="B22" s="135" t="s">
        <v>43</v>
      </c>
      <c r="C22" s="219" t="s">
        <v>50</v>
      </c>
      <c r="D22" s="219"/>
      <c r="E22" s="147" t="s">
        <v>40</v>
      </c>
      <c r="F22" s="13"/>
      <c r="G22" s="14">
        <f>+SUM('31:29'!G22)</f>
        <v>0</v>
      </c>
      <c r="H22" s="14">
        <f>+SUM('31:29'!H22)</f>
        <v>0</v>
      </c>
      <c r="I22" s="14">
        <f>+SUM('31:29'!I22)</f>
        <v>0</v>
      </c>
      <c r="J22" s="14">
        <f>+SUM('31:29'!J22)</f>
        <v>0</v>
      </c>
      <c r="K22" s="145">
        <f t="shared" si="0"/>
        <v>0</v>
      </c>
      <c r="L22" s="145">
        <f t="shared" si="1"/>
        <v>0</v>
      </c>
      <c r="M22" s="145">
        <v>210</v>
      </c>
      <c r="N22" s="145">
        <f>M22*1000/(19.2*10*17*60)*T22</f>
        <v>2.1446078431372548</v>
      </c>
      <c r="O22" s="14">
        <f>+SUM('31:29'!O22)</f>
        <v>0</v>
      </c>
      <c r="P22" s="145">
        <f t="shared" si="2"/>
        <v>0</v>
      </c>
      <c r="Q22" s="14">
        <f>+SUM('31:29'!Q22)</f>
        <v>0</v>
      </c>
      <c r="R22" s="19">
        <f t="shared" si="3"/>
        <v>0</v>
      </c>
      <c r="S22" s="145">
        <f t="shared" si="4"/>
        <v>0</v>
      </c>
      <c r="T22" s="20">
        <v>2</v>
      </c>
      <c r="U22" s="14">
        <f>+SUM('31:29'!U22)</f>
        <v>0</v>
      </c>
      <c r="V22" s="142" t="str">
        <f t="array" ref="V22">IF(ISERROR(L22/K22),"",L22/K22)</f>
        <v/>
      </c>
      <c r="W22" s="14">
        <f>+SUM('31:29'!W22)</f>
        <v>0</v>
      </c>
      <c r="X22" s="14">
        <f>+SUM('31:29'!X22)</f>
        <v>0</v>
      </c>
      <c r="Y22" s="14">
        <f>+SUM('31:29'!Y22)</f>
        <v>0</v>
      </c>
      <c r="Z22" s="14">
        <f>+SUM('31:29'!Z22)</f>
        <v>0</v>
      </c>
      <c r="AA22" s="14">
        <f>+SUM('31:29'!AA22)</f>
        <v>0</v>
      </c>
      <c r="AB22" s="14">
        <f>+SUM('31:29'!AB22)</f>
        <v>0</v>
      </c>
      <c r="AC22" s="14">
        <f>+SUM('31:29'!AC22)</f>
        <v>0</v>
      </c>
    </row>
    <row r="23" spans="1:29" ht="21.95" customHeight="1">
      <c r="A23" s="141">
        <v>300114</v>
      </c>
      <c r="B23" s="135" t="s">
        <v>43</v>
      </c>
      <c r="C23" s="219" t="s">
        <v>50</v>
      </c>
      <c r="D23" s="219"/>
      <c r="E23" s="147" t="s">
        <v>42</v>
      </c>
      <c r="F23" s="13"/>
      <c r="G23" s="14">
        <f>+SUM('31:29'!G23)</f>
        <v>0</v>
      </c>
      <c r="H23" s="14">
        <f>+SUM('31:29'!H23)</f>
        <v>0</v>
      </c>
      <c r="I23" s="14">
        <f>+SUM('31:29'!I23)</f>
        <v>0</v>
      </c>
      <c r="J23" s="14">
        <f>+SUM('31:29'!J23)</f>
        <v>0</v>
      </c>
      <c r="K23" s="145">
        <f t="shared" si="0"/>
        <v>0</v>
      </c>
      <c r="L23" s="145">
        <f t="shared" si="1"/>
        <v>0</v>
      </c>
      <c r="M23" s="145">
        <v>210</v>
      </c>
      <c r="N23" s="145">
        <f>M23*1000/(19.2*10*17*60)*T23</f>
        <v>2.1446078431372548</v>
      </c>
      <c r="O23" s="14">
        <f>+SUM('31:29'!O23)</f>
        <v>0</v>
      </c>
      <c r="P23" s="145">
        <f t="shared" si="2"/>
        <v>0</v>
      </c>
      <c r="Q23" s="14">
        <f>+SUM('31:29'!Q23)</f>
        <v>0</v>
      </c>
      <c r="R23" s="19">
        <f t="shared" si="3"/>
        <v>0</v>
      </c>
      <c r="S23" s="145">
        <f t="shared" si="4"/>
        <v>0</v>
      </c>
      <c r="T23" s="20">
        <v>2</v>
      </c>
      <c r="U23" s="14">
        <f>+SUM('31:29'!U23)</f>
        <v>0</v>
      </c>
      <c r="V23" s="142" t="str">
        <f t="array" ref="V23">IF(ISERROR(L23/K23),"",L23/K23)</f>
        <v/>
      </c>
      <c r="W23" s="14">
        <f>+SUM('31:29'!W23)</f>
        <v>0</v>
      </c>
      <c r="X23" s="14">
        <f>+SUM('31:29'!X23)</f>
        <v>0</v>
      </c>
      <c r="Y23" s="14">
        <f>+SUM('31:29'!Y23)</f>
        <v>0</v>
      </c>
      <c r="Z23" s="14">
        <f>+SUM('31:29'!Z23)</f>
        <v>0</v>
      </c>
      <c r="AA23" s="14">
        <f>+SUM('31:29'!AA23)</f>
        <v>0</v>
      </c>
      <c r="AB23" s="14">
        <f>+SUM('31:29'!AB23)</f>
        <v>0</v>
      </c>
      <c r="AC23" s="14">
        <f>+SUM('31:29'!AC23)</f>
        <v>0</v>
      </c>
    </row>
    <row r="24" spans="1:29" ht="21.95" customHeight="1">
      <c r="A24" s="141">
        <v>300115</v>
      </c>
      <c r="B24" s="135" t="s">
        <v>43</v>
      </c>
      <c r="C24" s="219" t="s">
        <v>50</v>
      </c>
      <c r="D24" s="219"/>
      <c r="E24" s="147" t="s">
        <v>41</v>
      </c>
      <c r="F24" s="13"/>
      <c r="G24" s="14">
        <f>+SUM('31:29'!G24)</f>
        <v>0</v>
      </c>
      <c r="H24" s="14">
        <f>+SUM('31:29'!H24)</f>
        <v>0</v>
      </c>
      <c r="I24" s="14">
        <f>+SUM('31:29'!I24)</f>
        <v>0</v>
      </c>
      <c r="J24" s="14">
        <f>+SUM('31:29'!J24)</f>
        <v>0</v>
      </c>
      <c r="K24" s="145">
        <f t="shared" si="0"/>
        <v>0</v>
      </c>
      <c r="L24" s="145">
        <f t="shared" si="1"/>
        <v>0</v>
      </c>
      <c r="M24" s="145">
        <v>210</v>
      </c>
      <c r="N24" s="145">
        <f>M24*1000/(19.2*10*17*60)*T24</f>
        <v>2.1446078431372548</v>
      </c>
      <c r="O24" s="14">
        <f>+SUM('31:29'!O24)</f>
        <v>0</v>
      </c>
      <c r="P24" s="145">
        <f t="shared" si="2"/>
        <v>0</v>
      </c>
      <c r="Q24" s="14">
        <f>+SUM('31:29'!Q24)</f>
        <v>0</v>
      </c>
      <c r="R24" s="19">
        <f t="shared" si="3"/>
        <v>0</v>
      </c>
      <c r="S24" s="145">
        <f t="shared" si="4"/>
        <v>0</v>
      </c>
      <c r="T24" s="20">
        <v>2</v>
      </c>
      <c r="U24" s="14">
        <f>+SUM('31:29'!U24)</f>
        <v>0</v>
      </c>
      <c r="V24" s="142" t="str">
        <f t="array" ref="V24">IF(ISERROR(L24/K24),"",L24/K24)</f>
        <v/>
      </c>
      <c r="W24" s="14">
        <f>+SUM('31:29'!W24)</f>
        <v>0</v>
      </c>
      <c r="X24" s="14">
        <f>+SUM('31:29'!X24)</f>
        <v>0</v>
      </c>
      <c r="Y24" s="14">
        <f>+SUM('31:29'!Y24)</f>
        <v>0</v>
      </c>
      <c r="Z24" s="14">
        <f>+SUM('31:29'!Z24)</f>
        <v>0</v>
      </c>
      <c r="AA24" s="14">
        <f>+SUM('31:29'!AA24)</f>
        <v>0</v>
      </c>
      <c r="AB24" s="14">
        <f>+SUM('31:29'!AB24)</f>
        <v>0</v>
      </c>
      <c r="AC24" s="14">
        <f>+SUM('31:29'!AC24)</f>
        <v>0</v>
      </c>
    </row>
    <row r="25" spans="1:29" ht="21.95" customHeight="1">
      <c r="A25" s="141">
        <v>300011</v>
      </c>
      <c r="B25" s="135" t="s">
        <v>43</v>
      </c>
      <c r="C25" s="219" t="s">
        <v>51</v>
      </c>
      <c r="D25" s="219"/>
      <c r="E25" s="147" t="s">
        <v>40</v>
      </c>
      <c r="F25" s="13"/>
      <c r="G25" s="14">
        <f>+SUM('31:29'!G25)</f>
        <v>0</v>
      </c>
      <c r="H25" s="14">
        <f>+SUM('31:29'!H25)</f>
        <v>0</v>
      </c>
      <c r="I25" s="14">
        <f>+SUM('31:29'!I25)</f>
        <v>0</v>
      </c>
      <c r="J25" s="14">
        <f>+SUM('31:29'!J25)</f>
        <v>0</v>
      </c>
      <c r="K25" s="145">
        <f t="shared" si="0"/>
        <v>0</v>
      </c>
      <c r="L25" s="145">
        <f t="shared" si="1"/>
        <v>0</v>
      </c>
      <c r="M25" s="145">
        <v>524.6</v>
      </c>
      <c r="N25" s="145">
        <f>+M25*1000/(25.4*20*15*60)*T25</f>
        <v>3.4422572178477688</v>
      </c>
      <c r="O25" s="14">
        <f>+SUM('31:29'!O25)</f>
        <v>0</v>
      </c>
      <c r="P25" s="145">
        <f t="shared" si="2"/>
        <v>0</v>
      </c>
      <c r="Q25" s="14">
        <f>+SUM('31:29'!Q25)</f>
        <v>0</v>
      </c>
      <c r="R25" s="19">
        <f t="shared" si="3"/>
        <v>0</v>
      </c>
      <c r="S25" s="145">
        <f t="shared" si="4"/>
        <v>0</v>
      </c>
      <c r="T25" s="20">
        <v>3</v>
      </c>
      <c r="U25" s="14">
        <f>+SUM('31:29'!U25)</f>
        <v>0</v>
      </c>
      <c r="V25" s="142" t="str">
        <f t="array" ref="V25">IF(ISERROR(L25/K25),"",L25/K25)</f>
        <v/>
      </c>
      <c r="W25" s="14">
        <f>+SUM('31:29'!W25)</f>
        <v>0</v>
      </c>
      <c r="X25" s="14">
        <f>+SUM('31:29'!X25)</f>
        <v>0</v>
      </c>
      <c r="Y25" s="14">
        <f>+SUM('31:29'!Y25)</f>
        <v>0</v>
      </c>
      <c r="Z25" s="14">
        <f>+SUM('31:29'!Z25)</f>
        <v>0</v>
      </c>
      <c r="AA25" s="14">
        <f>+SUM('31:29'!AA25)</f>
        <v>0</v>
      </c>
      <c r="AB25" s="14">
        <f>+SUM('31:29'!AB25)</f>
        <v>0</v>
      </c>
      <c r="AC25" s="14">
        <f>+SUM('31:29'!AC25)</f>
        <v>0</v>
      </c>
    </row>
    <row r="26" spans="1:29" ht="21.95" customHeight="1">
      <c r="A26" s="141">
        <v>300012</v>
      </c>
      <c r="B26" s="135" t="s">
        <v>43</v>
      </c>
      <c r="C26" s="219" t="s">
        <v>51</v>
      </c>
      <c r="D26" s="219"/>
      <c r="E26" s="147" t="s">
        <v>41</v>
      </c>
      <c r="F26" s="13"/>
      <c r="G26" s="14">
        <f>+SUM('31:29'!G26)</f>
        <v>0</v>
      </c>
      <c r="H26" s="14">
        <f>+SUM('31:29'!H26)</f>
        <v>0</v>
      </c>
      <c r="I26" s="14">
        <f>+SUM('31:29'!I26)</f>
        <v>0</v>
      </c>
      <c r="J26" s="14">
        <f>+SUM('31:29'!J26)</f>
        <v>0</v>
      </c>
      <c r="K26" s="145">
        <f t="shared" si="0"/>
        <v>0</v>
      </c>
      <c r="L26" s="145">
        <f t="shared" si="1"/>
        <v>0</v>
      </c>
      <c r="M26" s="145">
        <v>524.6</v>
      </c>
      <c r="N26" s="145">
        <f>+M26*1000/(25.4*20*15*60)*T26</f>
        <v>3.4422572178477688</v>
      </c>
      <c r="O26" s="14">
        <f>+SUM('31:29'!O26)</f>
        <v>0</v>
      </c>
      <c r="P26" s="145">
        <f t="shared" si="2"/>
        <v>0</v>
      </c>
      <c r="Q26" s="14">
        <f>+SUM('31:29'!Q26)</f>
        <v>0</v>
      </c>
      <c r="R26" s="19">
        <f t="shared" si="3"/>
        <v>0</v>
      </c>
      <c r="S26" s="145">
        <f t="shared" si="4"/>
        <v>0</v>
      </c>
      <c r="T26" s="20">
        <v>3</v>
      </c>
      <c r="U26" s="14">
        <f>+SUM('31:29'!U26)</f>
        <v>0</v>
      </c>
      <c r="V26" s="142" t="str">
        <f t="array" ref="V26">IF(ISERROR(L26/K26),"",L26/K26)</f>
        <v/>
      </c>
      <c r="W26" s="14">
        <f>+SUM('31:29'!W26)</f>
        <v>0</v>
      </c>
      <c r="X26" s="14">
        <f>+SUM('31:29'!X26)</f>
        <v>0</v>
      </c>
      <c r="Y26" s="14">
        <f>+SUM('31:29'!Y26)</f>
        <v>0</v>
      </c>
      <c r="Z26" s="14">
        <f>+SUM('31:29'!Z26)</f>
        <v>0</v>
      </c>
      <c r="AA26" s="14">
        <f>+SUM('31:29'!AA26)</f>
        <v>0</v>
      </c>
      <c r="AB26" s="14">
        <f>+SUM('31:29'!AB26)</f>
        <v>0</v>
      </c>
      <c r="AC26" s="14">
        <f>+SUM('31:29'!AC26)</f>
        <v>0</v>
      </c>
    </row>
    <row r="27" spans="1:29" ht="21.95" customHeight="1">
      <c r="A27" s="141">
        <v>300013</v>
      </c>
      <c r="B27" s="135" t="s">
        <v>43</v>
      </c>
      <c r="C27" s="219" t="s">
        <v>51</v>
      </c>
      <c r="D27" s="219"/>
      <c r="E27" s="147" t="s">
        <v>42</v>
      </c>
      <c r="F27" s="13"/>
      <c r="G27" s="14">
        <f>+SUM('31:29'!G27)</f>
        <v>8.6999999999999993</v>
      </c>
      <c r="H27" s="14">
        <f>+SUM('31:29'!H27)</f>
        <v>0</v>
      </c>
      <c r="I27" s="14">
        <f>+SUM('31:29'!I27)</f>
        <v>8.6999999999999993</v>
      </c>
      <c r="J27" s="14">
        <f>+SUM('31:29'!J27)</f>
        <v>650</v>
      </c>
      <c r="K27" s="145">
        <f t="shared" si="0"/>
        <v>4564.0199999999995</v>
      </c>
      <c r="L27" s="145">
        <f t="shared" si="1"/>
        <v>4564.0199999999995</v>
      </c>
      <c r="M27" s="145">
        <v>524.6</v>
      </c>
      <c r="N27" s="145">
        <f>+M27*1000/(25.4*20*15*60)*T27</f>
        <v>3.4422572178477688</v>
      </c>
      <c r="O27" s="14">
        <f>+SUM('31:29'!O27)</f>
        <v>0.5</v>
      </c>
      <c r="P27" s="145">
        <f t="shared" si="2"/>
        <v>30.947637795275586</v>
      </c>
      <c r="Q27" s="14">
        <f>+SUM('31:29'!Q27)</f>
        <v>12</v>
      </c>
      <c r="R27" s="19">
        <f t="shared" si="3"/>
        <v>24</v>
      </c>
      <c r="S27" s="145">
        <f t="shared" si="4"/>
        <v>-6.9476377952755861</v>
      </c>
      <c r="T27" s="20">
        <v>3</v>
      </c>
      <c r="U27" s="14">
        <f>+SUM('31:29'!U27)</f>
        <v>2</v>
      </c>
      <c r="V27" s="142">
        <f t="array" ref="V27">IF(ISERROR(L27/K27),"",L27/K27)</f>
        <v>1</v>
      </c>
      <c r="W27" s="14">
        <f>+SUM('31:29'!W27)</f>
        <v>0</v>
      </c>
      <c r="X27" s="14">
        <f>+SUM('31:29'!X27)</f>
        <v>0</v>
      </c>
      <c r="Y27" s="14">
        <f>+SUM('31:29'!Y27)</f>
        <v>0</v>
      </c>
      <c r="Z27" s="14">
        <f>+SUM('31:29'!Z27)</f>
        <v>0</v>
      </c>
      <c r="AA27" s="14">
        <f>+SUM('31:29'!AA27)</f>
        <v>0</v>
      </c>
      <c r="AB27" s="14">
        <f>+SUM('31:29'!AB27)</f>
        <v>0</v>
      </c>
      <c r="AC27" s="14">
        <f>+SUM('31:29'!AC27)</f>
        <v>0</v>
      </c>
    </row>
    <row r="28" spans="1:29" ht="21" customHeight="1">
      <c r="A28" s="141">
        <v>300016</v>
      </c>
      <c r="B28" s="135" t="s">
        <v>43</v>
      </c>
      <c r="C28" s="219" t="s">
        <v>51</v>
      </c>
      <c r="D28" s="219"/>
      <c r="E28" s="147" t="s">
        <v>38</v>
      </c>
      <c r="F28" s="13"/>
      <c r="G28" s="14">
        <f>+SUM('31:29'!G28)</f>
        <v>0</v>
      </c>
      <c r="H28" s="14">
        <f>+SUM('31:29'!H28)</f>
        <v>0</v>
      </c>
      <c r="I28" s="14">
        <f>+SUM('31:29'!I28)</f>
        <v>0</v>
      </c>
      <c r="J28" s="14">
        <f>+SUM('31:29'!J28)</f>
        <v>0</v>
      </c>
      <c r="K28" s="145">
        <f t="shared" si="0"/>
        <v>0</v>
      </c>
      <c r="L28" s="145">
        <f t="shared" si="1"/>
        <v>0</v>
      </c>
      <c r="M28" s="145">
        <v>524.6</v>
      </c>
      <c r="N28" s="145">
        <f>+M28*1000/(25.4*20*15*60)*T28</f>
        <v>3.4422572178477688</v>
      </c>
      <c r="O28" s="14">
        <f>+SUM('31:29'!O28)</f>
        <v>0</v>
      </c>
      <c r="P28" s="145">
        <f t="shared" si="2"/>
        <v>0</v>
      </c>
      <c r="Q28" s="14">
        <f>+SUM('31:29'!Q28)</f>
        <v>0</v>
      </c>
      <c r="R28" s="19">
        <f t="shared" si="3"/>
        <v>0</v>
      </c>
      <c r="S28" s="145">
        <f t="shared" si="4"/>
        <v>0</v>
      </c>
      <c r="T28" s="20">
        <v>3</v>
      </c>
      <c r="U28" s="14">
        <f>+SUM('31:29'!U28)</f>
        <v>0</v>
      </c>
      <c r="V28" s="142" t="str">
        <f t="array" ref="V28">IF(ISERROR(L28/K28),"",L28/K28)</f>
        <v/>
      </c>
      <c r="W28" s="14">
        <f>+SUM('31:29'!W28)</f>
        <v>0</v>
      </c>
      <c r="X28" s="14">
        <f>+SUM('31:29'!X28)</f>
        <v>0</v>
      </c>
      <c r="Y28" s="14">
        <f>+SUM('31:29'!Y28)</f>
        <v>0</v>
      </c>
      <c r="Z28" s="14">
        <f>+SUM('31:29'!Z28)</f>
        <v>0</v>
      </c>
      <c r="AA28" s="14">
        <f>+SUM('31:29'!AA28)</f>
        <v>0</v>
      </c>
      <c r="AB28" s="14">
        <f>+SUM('31:29'!AB28)</f>
        <v>0</v>
      </c>
      <c r="AC28" s="14">
        <f>+SUM('31:29'!AC28)</f>
        <v>0</v>
      </c>
    </row>
    <row r="29" spans="1:29" s="132" customFormat="1" ht="21" customHeight="1">
      <c r="A29" s="126">
        <v>3000435</v>
      </c>
      <c r="B29" s="138" t="s">
        <v>43</v>
      </c>
      <c r="C29" s="232" t="s">
        <v>51</v>
      </c>
      <c r="D29" s="232"/>
      <c r="E29" s="42" t="s">
        <v>301</v>
      </c>
      <c r="F29" s="127"/>
      <c r="G29" s="14">
        <f>+SUM('31:29'!G29)</f>
        <v>7</v>
      </c>
      <c r="H29" s="14">
        <f>+SUM('31:29'!H29)</f>
        <v>2</v>
      </c>
      <c r="I29" s="14">
        <f>+SUM('31:29'!I29)</f>
        <v>7</v>
      </c>
      <c r="J29" s="14">
        <f>+SUM('31:29'!J29)</f>
        <v>0</v>
      </c>
      <c r="K29" s="15">
        <f t="shared" si="0"/>
        <v>3672.2000000000003</v>
      </c>
      <c r="L29" s="15">
        <f t="shared" si="1"/>
        <v>3672.2000000000003</v>
      </c>
      <c r="M29" s="15">
        <v>524.6</v>
      </c>
      <c r="N29" s="15">
        <f>+M29*1000/(25.4*20*15*60)*T29</f>
        <v>3.4422572178477688</v>
      </c>
      <c r="O29" s="14">
        <f>+SUM('31:29'!O29)</f>
        <v>0</v>
      </c>
      <c r="P29" s="15">
        <f t="shared" si="2"/>
        <v>24.095800524934383</v>
      </c>
      <c r="Q29" s="14">
        <f>+SUM('31:29'!Q29)</f>
        <v>10</v>
      </c>
      <c r="R29" s="129">
        <f t="shared" si="3"/>
        <v>20</v>
      </c>
      <c r="S29" s="15">
        <f t="shared" si="4"/>
        <v>-4.0958005249343827</v>
      </c>
      <c r="T29" s="130">
        <v>3</v>
      </c>
      <c r="U29" s="14">
        <f>+SUM('31:29'!U29)</f>
        <v>2</v>
      </c>
      <c r="V29" s="131"/>
      <c r="W29" s="14">
        <f>+SUM('31:29'!W29)</f>
        <v>0</v>
      </c>
      <c r="X29" s="14">
        <f>+SUM('31:29'!X29)</f>
        <v>0</v>
      </c>
      <c r="Y29" s="14">
        <f>+SUM('31:29'!Y29)</f>
        <v>0</v>
      </c>
      <c r="Z29" s="14">
        <f>+SUM('31:29'!Z29)</f>
        <v>0</v>
      </c>
      <c r="AA29" s="14">
        <f>+SUM('31:29'!AA29)</f>
        <v>0</v>
      </c>
      <c r="AB29" s="14">
        <f>+SUM('31:29'!AB29)</f>
        <v>0</v>
      </c>
      <c r="AC29" s="14">
        <f>+SUM('31:29'!AC29)</f>
        <v>0</v>
      </c>
    </row>
    <row r="30" spans="1:29" ht="21.95" customHeight="1">
      <c r="A30" s="141">
        <v>300276</v>
      </c>
      <c r="B30" s="135" t="s">
        <v>43</v>
      </c>
      <c r="C30" s="219" t="s">
        <v>53</v>
      </c>
      <c r="D30" s="219"/>
      <c r="E30" s="147" t="s">
        <v>41</v>
      </c>
      <c r="F30" s="13"/>
      <c r="G30" s="14">
        <f>+SUM('31:29'!G30)</f>
        <v>0</v>
      </c>
      <c r="H30" s="14">
        <f>+SUM('31:29'!H30)</f>
        <v>0</v>
      </c>
      <c r="I30" s="14">
        <f>+SUM('31:29'!I30)</f>
        <v>0</v>
      </c>
      <c r="J30" s="14">
        <f>+SUM('31:29'!J30)</f>
        <v>0</v>
      </c>
      <c r="K30" s="145">
        <f t="shared" si="0"/>
        <v>0</v>
      </c>
      <c r="L30" s="145">
        <f t="shared" si="1"/>
        <v>0</v>
      </c>
      <c r="M30" s="15">
        <v>266</v>
      </c>
      <c r="N30" s="145">
        <f>+M30*1000/(29.8*10*13*60)*T30</f>
        <v>3.4331440371708828</v>
      </c>
      <c r="O30" s="14">
        <f>+SUM('31:29'!O30)</f>
        <v>0</v>
      </c>
      <c r="P30" s="145">
        <f t="shared" si="2"/>
        <v>0</v>
      </c>
      <c r="Q30" s="14">
        <f>+SUM('31:29'!Q30)</f>
        <v>0</v>
      </c>
      <c r="R30" s="19">
        <f t="shared" si="3"/>
        <v>0</v>
      </c>
      <c r="S30" s="145">
        <f t="shared" si="4"/>
        <v>0</v>
      </c>
      <c r="T30" s="20">
        <v>3</v>
      </c>
      <c r="U30" s="14">
        <f>+SUM('31:29'!U30)</f>
        <v>0</v>
      </c>
      <c r="V30" s="142" t="str">
        <f t="array" ref="V30">IF(ISERROR(L30/K30),"",L30/K30)</f>
        <v/>
      </c>
      <c r="W30" s="14">
        <f>+SUM('31:29'!W30)</f>
        <v>0</v>
      </c>
      <c r="X30" s="14">
        <f>+SUM('31:29'!X30)</f>
        <v>0</v>
      </c>
      <c r="Y30" s="14">
        <f>+SUM('31:29'!Y30)</f>
        <v>0</v>
      </c>
      <c r="Z30" s="14">
        <f>+SUM('31:29'!Z30)</f>
        <v>0</v>
      </c>
      <c r="AA30" s="14">
        <f>+SUM('31:29'!AA30)</f>
        <v>0</v>
      </c>
      <c r="AB30" s="14">
        <f>+SUM('31:29'!AB30)</f>
        <v>0</v>
      </c>
      <c r="AC30" s="14">
        <f>+SUM('31:29'!AC30)</f>
        <v>0</v>
      </c>
    </row>
    <row r="31" spans="1:29" ht="21.95" customHeight="1">
      <c r="A31" s="141">
        <v>300277</v>
      </c>
      <c r="B31" s="135" t="s">
        <v>43</v>
      </c>
      <c r="C31" s="219" t="s">
        <v>53</v>
      </c>
      <c r="D31" s="219"/>
      <c r="E31" s="147" t="s">
        <v>39</v>
      </c>
      <c r="F31" s="13"/>
      <c r="G31" s="14">
        <f>+SUM('31:29'!G31)</f>
        <v>0</v>
      </c>
      <c r="H31" s="14">
        <f>+SUM('31:29'!H31)</f>
        <v>0</v>
      </c>
      <c r="I31" s="14">
        <f>+SUM('31:29'!I31)</f>
        <v>0</v>
      </c>
      <c r="J31" s="14">
        <f>+SUM('31:29'!J31)</f>
        <v>0</v>
      </c>
      <c r="K31" s="145">
        <f t="shared" si="0"/>
        <v>0</v>
      </c>
      <c r="L31" s="145">
        <f t="shared" si="1"/>
        <v>0</v>
      </c>
      <c r="M31" s="15">
        <v>266</v>
      </c>
      <c r="N31" s="145">
        <f>+M31*1000/(29.8*10*13*60)*T31</f>
        <v>3.4331440371708828</v>
      </c>
      <c r="O31" s="14">
        <f>+SUM('31:29'!O31)</f>
        <v>0</v>
      </c>
      <c r="P31" s="145">
        <f t="shared" si="2"/>
        <v>0</v>
      </c>
      <c r="Q31" s="14">
        <f>+SUM('31:29'!Q31)</f>
        <v>0</v>
      </c>
      <c r="R31" s="19">
        <f t="shared" si="3"/>
        <v>0</v>
      </c>
      <c r="S31" s="145">
        <f t="shared" si="4"/>
        <v>0</v>
      </c>
      <c r="T31" s="20">
        <v>3</v>
      </c>
      <c r="U31" s="14">
        <f>+SUM('31:29'!U31)</f>
        <v>0</v>
      </c>
      <c r="V31" s="142" t="str">
        <f t="array" ref="V31">IF(ISERROR(L31/K31),"",L31/K31)</f>
        <v/>
      </c>
      <c r="W31" s="14">
        <f>+SUM('31:29'!W31)</f>
        <v>0</v>
      </c>
      <c r="X31" s="14">
        <f>+SUM('31:29'!X31)</f>
        <v>0</v>
      </c>
      <c r="Y31" s="14">
        <f>+SUM('31:29'!Y31)</f>
        <v>0</v>
      </c>
      <c r="Z31" s="14">
        <f>+SUM('31:29'!Z31)</f>
        <v>0</v>
      </c>
      <c r="AA31" s="14">
        <f>+SUM('31:29'!AA31)</f>
        <v>0</v>
      </c>
      <c r="AB31" s="14">
        <f>+SUM('31:29'!AB31)</f>
        <v>0</v>
      </c>
      <c r="AC31" s="14">
        <f>+SUM('31:29'!AC31)</f>
        <v>0</v>
      </c>
    </row>
    <row r="32" spans="1:29" ht="21.95" customHeight="1">
      <c r="A32" s="141">
        <v>300278</v>
      </c>
      <c r="B32" s="135" t="s">
        <v>43</v>
      </c>
      <c r="C32" s="219" t="s">
        <v>53</v>
      </c>
      <c r="D32" s="219"/>
      <c r="E32" s="147" t="s">
        <v>54</v>
      </c>
      <c r="F32" s="13"/>
      <c r="G32" s="14">
        <f>+SUM('31:29'!G32)</f>
        <v>0</v>
      </c>
      <c r="H32" s="14">
        <f>+SUM('31:29'!H32)</f>
        <v>0</v>
      </c>
      <c r="I32" s="14">
        <f>+SUM('31:29'!I32)</f>
        <v>0</v>
      </c>
      <c r="J32" s="14">
        <f>+SUM('31:29'!J32)</f>
        <v>0</v>
      </c>
      <c r="K32" s="145">
        <f t="shared" si="0"/>
        <v>0</v>
      </c>
      <c r="L32" s="145">
        <f t="shared" si="1"/>
        <v>0</v>
      </c>
      <c r="M32" s="15">
        <v>266</v>
      </c>
      <c r="N32" s="145">
        <f>+M32*1000/(29.8*10*13*60)*T32</f>
        <v>3.4331440371708828</v>
      </c>
      <c r="O32" s="14">
        <f>+SUM('31:29'!O32)</f>
        <v>0</v>
      </c>
      <c r="P32" s="145">
        <f t="shared" si="2"/>
        <v>0</v>
      </c>
      <c r="Q32" s="14">
        <f>+SUM('31:29'!Q32)</f>
        <v>0</v>
      </c>
      <c r="R32" s="19">
        <f t="shared" si="3"/>
        <v>0</v>
      </c>
      <c r="S32" s="145">
        <f t="shared" si="4"/>
        <v>0</v>
      </c>
      <c r="T32" s="20">
        <v>3</v>
      </c>
      <c r="U32" s="14">
        <f>+SUM('31:29'!U32)</f>
        <v>0</v>
      </c>
      <c r="V32" s="142" t="str">
        <f t="array" ref="V32">IF(ISERROR(L32/K32),"",L32/K32)</f>
        <v/>
      </c>
      <c r="W32" s="14">
        <f>+SUM('31:29'!W32)</f>
        <v>0</v>
      </c>
      <c r="X32" s="14">
        <f>+SUM('31:29'!X32)</f>
        <v>0</v>
      </c>
      <c r="Y32" s="14">
        <f>+SUM('31:29'!Y32)</f>
        <v>0</v>
      </c>
      <c r="Z32" s="14">
        <f>+SUM('31:29'!Z32)</f>
        <v>0</v>
      </c>
      <c r="AA32" s="14">
        <f>+SUM('31:29'!AA32)</f>
        <v>0</v>
      </c>
      <c r="AB32" s="14">
        <f>+SUM('31:29'!AB32)</f>
        <v>0</v>
      </c>
      <c r="AC32" s="14">
        <f>+SUM('31:29'!AC32)</f>
        <v>0</v>
      </c>
    </row>
    <row r="33" spans="1:29" ht="21.95" customHeight="1">
      <c r="A33" s="141">
        <v>300027</v>
      </c>
      <c r="B33" s="135" t="s">
        <v>55</v>
      </c>
      <c r="C33" s="219" t="s">
        <v>56</v>
      </c>
      <c r="D33" s="219"/>
      <c r="E33" s="147" t="s">
        <v>54</v>
      </c>
      <c r="F33" s="13"/>
      <c r="G33" s="14">
        <f>+SUM('31:29'!G33)</f>
        <v>6</v>
      </c>
      <c r="H33" s="14">
        <f>+SUM('31:29'!H33)</f>
        <v>0</v>
      </c>
      <c r="I33" s="14">
        <f>+SUM('31:29'!I33)</f>
        <v>5</v>
      </c>
      <c r="J33" s="14">
        <f>+SUM('31:29'!J33)</f>
        <v>500</v>
      </c>
      <c r="K33" s="145">
        <f t="shared" si="0"/>
        <v>3302.3999999999996</v>
      </c>
      <c r="L33" s="145">
        <f t="shared" si="1"/>
        <v>2752</v>
      </c>
      <c r="M33" s="145">
        <v>550.4</v>
      </c>
      <c r="N33" s="145">
        <f>+M33*1000/(31*20*15*60)*T33</f>
        <v>2.9591397849462364</v>
      </c>
      <c r="O33" s="14">
        <f>+SUM('31:29'!O33)</f>
        <v>0.5</v>
      </c>
      <c r="P33" s="145">
        <f t="shared" si="2"/>
        <v>15.795698924731182</v>
      </c>
      <c r="Q33" s="14">
        <f>+SUM('31:29'!Q33)</f>
        <v>9</v>
      </c>
      <c r="R33" s="19">
        <f t="shared" si="3"/>
        <v>18</v>
      </c>
      <c r="S33" s="145">
        <f t="shared" si="4"/>
        <v>2.2043010752688179</v>
      </c>
      <c r="T33" s="20">
        <v>3</v>
      </c>
      <c r="U33" s="14">
        <f>+SUM('31:29'!U33)</f>
        <v>2</v>
      </c>
      <c r="V33" s="142">
        <f t="array" ref="V33">IF(ISERROR(L33/K33),"",L33/K33)</f>
        <v>0.83333333333333337</v>
      </c>
      <c r="W33" s="14">
        <f>+SUM('31:29'!W33)</f>
        <v>1.3333333333333333</v>
      </c>
      <c r="X33" s="14">
        <f>+SUM('31:29'!X33)</f>
        <v>7.5333333333333332</v>
      </c>
      <c r="Y33" s="14">
        <f>+SUM('31:29'!Y33)</f>
        <v>0</v>
      </c>
      <c r="Z33" s="14">
        <f>+SUM('31:29'!Z33)</f>
        <v>0</v>
      </c>
      <c r="AA33" s="14">
        <f>+SUM('31:29'!AA33)</f>
        <v>0</v>
      </c>
      <c r="AB33" s="14">
        <f>+SUM('31:29'!AB33)</f>
        <v>0</v>
      </c>
      <c r="AC33" s="14">
        <f>+SUM('31:29'!AC33)</f>
        <v>0</v>
      </c>
    </row>
    <row r="34" spans="1:29" ht="21.95" customHeight="1">
      <c r="A34" s="141">
        <v>300028</v>
      </c>
      <c r="B34" s="135" t="s">
        <v>55</v>
      </c>
      <c r="C34" s="219" t="s">
        <v>56</v>
      </c>
      <c r="D34" s="219"/>
      <c r="E34" s="147" t="s">
        <v>35</v>
      </c>
      <c r="F34" s="13"/>
      <c r="G34" s="14">
        <f>+SUM('31:29'!G34)</f>
        <v>16.143000000000001</v>
      </c>
      <c r="H34" s="14">
        <f>+SUM('31:29'!H34)</f>
        <v>0.2</v>
      </c>
      <c r="I34" s="14">
        <f>+SUM('31:29'!I34)</f>
        <v>16.14</v>
      </c>
      <c r="J34" s="14">
        <f>+SUM('31:29'!J34)</f>
        <v>30</v>
      </c>
      <c r="K34" s="145">
        <f t="shared" si="0"/>
        <v>8885.1072000000004</v>
      </c>
      <c r="L34" s="145">
        <f t="shared" si="1"/>
        <v>8883.4560000000001</v>
      </c>
      <c r="M34" s="145">
        <v>550.4</v>
      </c>
      <c r="N34" s="145">
        <f>+M34*1000/(31*20*15*60)*T34</f>
        <v>2.9591397849462364</v>
      </c>
      <c r="O34" s="14">
        <f>+SUM('31:29'!O34)</f>
        <v>0</v>
      </c>
      <c r="P34" s="145">
        <f t="shared" si="2"/>
        <v>47.760516129032254</v>
      </c>
      <c r="Q34" s="14">
        <f>+SUM('31:29'!Q34)</f>
        <v>22</v>
      </c>
      <c r="R34" s="19">
        <f t="shared" si="3"/>
        <v>110</v>
      </c>
      <c r="S34" s="145">
        <f t="shared" si="4"/>
        <v>62.239483870967746</v>
      </c>
      <c r="T34" s="20">
        <v>3</v>
      </c>
      <c r="U34" s="14">
        <f>+SUM('31:29'!U34)</f>
        <v>5</v>
      </c>
      <c r="V34" s="142">
        <f t="array" ref="V34">IF(ISERROR(L34/K34),"",L34/K34)</f>
        <v>0.99981416093662889</v>
      </c>
      <c r="W34" s="14">
        <f>+SUM('31:29'!W34)</f>
        <v>0</v>
      </c>
      <c r="X34" s="14">
        <f>+SUM('31:29'!X34)</f>
        <v>0</v>
      </c>
      <c r="Y34" s="14">
        <f>+SUM('31:29'!Y34)</f>
        <v>0</v>
      </c>
      <c r="Z34" s="14">
        <f>+SUM('31:29'!Z34)</f>
        <v>0</v>
      </c>
      <c r="AA34" s="14">
        <f>+SUM('31:29'!AA34)</f>
        <v>0</v>
      </c>
      <c r="AB34" s="14">
        <f>+SUM('31:29'!AB34)</f>
        <v>0</v>
      </c>
      <c r="AC34" s="14">
        <f>+SUM('31:29'!AC34)</f>
        <v>0</v>
      </c>
    </row>
    <row r="35" spans="1:29" ht="21.95" customHeight="1">
      <c r="A35" s="141">
        <v>300029</v>
      </c>
      <c r="B35" s="135" t="s">
        <v>55</v>
      </c>
      <c r="C35" s="219" t="s">
        <v>56</v>
      </c>
      <c r="D35" s="219"/>
      <c r="E35" s="147" t="s">
        <v>57</v>
      </c>
      <c r="F35" s="13"/>
      <c r="G35" s="14">
        <f>+SUM('31:29'!G35)</f>
        <v>7</v>
      </c>
      <c r="H35" s="14">
        <f>+SUM('31:29'!H35)</f>
        <v>1</v>
      </c>
      <c r="I35" s="14">
        <f>+SUM('31:29'!I35)</f>
        <v>7</v>
      </c>
      <c r="J35" s="14">
        <f>+SUM('31:29'!J35)</f>
        <v>0</v>
      </c>
      <c r="K35" s="145">
        <f t="shared" si="0"/>
        <v>3852.7999999999997</v>
      </c>
      <c r="L35" s="145">
        <f t="shared" si="1"/>
        <v>3852.7999999999997</v>
      </c>
      <c r="M35" s="145">
        <v>550.4</v>
      </c>
      <c r="N35" s="145">
        <f>+M35*1000/(31*20*15*60)*T35</f>
        <v>2.9591397849462364</v>
      </c>
      <c r="O35" s="14">
        <f>+SUM('31:29'!O35)</f>
        <v>0</v>
      </c>
      <c r="P35" s="145">
        <f t="shared" si="2"/>
        <v>20.713978494623653</v>
      </c>
      <c r="Q35" s="14">
        <f>+SUM('31:29'!Q35)</f>
        <v>12</v>
      </c>
      <c r="R35" s="19">
        <f t="shared" si="3"/>
        <v>24</v>
      </c>
      <c r="S35" s="145">
        <f t="shared" si="4"/>
        <v>3.2860215053763469</v>
      </c>
      <c r="T35" s="20">
        <v>3</v>
      </c>
      <c r="U35" s="14">
        <f>+SUM('31:29'!U35)</f>
        <v>2</v>
      </c>
      <c r="V35" s="142">
        <f t="array" ref="V35">IF(ISERROR(L35/K35),"",L35/K35)</f>
        <v>1</v>
      </c>
      <c r="W35" s="14">
        <f>+SUM('31:29'!W35)</f>
        <v>0</v>
      </c>
      <c r="X35" s="14">
        <f>+SUM('31:29'!X35)</f>
        <v>0</v>
      </c>
      <c r="Y35" s="14">
        <f>+SUM('31:29'!Y35)</f>
        <v>0</v>
      </c>
      <c r="Z35" s="14">
        <f>+SUM('31:29'!Z35)</f>
        <v>0</v>
      </c>
      <c r="AA35" s="14">
        <f>+SUM('31:29'!AA35)</f>
        <v>0</v>
      </c>
      <c r="AB35" s="14">
        <f>+SUM('31:29'!AB35)</f>
        <v>0</v>
      </c>
      <c r="AC35" s="14">
        <f>+SUM('31:29'!AC35)</f>
        <v>0</v>
      </c>
    </row>
    <row r="36" spans="1:29" ht="21.95" customHeight="1">
      <c r="A36" s="141">
        <v>300026</v>
      </c>
      <c r="B36" s="135" t="s">
        <v>55</v>
      </c>
      <c r="C36" s="219" t="s">
        <v>56</v>
      </c>
      <c r="D36" s="219"/>
      <c r="E36" s="147" t="s">
        <v>37</v>
      </c>
      <c r="F36" s="13"/>
      <c r="G36" s="14">
        <f>+SUM('31:29'!G36)</f>
        <v>8.6999999999999993</v>
      </c>
      <c r="H36" s="14">
        <f>+SUM('31:29'!H36)</f>
        <v>0.7</v>
      </c>
      <c r="I36" s="14">
        <f>+SUM('31:29'!I36)</f>
        <v>8.6999999999999993</v>
      </c>
      <c r="J36" s="14">
        <f>+SUM('31:29'!J36)</f>
        <v>0</v>
      </c>
      <c r="K36" s="145">
        <f t="shared" si="0"/>
        <v>4788.4799999999996</v>
      </c>
      <c r="L36" s="145">
        <f t="shared" si="1"/>
        <v>4788.4799999999996</v>
      </c>
      <c r="M36" s="145">
        <v>550.4</v>
      </c>
      <c r="N36" s="145">
        <f>+M36*1000/(31*20*15*60)*T36</f>
        <v>2.9591397849462364</v>
      </c>
      <c r="O36" s="14">
        <f>+SUM('31:29'!O36)</f>
        <v>0</v>
      </c>
      <c r="P36" s="145">
        <f t="shared" si="2"/>
        <v>25.744516129032256</v>
      </c>
      <c r="Q36" s="14">
        <f>+SUM('31:29'!Q36)</f>
        <v>13</v>
      </c>
      <c r="R36" s="19">
        <f t="shared" si="3"/>
        <v>26</v>
      </c>
      <c r="S36" s="145">
        <f t="shared" si="4"/>
        <v>0.25548387096774405</v>
      </c>
      <c r="T36" s="20">
        <v>3</v>
      </c>
      <c r="U36" s="14">
        <f>+SUM('31:29'!U36)</f>
        <v>2</v>
      </c>
      <c r="V36" s="142">
        <f t="array" ref="V36">IF(ISERROR(L36/K36),"",L36/K36)</f>
        <v>1</v>
      </c>
      <c r="W36" s="14">
        <f>+SUM('31:29'!W36)</f>
        <v>0</v>
      </c>
      <c r="X36" s="14">
        <f>+SUM('31:29'!X36)</f>
        <v>0</v>
      </c>
      <c r="Y36" s="14">
        <f>+SUM('31:29'!Y36)</f>
        <v>0</v>
      </c>
      <c r="Z36" s="14">
        <f>+SUM('31:29'!Z36)</f>
        <v>0</v>
      </c>
      <c r="AA36" s="14">
        <f>+SUM('31:29'!AA36)</f>
        <v>0</v>
      </c>
      <c r="AB36" s="14">
        <f>+SUM('31:29'!AB36)</f>
        <v>0</v>
      </c>
      <c r="AC36" s="14">
        <f>+SUM('31:29'!AC36)</f>
        <v>0</v>
      </c>
    </row>
    <row r="37" spans="1:29" ht="21.95" customHeight="1">
      <c r="A37" s="141">
        <v>300032</v>
      </c>
      <c r="B37" s="135">
        <v>3002</v>
      </c>
      <c r="C37" s="219" t="s">
        <v>58</v>
      </c>
      <c r="D37" s="219" t="s">
        <v>59</v>
      </c>
      <c r="E37" s="147" t="s">
        <v>35</v>
      </c>
      <c r="F37" s="13"/>
      <c r="G37" s="14">
        <f>+SUM('31:29'!G37)</f>
        <v>0</v>
      </c>
      <c r="H37" s="14">
        <f>+SUM('31:29'!H37)</f>
        <v>0</v>
      </c>
      <c r="I37" s="14">
        <f>+SUM('31:29'!I37)</f>
        <v>0</v>
      </c>
      <c r="J37" s="14">
        <f>+SUM('31:29'!J37)</f>
        <v>0</v>
      </c>
      <c r="K37" s="145">
        <f t="shared" si="0"/>
        <v>0</v>
      </c>
      <c r="L37" s="145">
        <f t="shared" si="1"/>
        <v>0</v>
      </c>
      <c r="M37" s="145">
        <v>285.7</v>
      </c>
      <c r="N37" s="145">
        <f>+M37*1000/(31*10*13*60)*T37</f>
        <v>7.0893300248138953</v>
      </c>
      <c r="O37" s="14">
        <f>+SUM('31:29'!O37)</f>
        <v>0</v>
      </c>
      <c r="P37" s="145">
        <f t="shared" si="2"/>
        <v>0</v>
      </c>
      <c r="Q37" s="14">
        <f>+SUM('31:29'!Q37)</f>
        <v>0</v>
      </c>
      <c r="R37" s="19">
        <f t="shared" si="3"/>
        <v>0</v>
      </c>
      <c r="S37" s="145">
        <f t="shared" si="4"/>
        <v>0</v>
      </c>
      <c r="T37" s="20">
        <v>6</v>
      </c>
      <c r="U37" s="14">
        <f>+SUM('31:29'!U37)</f>
        <v>0</v>
      </c>
      <c r="V37" s="142" t="str">
        <f t="array" ref="V37">IF(ISERROR(L37/K37),"",L37/K37)</f>
        <v/>
      </c>
      <c r="W37" s="14">
        <f>+SUM('31:29'!W37)</f>
        <v>0</v>
      </c>
      <c r="X37" s="14">
        <f>+SUM('31:29'!X37)</f>
        <v>0</v>
      </c>
      <c r="Y37" s="14">
        <f>+SUM('31:29'!Y37)</f>
        <v>0</v>
      </c>
      <c r="Z37" s="14">
        <f>+SUM('31:29'!Z37)</f>
        <v>0</v>
      </c>
      <c r="AA37" s="14">
        <f>+SUM('31:29'!AA37)</f>
        <v>0</v>
      </c>
      <c r="AB37" s="14">
        <f>+SUM('31:29'!AB37)</f>
        <v>0</v>
      </c>
      <c r="AC37" s="14">
        <f>+SUM('31:29'!AC37)</f>
        <v>0</v>
      </c>
    </row>
    <row r="38" spans="1:29" ht="21.95" customHeight="1">
      <c r="A38" s="141">
        <v>300413</v>
      </c>
      <c r="B38" s="135">
        <v>3002</v>
      </c>
      <c r="C38" s="230" t="s">
        <v>296</v>
      </c>
      <c r="D38" s="231"/>
      <c r="E38" s="147" t="s">
        <v>294</v>
      </c>
      <c r="F38" s="13"/>
      <c r="G38" s="14">
        <f>+SUM('31:29'!G38)</f>
        <v>7</v>
      </c>
      <c r="H38" s="14">
        <f>+SUM('31:29'!H38)</f>
        <v>0</v>
      </c>
      <c r="I38" s="14">
        <f>+SUM('31:29'!I38)</f>
        <v>6.7</v>
      </c>
      <c r="J38" s="14">
        <f>+SUM('31:29'!J38)</f>
        <v>650</v>
      </c>
      <c r="K38" s="145">
        <f t="shared" si="0"/>
        <v>3701.5999999999995</v>
      </c>
      <c r="L38" s="145">
        <f t="shared" si="1"/>
        <v>3542.9599999999996</v>
      </c>
      <c r="M38" s="145">
        <v>528.79999999999995</v>
      </c>
      <c r="N38" s="145">
        <f>+M38*1000/(31*10*13*60)*T38</f>
        <v>6.5607940446650126</v>
      </c>
      <c r="O38" s="14">
        <f>+SUM('31:29'!O38)</f>
        <v>0.5</v>
      </c>
      <c r="P38" s="145">
        <f t="shared" si="2"/>
        <v>44.957320099255583</v>
      </c>
      <c r="Q38" s="14">
        <f>+SUM('31:29'!Q38)</f>
        <v>10</v>
      </c>
      <c r="R38" s="19">
        <f t="shared" si="3"/>
        <v>20</v>
      </c>
      <c r="S38" s="145">
        <f t="shared" si="4"/>
        <v>-24.957320099255583</v>
      </c>
      <c r="T38" s="20">
        <v>3</v>
      </c>
      <c r="U38" s="14">
        <f>+SUM('31:29'!U38)</f>
        <v>2</v>
      </c>
      <c r="V38" s="142"/>
      <c r="W38" s="14">
        <f>+SUM('31:29'!W38)</f>
        <v>0.83333333333333337</v>
      </c>
      <c r="X38" s="14">
        <f>+SUM('31:29'!X38)</f>
        <v>0</v>
      </c>
      <c r="Y38" s="14">
        <f>+SUM('31:29'!Y38)</f>
        <v>0</v>
      </c>
      <c r="Z38" s="14">
        <f>+SUM('31:29'!Z38)</f>
        <v>0</v>
      </c>
      <c r="AA38" s="14">
        <f>+SUM('31:29'!AA38)</f>
        <v>0</v>
      </c>
      <c r="AB38" s="14">
        <f>+SUM('31:29'!AB38)</f>
        <v>0</v>
      </c>
      <c r="AC38" s="14">
        <f>+SUM('31:29'!AC38)</f>
        <v>0</v>
      </c>
    </row>
    <row r="39" spans="1:29" ht="21.95" customHeight="1">
      <c r="A39" s="141">
        <v>300414</v>
      </c>
      <c r="B39" s="135">
        <v>3002</v>
      </c>
      <c r="C39" s="230" t="s">
        <v>296</v>
      </c>
      <c r="D39" s="231"/>
      <c r="E39" s="147" t="s">
        <v>303</v>
      </c>
      <c r="F39" s="13"/>
      <c r="G39" s="14">
        <f>+SUM('31:29'!G39)</f>
        <v>0</v>
      </c>
      <c r="H39" s="14">
        <f>+SUM('31:29'!H39)</f>
        <v>0</v>
      </c>
      <c r="I39" s="14">
        <f>+SUM('31:29'!I39)</f>
        <v>0</v>
      </c>
      <c r="J39" s="14">
        <f>+SUM('31:29'!J39)</f>
        <v>0</v>
      </c>
      <c r="K39" s="145">
        <f t="shared" si="0"/>
        <v>0</v>
      </c>
      <c r="L39" s="145">
        <f t="shared" si="1"/>
        <v>0</v>
      </c>
      <c r="M39" s="145">
        <v>528.79999999999995</v>
      </c>
      <c r="N39" s="145">
        <f>+M39*1000/(31*10*13*60)*T39</f>
        <v>6.5607940446650126</v>
      </c>
      <c r="O39" s="14">
        <f>+SUM('31:29'!O39)</f>
        <v>0</v>
      </c>
      <c r="P39" s="145">
        <f t="shared" si="2"/>
        <v>0</v>
      </c>
      <c r="Q39" s="14">
        <f>+SUM('31:29'!Q39)</f>
        <v>0</v>
      </c>
      <c r="R39" s="19">
        <f t="shared" si="3"/>
        <v>0</v>
      </c>
      <c r="S39" s="145">
        <f t="shared" si="4"/>
        <v>0</v>
      </c>
      <c r="T39" s="20">
        <v>3</v>
      </c>
      <c r="U39" s="14">
        <f>+SUM('31:29'!U39)</f>
        <v>0</v>
      </c>
      <c r="V39" s="142"/>
      <c r="W39" s="14">
        <f>+SUM('31:29'!W39)</f>
        <v>0</v>
      </c>
      <c r="X39" s="14">
        <f>+SUM('31:29'!X39)</f>
        <v>0</v>
      </c>
      <c r="Y39" s="14">
        <f>+SUM('31:29'!Y39)</f>
        <v>0</v>
      </c>
      <c r="Z39" s="14">
        <f>+SUM('31:29'!Z39)</f>
        <v>0</v>
      </c>
      <c r="AA39" s="14">
        <f>+SUM('31:29'!AA39)</f>
        <v>0</v>
      </c>
      <c r="AB39" s="14">
        <f>+SUM('31:29'!AB39)</f>
        <v>0</v>
      </c>
      <c r="AC39" s="14">
        <f>+SUM('31:29'!AC39)</f>
        <v>0</v>
      </c>
    </row>
    <row r="40" spans="1:29" ht="21.95" customHeight="1">
      <c r="A40" s="141">
        <v>300415</v>
      </c>
      <c r="B40" s="135">
        <v>3002</v>
      </c>
      <c r="C40" s="230" t="s">
        <v>296</v>
      </c>
      <c r="D40" s="231"/>
      <c r="E40" s="147" t="s">
        <v>295</v>
      </c>
      <c r="F40" s="13"/>
      <c r="G40" s="14">
        <f>+SUM('31:29'!G40)</f>
        <v>0</v>
      </c>
      <c r="H40" s="14">
        <f>+SUM('31:29'!H40)</f>
        <v>0</v>
      </c>
      <c r="I40" s="14">
        <f>+SUM('31:29'!I40)</f>
        <v>0</v>
      </c>
      <c r="J40" s="14">
        <f>+SUM('31:29'!J40)</f>
        <v>0</v>
      </c>
      <c r="K40" s="145">
        <f t="shared" si="0"/>
        <v>0</v>
      </c>
      <c r="L40" s="145">
        <f t="shared" si="1"/>
        <v>0</v>
      </c>
      <c r="M40" s="145">
        <v>528.79999999999995</v>
      </c>
      <c r="N40" s="145">
        <f>+M40*1000/(31*10*13*60)*T40</f>
        <v>6.5607940446650126</v>
      </c>
      <c r="O40" s="14">
        <f>+SUM('31:29'!O40)</f>
        <v>0</v>
      </c>
      <c r="P40" s="145">
        <f t="shared" si="2"/>
        <v>0</v>
      </c>
      <c r="Q40" s="14">
        <f>+SUM('31:29'!Q40)</f>
        <v>0</v>
      </c>
      <c r="R40" s="19">
        <f t="shared" si="3"/>
        <v>0</v>
      </c>
      <c r="S40" s="145">
        <f t="shared" si="4"/>
        <v>0</v>
      </c>
      <c r="T40" s="20">
        <v>3</v>
      </c>
      <c r="U40" s="14">
        <f>+SUM('31:29'!U40)</f>
        <v>0</v>
      </c>
      <c r="V40" s="142"/>
      <c r="W40" s="14">
        <f>+SUM('31:29'!W40)</f>
        <v>0</v>
      </c>
      <c r="X40" s="14">
        <f>+SUM('31:29'!X40)</f>
        <v>0</v>
      </c>
      <c r="Y40" s="14">
        <f>+SUM('31:29'!Y40)</f>
        <v>0</v>
      </c>
      <c r="Z40" s="14">
        <f>+SUM('31:29'!Z40)</f>
        <v>0</v>
      </c>
      <c r="AA40" s="14">
        <f>+SUM('31:29'!AA40)</f>
        <v>0</v>
      </c>
      <c r="AB40" s="14">
        <f>+SUM('31:29'!AB40)</f>
        <v>0</v>
      </c>
      <c r="AC40" s="14">
        <f>+SUM('31:29'!AC40)</f>
        <v>0</v>
      </c>
    </row>
    <row r="41" spans="1:29" ht="21.95" customHeight="1">
      <c r="A41" s="141">
        <v>300035</v>
      </c>
      <c r="B41" s="135" t="s">
        <v>60</v>
      </c>
      <c r="C41" s="219" t="s">
        <v>61</v>
      </c>
      <c r="D41" s="219" t="s">
        <v>62</v>
      </c>
      <c r="E41" s="147" t="s">
        <v>35</v>
      </c>
      <c r="F41" s="13"/>
      <c r="G41" s="14">
        <f>+SUM('31:29'!G41)</f>
        <v>0</v>
      </c>
      <c r="H41" s="14">
        <f>+SUM('31:29'!H41)</f>
        <v>0</v>
      </c>
      <c r="I41" s="14">
        <f>+SUM('31:29'!I41)</f>
        <v>0</v>
      </c>
      <c r="J41" s="14">
        <f>+SUM('31:29'!J41)</f>
        <v>0</v>
      </c>
      <c r="K41" s="145">
        <f t="shared" si="0"/>
        <v>0</v>
      </c>
      <c r="L41" s="145">
        <f t="shared" si="1"/>
        <v>0</v>
      </c>
      <c r="M41" s="145">
        <v>366.93</v>
      </c>
      <c r="N41" s="145">
        <f>+M41*1000/(35.8*10*13*60)*T41</f>
        <v>2.6280618822518265</v>
      </c>
      <c r="O41" s="14">
        <f>+SUM('31:29'!O41)</f>
        <v>0</v>
      </c>
      <c r="P41" s="145">
        <f t="shared" si="2"/>
        <v>0</v>
      </c>
      <c r="Q41" s="14">
        <f>+SUM('31:29'!Q41)</f>
        <v>0</v>
      </c>
      <c r="R41" s="19">
        <f t="shared" si="3"/>
        <v>0</v>
      </c>
      <c r="S41" s="145">
        <f t="shared" si="4"/>
        <v>0</v>
      </c>
      <c r="T41" s="20">
        <v>2</v>
      </c>
      <c r="U41" s="14">
        <f>+SUM('31:29'!U41)</f>
        <v>0</v>
      </c>
      <c r="V41" s="142" t="str">
        <f t="array" ref="V41">IF(ISERROR(L41/K41),"",L41/K41)</f>
        <v/>
      </c>
      <c r="W41" s="14">
        <f>+SUM('31:29'!W41)</f>
        <v>0</v>
      </c>
      <c r="X41" s="14">
        <f>+SUM('31:29'!X41)</f>
        <v>0</v>
      </c>
      <c r="Y41" s="14">
        <f>+SUM('31:29'!Y41)</f>
        <v>0</v>
      </c>
      <c r="Z41" s="14">
        <f>+SUM('31:29'!Z41)</f>
        <v>0</v>
      </c>
      <c r="AA41" s="14">
        <f>+SUM('31:29'!AA41)</f>
        <v>0</v>
      </c>
      <c r="AB41" s="14">
        <f>+SUM('31:29'!AB41)</f>
        <v>0</v>
      </c>
      <c r="AC41" s="14">
        <f>+SUM('31:29'!AC41)</f>
        <v>0</v>
      </c>
    </row>
    <row r="42" spans="1:29" ht="21.95" customHeight="1">
      <c r="A42" s="141">
        <v>300036</v>
      </c>
      <c r="B42" s="135" t="s">
        <v>60</v>
      </c>
      <c r="C42" s="219" t="s">
        <v>61</v>
      </c>
      <c r="D42" s="219" t="s">
        <v>62</v>
      </c>
      <c r="E42" s="147" t="s">
        <v>63</v>
      </c>
      <c r="F42" s="13"/>
      <c r="G42" s="14">
        <f>+SUM('31:29'!G42)</f>
        <v>0</v>
      </c>
      <c r="H42" s="14">
        <f>+SUM('31:29'!H42)</f>
        <v>0</v>
      </c>
      <c r="I42" s="14">
        <f>+SUM('31:29'!I42)</f>
        <v>0</v>
      </c>
      <c r="J42" s="14">
        <f>+SUM('31:29'!J42)</f>
        <v>0</v>
      </c>
      <c r="K42" s="145">
        <f t="shared" si="0"/>
        <v>0</v>
      </c>
      <c r="L42" s="145">
        <f t="shared" si="1"/>
        <v>0</v>
      </c>
      <c r="M42" s="145">
        <v>366.93</v>
      </c>
      <c r="N42" s="145">
        <f>+M42*1000/(35.8*10*13*60)*T42</f>
        <v>2.6280618822518265</v>
      </c>
      <c r="O42" s="14">
        <f>+SUM('31:29'!O42)</f>
        <v>0</v>
      </c>
      <c r="P42" s="145">
        <f t="shared" si="2"/>
        <v>0</v>
      </c>
      <c r="Q42" s="14">
        <f>+SUM('31:29'!Q42)</f>
        <v>0</v>
      </c>
      <c r="R42" s="19">
        <f t="shared" si="3"/>
        <v>0</v>
      </c>
      <c r="S42" s="145">
        <f t="shared" si="4"/>
        <v>0</v>
      </c>
      <c r="T42" s="20">
        <v>2</v>
      </c>
      <c r="U42" s="14">
        <f>+SUM('31:29'!U42)</f>
        <v>0</v>
      </c>
      <c r="V42" s="142" t="str">
        <f t="array" ref="V42">IF(ISERROR(L42/K42),"",L42/K42)</f>
        <v/>
      </c>
      <c r="W42" s="14">
        <f>+SUM('31:29'!W42)</f>
        <v>0</v>
      </c>
      <c r="X42" s="14">
        <f>+SUM('31:29'!X42)</f>
        <v>0</v>
      </c>
      <c r="Y42" s="14">
        <f>+SUM('31:29'!Y42)</f>
        <v>0</v>
      </c>
      <c r="Z42" s="14">
        <f>+SUM('31:29'!Z42)</f>
        <v>0</v>
      </c>
      <c r="AA42" s="14">
        <f>+SUM('31:29'!AA42)</f>
        <v>0</v>
      </c>
      <c r="AB42" s="14">
        <f>+SUM('31:29'!AB42)</f>
        <v>0</v>
      </c>
      <c r="AC42" s="14">
        <f>+SUM('31:29'!AC42)</f>
        <v>0</v>
      </c>
    </row>
    <row r="43" spans="1:29" ht="21.95" customHeight="1">
      <c r="A43" s="141">
        <v>300037</v>
      </c>
      <c r="B43" s="135" t="s">
        <v>60</v>
      </c>
      <c r="C43" s="219" t="s">
        <v>61</v>
      </c>
      <c r="D43" s="219" t="s">
        <v>62</v>
      </c>
      <c r="E43" s="147" t="s">
        <v>37</v>
      </c>
      <c r="F43" s="13"/>
      <c r="G43" s="14">
        <f>+SUM('31:29'!G43)</f>
        <v>0</v>
      </c>
      <c r="H43" s="14">
        <f>+SUM('31:29'!H43)</f>
        <v>0</v>
      </c>
      <c r="I43" s="14">
        <f>+SUM('31:29'!I43)</f>
        <v>0</v>
      </c>
      <c r="J43" s="14">
        <f>+SUM('31:29'!J43)</f>
        <v>0</v>
      </c>
      <c r="K43" s="145">
        <f t="shared" si="0"/>
        <v>0</v>
      </c>
      <c r="L43" s="145">
        <f t="shared" si="1"/>
        <v>0</v>
      </c>
      <c r="M43" s="145">
        <v>366.93</v>
      </c>
      <c r="N43" s="145">
        <f>+M43*1000/(35.8*10*13*60)*T43</f>
        <v>2.6280618822518265</v>
      </c>
      <c r="O43" s="14">
        <f>+SUM('31:29'!O43)</f>
        <v>0</v>
      </c>
      <c r="P43" s="145">
        <f t="shared" si="2"/>
        <v>0</v>
      </c>
      <c r="Q43" s="14">
        <f>+SUM('31:29'!Q43)</f>
        <v>0</v>
      </c>
      <c r="R43" s="19">
        <f t="shared" si="3"/>
        <v>0</v>
      </c>
      <c r="S43" s="145">
        <f t="shared" si="4"/>
        <v>0</v>
      </c>
      <c r="T43" s="20">
        <v>2</v>
      </c>
      <c r="U43" s="14">
        <f>+SUM('31:29'!U43)</f>
        <v>0</v>
      </c>
      <c r="V43" s="142" t="str">
        <f t="array" ref="V43">IF(ISERROR(L43/K43),"",L43/K43)</f>
        <v/>
      </c>
      <c r="W43" s="14">
        <f>+SUM('31:29'!W43)</f>
        <v>0</v>
      </c>
      <c r="X43" s="14">
        <f>+SUM('31:29'!X43)</f>
        <v>0</v>
      </c>
      <c r="Y43" s="14">
        <f>+SUM('31:29'!Y43)</f>
        <v>0</v>
      </c>
      <c r="Z43" s="14">
        <f>+SUM('31:29'!Z43)</f>
        <v>0</v>
      </c>
      <c r="AA43" s="14">
        <f>+SUM('31:29'!AA43)</f>
        <v>0</v>
      </c>
      <c r="AB43" s="14">
        <f>+SUM('31:29'!AB43)</f>
        <v>0</v>
      </c>
      <c r="AC43" s="14">
        <f>+SUM('31:29'!AC43)</f>
        <v>0</v>
      </c>
    </row>
    <row r="44" spans="1:29" ht="21.95" customHeight="1">
      <c r="A44" s="141">
        <v>300038</v>
      </c>
      <c r="B44" s="135" t="s">
        <v>60</v>
      </c>
      <c r="C44" s="219" t="s">
        <v>64</v>
      </c>
      <c r="D44" s="219" t="s">
        <v>65</v>
      </c>
      <c r="E44" s="147" t="s">
        <v>35</v>
      </c>
      <c r="F44" s="13"/>
      <c r="G44" s="14">
        <f>+SUM('31:29'!G44)</f>
        <v>0</v>
      </c>
      <c r="H44" s="14">
        <f>+SUM('31:29'!H44)</f>
        <v>0</v>
      </c>
      <c r="I44" s="14">
        <f>+SUM('31:29'!I44)</f>
        <v>0</v>
      </c>
      <c r="J44" s="14">
        <f>+SUM('31:29'!J44)</f>
        <v>0</v>
      </c>
      <c r="K44" s="145">
        <f t="shared" si="0"/>
        <v>0</v>
      </c>
      <c r="L44" s="145">
        <f t="shared" si="1"/>
        <v>0</v>
      </c>
      <c r="M44" s="145">
        <v>301.14</v>
      </c>
      <c r="N44" s="145">
        <f>+M44*1000/(35.8*10*13*60)*T44</f>
        <v>5.3921357971637294</v>
      </c>
      <c r="O44" s="14">
        <f>+SUM('31:29'!O44)</f>
        <v>0</v>
      </c>
      <c r="P44" s="145">
        <f t="shared" si="2"/>
        <v>0</v>
      </c>
      <c r="Q44" s="14">
        <f>+SUM('31:29'!Q44)</f>
        <v>0</v>
      </c>
      <c r="R44" s="19">
        <f t="shared" si="3"/>
        <v>0</v>
      </c>
      <c r="S44" s="145">
        <f t="shared" si="4"/>
        <v>0</v>
      </c>
      <c r="T44" s="20">
        <v>5</v>
      </c>
      <c r="U44" s="14">
        <f>+SUM('31:29'!U44)</f>
        <v>0</v>
      </c>
      <c r="V44" s="142" t="str">
        <f t="array" ref="V44">IF(ISERROR(L44/K44),"",L44/K44)</f>
        <v/>
      </c>
      <c r="W44" s="14">
        <f>+SUM('31:29'!W44)</f>
        <v>0</v>
      </c>
      <c r="X44" s="14">
        <f>+SUM('31:29'!X44)</f>
        <v>0</v>
      </c>
      <c r="Y44" s="14">
        <f>+SUM('31:29'!Y44)</f>
        <v>0</v>
      </c>
      <c r="Z44" s="14">
        <f>+SUM('31:29'!Z44)</f>
        <v>0</v>
      </c>
      <c r="AA44" s="14">
        <f>+SUM('31:29'!AA44)</f>
        <v>0</v>
      </c>
      <c r="AB44" s="14">
        <f>+SUM('31:29'!AB44)</f>
        <v>0</v>
      </c>
      <c r="AC44" s="14">
        <f>+SUM('31:29'!AC44)</f>
        <v>0</v>
      </c>
    </row>
    <row r="45" spans="1:29" ht="21.95" customHeight="1">
      <c r="A45" s="141">
        <v>300039</v>
      </c>
      <c r="B45" s="135" t="s">
        <v>60</v>
      </c>
      <c r="C45" s="219" t="s">
        <v>64</v>
      </c>
      <c r="D45" s="219" t="s">
        <v>65</v>
      </c>
      <c r="E45" s="147" t="s">
        <v>66</v>
      </c>
      <c r="F45" s="13"/>
      <c r="G45" s="14">
        <f>+SUM('31:29'!G45)</f>
        <v>0</v>
      </c>
      <c r="H45" s="14">
        <f>+SUM('31:29'!H45)</f>
        <v>0</v>
      </c>
      <c r="I45" s="14">
        <f>+SUM('31:29'!I45)</f>
        <v>0</v>
      </c>
      <c r="J45" s="14">
        <f>+SUM('31:29'!J45)</f>
        <v>0</v>
      </c>
      <c r="K45" s="145">
        <f t="shared" si="0"/>
        <v>0</v>
      </c>
      <c r="L45" s="145">
        <f t="shared" si="1"/>
        <v>0</v>
      </c>
      <c r="M45" s="145">
        <v>310.39999999999998</v>
      </c>
      <c r="N45" s="145">
        <f>+M45*1000/(35.8*10*13*60)*T45</f>
        <v>5.557942988110586</v>
      </c>
      <c r="O45" s="14">
        <f>+SUM('31:29'!O45)</f>
        <v>0</v>
      </c>
      <c r="P45" s="145">
        <f t="shared" si="2"/>
        <v>0</v>
      </c>
      <c r="Q45" s="14">
        <f>+SUM('31:29'!Q45)</f>
        <v>0</v>
      </c>
      <c r="R45" s="19">
        <f t="shared" si="3"/>
        <v>0</v>
      </c>
      <c r="S45" s="145">
        <f t="shared" si="4"/>
        <v>0</v>
      </c>
      <c r="T45" s="20">
        <v>5</v>
      </c>
      <c r="U45" s="14">
        <f>+SUM('31:29'!U45)</f>
        <v>0</v>
      </c>
      <c r="V45" s="142" t="str">
        <f t="array" ref="V45">IF(ISERROR(L45/K45),"",L45/K45)</f>
        <v/>
      </c>
      <c r="W45" s="14">
        <f>+SUM('31:29'!W45)</f>
        <v>0</v>
      </c>
      <c r="X45" s="14">
        <f>+SUM('31:29'!X45)</f>
        <v>0</v>
      </c>
      <c r="Y45" s="14">
        <f>+SUM('31:29'!Y45)</f>
        <v>0</v>
      </c>
      <c r="Z45" s="14">
        <f>+SUM('31:29'!Z45)</f>
        <v>0</v>
      </c>
      <c r="AA45" s="14">
        <f>+SUM('31:29'!AA45)</f>
        <v>0</v>
      </c>
      <c r="AB45" s="14">
        <f>+SUM('31:29'!AB45)</f>
        <v>0</v>
      </c>
      <c r="AC45" s="14">
        <f>+SUM('31:29'!AC45)</f>
        <v>0</v>
      </c>
    </row>
    <row r="46" spans="1:29" s="2" customFormat="1" ht="21" customHeight="1">
      <c r="A46" s="141">
        <v>300416</v>
      </c>
      <c r="B46" s="135" t="s">
        <v>67</v>
      </c>
      <c r="C46" s="230" t="s">
        <v>68</v>
      </c>
      <c r="D46" s="231"/>
      <c r="E46" s="147" t="s">
        <v>69</v>
      </c>
      <c r="F46" s="146"/>
      <c r="G46" s="14">
        <f>+SUM('31:29'!G46)</f>
        <v>0</v>
      </c>
      <c r="H46" s="14">
        <f>+SUM('31:29'!H46)</f>
        <v>0</v>
      </c>
      <c r="I46" s="14">
        <f>+SUM('31:29'!I46)</f>
        <v>0</v>
      </c>
      <c r="J46" s="14">
        <f>+SUM('31:29'!J46)</f>
        <v>0</v>
      </c>
      <c r="K46" s="145">
        <f t="shared" si="0"/>
        <v>0</v>
      </c>
      <c r="L46" s="145">
        <f t="shared" si="1"/>
        <v>0</v>
      </c>
      <c r="M46" s="145">
        <v>385.6</v>
      </c>
      <c r="N46" s="145">
        <f>+M46*1000/(25.4*20*15*60)*T46</f>
        <v>2.5301837270341205</v>
      </c>
      <c r="O46" s="14">
        <f>+SUM('31:29'!O46)</f>
        <v>0</v>
      </c>
      <c r="P46" s="145">
        <f t="shared" si="2"/>
        <v>0</v>
      </c>
      <c r="Q46" s="14">
        <f>+SUM('31:29'!Q46)</f>
        <v>0</v>
      </c>
      <c r="R46" s="19">
        <f t="shared" si="3"/>
        <v>0</v>
      </c>
      <c r="S46" s="145">
        <f t="shared" si="4"/>
        <v>0</v>
      </c>
      <c r="T46" s="20">
        <v>3</v>
      </c>
      <c r="U46" s="14">
        <f>+SUM('31:29'!U46)</f>
        <v>0</v>
      </c>
      <c r="V46" s="142"/>
      <c r="W46" s="14">
        <f>+SUM('31:29'!W46)</f>
        <v>0</v>
      </c>
      <c r="X46" s="14">
        <f>+SUM('31:29'!X46)</f>
        <v>0</v>
      </c>
      <c r="Y46" s="14">
        <f>+SUM('31:29'!Y46)</f>
        <v>0</v>
      </c>
      <c r="Z46" s="14">
        <f>+SUM('31:29'!Z46)</f>
        <v>0</v>
      </c>
      <c r="AA46" s="14">
        <f>+SUM('31:29'!AA46)</f>
        <v>0</v>
      </c>
      <c r="AB46" s="14">
        <f>+SUM('31:29'!AB46)</f>
        <v>0</v>
      </c>
      <c r="AC46" s="14">
        <f>+SUM('31:29'!AC46)</f>
        <v>0</v>
      </c>
    </row>
    <row r="47" spans="1:29" s="2" customFormat="1" ht="21" customHeight="1">
      <c r="A47" s="141">
        <v>300417</v>
      </c>
      <c r="B47" s="135" t="s">
        <v>67</v>
      </c>
      <c r="C47" s="230" t="s">
        <v>68</v>
      </c>
      <c r="D47" s="231"/>
      <c r="E47" s="147" t="s">
        <v>70</v>
      </c>
      <c r="F47" s="146"/>
      <c r="G47" s="14">
        <f>+SUM('31:29'!G47)</f>
        <v>2</v>
      </c>
      <c r="H47" s="14">
        <f>+SUM('31:29'!H47)</f>
        <v>0</v>
      </c>
      <c r="I47" s="14">
        <f>+SUM('31:29'!I47)</f>
        <v>2</v>
      </c>
      <c r="J47" s="14">
        <f>+SUM('31:29'!J47)</f>
        <v>0</v>
      </c>
      <c r="K47" s="145">
        <f t="shared" si="0"/>
        <v>771.2</v>
      </c>
      <c r="L47" s="145">
        <f t="shared" si="1"/>
        <v>771.2</v>
      </c>
      <c r="M47" s="145">
        <v>385.6</v>
      </c>
      <c r="N47" s="145">
        <f>+M47*1000/(25.4*20*15*60)*T47</f>
        <v>2.5301837270341205</v>
      </c>
      <c r="O47" s="14">
        <f>+SUM('31:29'!O47)</f>
        <v>0.5</v>
      </c>
      <c r="P47" s="145">
        <f t="shared" si="2"/>
        <v>6.0603674540682411</v>
      </c>
      <c r="Q47" s="14">
        <f>+SUM('31:29'!Q47)</f>
        <v>1.5</v>
      </c>
      <c r="R47" s="19">
        <f t="shared" si="3"/>
        <v>3</v>
      </c>
      <c r="S47" s="145">
        <f t="shared" si="4"/>
        <v>-3.0603674540682411</v>
      </c>
      <c r="T47" s="20">
        <v>3</v>
      </c>
      <c r="U47" s="14">
        <f>+SUM('31:29'!U47)</f>
        <v>2</v>
      </c>
      <c r="V47" s="142"/>
      <c r="W47" s="14">
        <f>+SUM('31:29'!W47)</f>
        <v>0</v>
      </c>
      <c r="X47" s="14">
        <f>+SUM('31:29'!X47)</f>
        <v>0</v>
      </c>
      <c r="Y47" s="14">
        <f>+SUM('31:29'!Y47)</f>
        <v>0</v>
      </c>
      <c r="Z47" s="14">
        <f>+SUM('31:29'!Z47)</f>
        <v>0</v>
      </c>
      <c r="AA47" s="14">
        <f>+SUM('31:29'!AA47)</f>
        <v>0</v>
      </c>
      <c r="AB47" s="14">
        <f>+SUM('31:29'!AB47)</f>
        <v>0</v>
      </c>
      <c r="AC47" s="14">
        <f>+SUM('31:29'!AC47)</f>
        <v>0</v>
      </c>
    </row>
    <row r="48" spans="1:29" s="2" customFormat="1" ht="21" customHeight="1">
      <c r="A48" s="141">
        <v>300418</v>
      </c>
      <c r="B48" s="135" t="s">
        <v>67</v>
      </c>
      <c r="C48" s="230" t="s">
        <v>68</v>
      </c>
      <c r="D48" s="231"/>
      <c r="E48" s="147" t="s">
        <v>71</v>
      </c>
      <c r="F48" s="146"/>
      <c r="G48" s="14">
        <f>+SUM('31:29'!G48)</f>
        <v>0</v>
      </c>
      <c r="H48" s="14">
        <f>+SUM('31:29'!H48)</f>
        <v>0</v>
      </c>
      <c r="I48" s="14">
        <f>+SUM('31:29'!I48)</f>
        <v>0</v>
      </c>
      <c r="J48" s="14">
        <f>+SUM('31:29'!J48)</f>
        <v>0</v>
      </c>
      <c r="K48" s="145">
        <f t="shared" si="0"/>
        <v>0</v>
      </c>
      <c r="L48" s="145">
        <f t="shared" si="1"/>
        <v>0</v>
      </c>
      <c r="M48" s="145">
        <v>385.6</v>
      </c>
      <c r="N48" s="145">
        <f>+M48*1000/(25.4*20*15*60)*T48</f>
        <v>2.5301837270341205</v>
      </c>
      <c r="O48" s="14">
        <f>+SUM('31:29'!O48)</f>
        <v>0</v>
      </c>
      <c r="P48" s="145">
        <f t="shared" si="2"/>
        <v>0</v>
      </c>
      <c r="Q48" s="14">
        <f>+SUM('31:29'!Q48)</f>
        <v>0</v>
      </c>
      <c r="R48" s="19">
        <f t="shared" si="3"/>
        <v>0</v>
      </c>
      <c r="S48" s="145">
        <f t="shared" si="4"/>
        <v>0</v>
      </c>
      <c r="T48" s="20">
        <v>3</v>
      </c>
      <c r="U48" s="14">
        <f>+SUM('31:29'!U48)</f>
        <v>0</v>
      </c>
      <c r="V48" s="142"/>
      <c r="W48" s="14">
        <f>+SUM('31:29'!W48)</f>
        <v>0</v>
      </c>
      <c r="X48" s="14">
        <f>+SUM('31:29'!X48)</f>
        <v>0</v>
      </c>
      <c r="Y48" s="14">
        <f>+SUM('31:29'!Y48)</f>
        <v>0</v>
      </c>
      <c r="Z48" s="14">
        <f>+SUM('31:29'!Z48)</f>
        <v>0</v>
      </c>
      <c r="AA48" s="14">
        <f>+SUM('31:29'!AA48)</f>
        <v>0</v>
      </c>
      <c r="AB48" s="14">
        <f>+SUM('31:29'!AB48)</f>
        <v>0</v>
      </c>
      <c r="AC48" s="14">
        <f>+SUM('31:29'!AC48)</f>
        <v>0</v>
      </c>
    </row>
    <row r="49" spans="1:29" s="2" customFormat="1" ht="21" customHeight="1">
      <c r="A49" s="141">
        <v>300419</v>
      </c>
      <c r="B49" s="135" t="s">
        <v>67</v>
      </c>
      <c r="C49" s="230" t="s">
        <v>68</v>
      </c>
      <c r="D49" s="231"/>
      <c r="E49" s="147" t="s">
        <v>72</v>
      </c>
      <c r="F49" s="146"/>
      <c r="G49" s="14">
        <f>+SUM('31:29'!G49)</f>
        <v>7.29</v>
      </c>
      <c r="H49" s="14">
        <f>+SUM('31:29'!H49)</f>
        <v>0.2857142857142857</v>
      </c>
      <c r="I49" s="14">
        <f>+SUM('31:29'!I49)</f>
        <v>7.2857142857142856</v>
      </c>
      <c r="J49" s="14">
        <f>+SUM('31:29'!J49)</f>
        <v>0</v>
      </c>
      <c r="K49" s="145">
        <f t="shared" si="0"/>
        <v>2811.0240000000003</v>
      </c>
      <c r="L49" s="145">
        <f t="shared" si="1"/>
        <v>2809.3714285714286</v>
      </c>
      <c r="M49" s="145">
        <v>385.6</v>
      </c>
      <c r="N49" s="145">
        <f>+M49*1000/(25.4*20*15*60)*T49</f>
        <v>2.5301837270341205</v>
      </c>
      <c r="O49" s="14">
        <f>+SUM('31:29'!O49)</f>
        <v>0</v>
      </c>
      <c r="P49" s="145">
        <f t="shared" si="2"/>
        <v>18.434195725534305</v>
      </c>
      <c r="Q49" s="14">
        <f>+SUM('31:29'!Q49)</f>
        <v>9.5</v>
      </c>
      <c r="R49" s="19">
        <f t="shared" si="3"/>
        <v>19</v>
      </c>
      <c r="S49" s="145">
        <f t="shared" si="4"/>
        <v>0.56580427446569459</v>
      </c>
      <c r="T49" s="20">
        <v>3</v>
      </c>
      <c r="U49" s="14">
        <f>+SUM('31:29'!U49)</f>
        <v>2</v>
      </c>
      <c r="V49" s="142"/>
      <c r="W49" s="14">
        <f>+SUM('31:29'!W49)</f>
        <v>0</v>
      </c>
      <c r="X49" s="14">
        <f>+SUM('31:29'!X49)</f>
        <v>0</v>
      </c>
      <c r="Y49" s="14">
        <f>+SUM('31:29'!Y49)</f>
        <v>0</v>
      </c>
      <c r="Z49" s="14">
        <f>+SUM('31:29'!Z49)</f>
        <v>0</v>
      </c>
      <c r="AA49" s="14">
        <f>+SUM('31:29'!AA49)</f>
        <v>0</v>
      </c>
      <c r="AB49" s="14">
        <f>+SUM('31:29'!AB49)</f>
        <v>0</v>
      </c>
      <c r="AC49" s="14">
        <f>+SUM('31:29'!AC49)</f>
        <v>0</v>
      </c>
    </row>
    <row r="50" spans="1:29" ht="21.95" customHeight="1">
      <c r="A50" s="141">
        <v>300260</v>
      </c>
      <c r="B50" s="135" t="s">
        <v>67</v>
      </c>
      <c r="C50" s="219" t="s">
        <v>73</v>
      </c>
      <c r="D50" s="219"/>
      <c r="E50" s="147" t="s">
        <v>74</v>
      </c>
      <c r="F50" s="13"/>
      <c r="G50" s="14">
        <f>+SUM('31:29'!G50)</f>
        <v>0</v>
      </c>
      <c r="H50" s="14">
        <f>+SUM('31:29'!H50)</f>
        <v>0</v>
      </c>
      <c r="I50" s="14">
        <f>+SUM('31:29'!I50)</f>
        <v>0</v>
      </c>
      <c r="J50" s="14">
        <f>+SUM('31:29'!J50)</f>
        <v>0</v>
      </c>
      <c r="K50" s="145">
        <f t="shared" si="0"/>
        <v>0</v>
      </c>
      <c r="L50" s="145">
        <f t="shared" si="1"/>
        <v>0</v>
      </c>
      <c r="M50" s="145">
        <v>434.33</v>
      </c>
      <c r="N50" s="145">
        <f>+M50*1000/(42.7*10*15*60)*T50</f>
        <v>2.2603695029924538</v>
      </c>
      <c r="O50" s="14">
        <f>+SUM('31:29'!O50)</f>
        <v>0</v>
      </c>
      <c r="P50" s="145">
        <f t="shared" si="2"/>
        <v>0</v>
      </c>
      <c r="Q50" s="14">
        <f>+SUM('31:29'!Q50)</f>
        <v>0</v>
      </c>
      <c r="R50" s="19">
        <f t="shared" si="3"/>
        <v>0</v>
      </c>
      <c r="S50" s="145">
        <f t="shared" si="4"/>
        <v>0</v>
      </c>
      <c r="T50" s="20">
        <v>2</v>
      </c>
      <c r="U50" s="14">
        <f>+SUM('31:29'!U50)</f>
        <v>0</v>
      </c>
      <c r="V50" s="142" t="str">
        <f t="array" ref="V50">IF(ISERROR(L50/K50),"",L50/K50)</f>
        <v/>
      </c>
      <c r="W50" s="14">
        <f>+SUM('31:29'!W50)</f>
        <v>0</v>
      </c>
      <c r="X50" s="14">
        <f>+SUM('31:29'!X50)</f>
        <v>0</v>
      </c>
      <c r="Y50" s="14">
        <f>+SUM('31:29'!Y50)</f>
        <v>0</v>
      </c>
      <c r="Z50" s="14">
        <f>+SUM('31:29'!Z50)</f>
        <v>0</v>
      </c>
      <c r="AA50" s="14">
        <f>+SUM('31:29'!AA50)</f>
        <v>0</v>
      </c>
      <c r="AB50" s="14">
        <f>+SUM('31:29'!AB50)</f>
        <v>0</v>
      </c>
      <c r="AC50" s="14">
        <f>+SUM('31:29'!AC50)</f>
        <v>0</v>
      </c>
    </row>
    <row r="51" spans="1:29" ht="21.95" customHeight="1">
      <c r="A51" s="141">
        <v>300261</v>
      </c>
      <c r="B51" s="135" t="s">
        <v>67</v>
      </c>
      <c r="C51" s="219" t="s">
        <v>73</v>
      </c>
      <c r="D51" s="219"/>
      <c r="E51" s="147" t="s">
        <v>41</v>
      </c>
      <c r="F51" s="13"/>
      <c r="G51" s="14">
        <f>+SUM('31:29'!G51)</f>
        <v>0</v>
      </c>
      <c r="H51" s="14">
        <f>+SUM('31:29'!H51)</f>
        <v>0</v>
      </c>
      <c r="I51" s="14">
        <f>+SUM('31:29'!I51)</f>
        <v>0</v>
      </c>
      <c r="J51" s="14">
        <f>+SUM('31:29'!J51)</f>
        <v>0</v>
      </c>
      <c r="K51" s="145">
        <f t="shared" si="0"/>
        <v>0</v>
      </c>
      <c r="L51" s="145">
        <f t="shared" si="1"/>
        <v>0</v>
      </c>
      <c r="M51" s="145">
        <v>434.33</v>
      </c>
      <c r="N51" s="145">
        <f>+M51*1000/(42.7*10*15*60)*T51</f>
        <v>2.2603695029924538</v>
      </c>
      <c r="O51" s="14">
        <f>+SUM('31:29'!O51)</f>
        <v>0</v>
      </c>
      <c r="P51" s="145">
        <f t="shared" si="2"/>
        <v>0</v>
      </c>
      <c r="Q51" s="14">
        <f>+SUM('31:29'!Q51)</f>
        <v>0</v>
      </c>
      <c r="R51" s="19">
        <f t="shared" si="3"/>
        <v>0</v>
      </c>
      <c r="S51" s="145">
        <f t="shared" si="4"/>
        <v>0</v>
      </c>
      <c r="T51" s="20">
        <v>2</v>
      </c>
      <c r="U51" s="14">
        <f>+SUM('31:29'!U51)</f>
        <v>0</v>
      </c>
      <c r="V51" s="142" t="str">
        <f t="array" ref="V51">IF(ISERROR(L51/K51),"",L51/K51)</f>
        <v/>
      </c>
      <c r="W51" s="14">
        <f>+SUM('31:29'!W51)</f>
        <v>0</v>
      </c>
      <c r="X51" s="14">
        <f>+SUM('31:29'!X51)</f>
        <v>0</v>
      </c>
      <c r="Y51" s="14">
        <f>+SUM('31:29'!Y51)</f>
        <v>0</v>
      </c>
      <c r="Z51" s="14">
        <f>+SUM('31:29'!Z51)</f>
        <v>0</v>
      </c>
      <c r="AA51" s="14">
        <f>+SUM('31:29'!AA51)</f>
        <v>0</v>
      </c>
      <c r="AB51" s="14">
        <f>+SUM('31:29'!AB51)</f>
        <v>0</v>
      </c>
      <c r="AC51" s="14">
        <f>+SUM('31:29'!AC51)</f>
        <v>0</v>
      </c>
    </row>
    <row r="52" spans="1:29" ht="21.95" customHeight="1">
      <c r="A52" s="141">
        <v>300262</v>
      </c>
      <c r="B52" s="135" t="s">
        <v>67</v>
      </c>
      <c r="C52" s="219" t="s">
        <v>73</v>
      </c>
      <c r="D52" s="219"/>
      <c r="E52" s="147" t="s">
        <v>39</v>
      </c>
      <c r="F52" s="13"/>
      <c r="G52" s="14">
        <f>+SUM('31:29'!G52)</f>
        <v>0</v>
      </c>
      <c r="H52" s="14">
        <f>+SUM('31:29'!H52)</f>
        <v>0</v>
      </c>
      <c r="I52" s="14">
        <f>+SUM('31:29'!I52)</f>
        <v>0</v>
      </c>
      <c r="J52" s="14">
        <f>+SUM('31:29'!J52)</f>
        <v>0</v>
      </c>
      <c r="K52" s="145">
        <f t="shared" si="0"/>
        <v>0</v>
      </c>
      <c r="L52" s="145">
        <f t="shared" si="1"/>
        <v>0</v>
      </c>
      <c r="M52" s="145">
        <v>434.33</v>
      </c>
      <c r="N52" s="145">
        <f>+M52*1000/(42.7*10*15*60)*T52</f>
        <v>2.2603695029924538</v>
      </c>
      <c r="O52" s="14">
        <f>+SUM('31:29'!O52)</f>
        <v>0</v>
      </c>
      <c r="P52" s="145">
        <f t="shared" si="2"/>
        <v>0</v>
      </c>
      <c r="Q52" s="14">
        <f>+SUM('31:29'!Q52)</f>
        <v>0</v>
      </c>
      <c r="R52" s="19">
        <f t="shared" si="3"/>
        <v>0</v>
      </c>
      <c r="S52" s="145">
        <f t="shared" si="4"/>
        <v>0</v>
      </c>
      <c r="T52" s="20">
        <v>2</v>
      </c>
      <c r="U52" s="14">
        <f>+SUM('31:29'!U52)</f>
        <v>0</v>
      </c>
      <c r="V52" s="142" t="str">
        <f t="array" ref="V52">IF(ISERROR(L52/K52),"",L52/K52)</f>
        <v/>
      </c>
      <c r="W52" s="14">
        <f>+SUM('31:29'!W52)</f>
        <v>0</v>
      </c>
      <c r="X52" s="14">
        <f>+SUM('31:29'!X52)</f>
        <v>0</v>
      </c>
      <c r="Y52" s="14">
        <f>+SUM('31:29'!Y52)</f>
        <v>0</v>
      </c>
      <c r="Z52" s="14">
        <f>+SUM('31:29'!Z52)</f>
        <v>0</v>
      </c>
      <c r="AA52" s="14">
        <f>+SUM('31:29'!AA52)</f>
        <v>0</v>
      </c>
      <c r="AB52" s="14">
        <f>+SUM('31:29'!AB52)</f>
        <v>0</v>
      </c>
      <c r="AC52" s="14">
        <f>+SUM('31:29'!AC52)</f>
        <v>0</v>
      </c>
    </row>
    <row r="53" spans="1:29" ht="21.95" customHeight="1">
      <c r="A53" s="141">
        <v>300263</v>
      </c>
      <c r="B53" s="135" t="s">
        <v>67</v>
      </c>
      <c r="C53" s="219" t="s">
        <v>73</v>
      </c>
      <c r="D53" s="219"/>
      <c r="E53" s="147" t="s">
        <v>54</v>
      </c>
      <c r="F53" s="13"/>
      <c r="G53" s="14">
        <f>+SUM('31:29'!G53)</f>
        <v>0</v>
      </c>
      <c r="H53" s="14">
        <f>+SUM('31:29'!H53)</f>
        <v>0</v>
      </c>
      <c r="I53" s="14">
        <f>+SUM('31:29'!I53)</f>
        <v>0</v>
      </c>
      <c r="J53" s="14">
        <f>+SUM('31:29'!J53)</f>
        <v>0</v>
      </c>
      <c r="K53" s="145">
        <f t="shared" si="0"/>
        <v>0</v>
      </c>
      <c r="L53" s="145">
        <f t="shared" si="1"/>
        <v>0</v>
      </c>
      <c r="M53" s="145">
        <v>434.33</v>
      </c>
      <c r="N53" s="145">
        <f>+M53*1000/(42.7*10*15*60)*T53</f>
        <v>2.2603695029924538</v>
      </c>
      <c r="O53" s="14">
        <f>+SUM('31:29'!O53)</f>
        <v>0</v>
      </c>
      <c r="P53" s="145">
        <f t="shared" si="2"/>
        <v>0</v>
      </c>
      <c r="Q53" s="14">
        <f>+SUM('31:29'!Q53)</f>
        <v>0</v>
      </c>
      <c r="R53" s="19">
        <f t="shared" si="3"/>
        <v>0</v>
      </c>
      <c r="S53" s="145">
        <f t="shared" si="4"/>
        <v>0</v>
      </c>
      <c r="T53" s="20">
        <v>2</v>
      </c>
      <c r="U53" s="14">
        <f>+SUM('31:29'!U53)</f>
        <v>0</v>
      </c>
      <c r="V53" s="142" t="str">
        <f t="array" ref="V53">IF(ISERROR(L53/K53),"",L53/K53)</f>
        <v/>
      </c>
      <c r="W53" s="14">
        <f>+SUM('31:29'!W53)</f>
        <v>0</v>
      </c>
      <c r="X53" s="14">
        <f>+SUM('31:29'!X53)</f>
        <v>0</v>
      </c>
      <c r="Y53" s="14">
        <f>+SUM('31:29'!Y53)</f>
        <v>0</v>
      </c>
      <c r="Z53" s="14">
        <f>+SUM('31:29'!Z53)</f>
        <v>0</v>
      </c>
      <c r="AA53" s="14">
        <f>+SUM('31:29'!AA53)</f>
        <v>0</v>
      </c>
      <c r="AB53" s="14">
        <f>+SUM('31:29'!AB53)</f>
        <v>0</v>
      </c>
      <c r="AC53" s="14">
        <f>+SUM('31:29'!AC53)</f>
        <v>0</v>
      </c>
    </row>
    <row r="54" spans="1:29" ht="21.95" customHeight="1">
      <c r="A54" s="141">
        <v>300051</v>
      </c>
      <c r="B54" s="135" t="s">
        <v>67</v>
      </c>
      <c r="C54" s="219" t="s">
        <v>75</v>
      </c>
      <c r="D54" s="219" t="s">
        <v>76</v>
      </c>
      <c r="E54" s="147" t="s">
        <v>40</v>
      </c>
      <c r="F54" s="13"/>
      <c r="G54" s="14">
        <f>+SUM('31:29'!G54)</f>
        <v>0</v>
      </c>
      <c r="H54" s="14">
        <f>+SUM('31:29'!H54)</f>
        <v>0</v>
      </c>
      <c r="I54" s="14">
        <f>+SUM('31:29'!I54)</f>
        <v>0</v>
      </c>
      <c r="J54" s="14">
        <f>+SUM('31:29'!J54)</f>
        <v>0</v>
      </c>
      <c r="K54" s="145">
        <f t="shared" si="0"/>
        <v>0</v>
      </c>
      <c r="L54" s="145">
        <f t="shared" si="1"/>
        <v>0</v>
      </c>
      <c r="M54" s="145">
        <v>545.9</v>
      </c>
      <c r="N54" s="145">
        <f>+M54*1000/(41.5*10*16*60)*T54</f>
        <v>2.7404618473895583</v>
      </c>
      <c r="O54" s="14">
        <f>+SUM('31:29'!O54)</f>
        <v>0</v>
      </c>
      <c r="P54" s="145">
        <f t="shared" si="2"/>
        <v>0</v>
      </c>
      <c r="Q54" s="14">
        <f>+SUM('31:29'!Q54)</f>
        <v>0</v>
      </c>
      <c r="R54" s="19">
        <f t="shared" si="3"/>
        <v>0</v>
      </c>
      <c r="S54" s="145">
        <f t="shared" si="4"/>
        <v>0</v>
      </c>
      <c r="T54" s="22">
        <v>2</v>
      </c>
      <c r="U54" s="14">
        <f>+SUM('31:29'!U54)</f>
        <v>0</v>
      </c>
      <c r="V54" s="142" t="str">
        <f t="array" ref="V54">IF(ISERROR(L54/K54),"",L54/K54)</f>
        <v/>
      </c>
      <c r="W54" s="14">
        <f>+SUM('31:29'!W54)</f>
        <v>0</v>
      </c>
      <c r="X54" s="14">
        <f>+SUM('31:29'!X54)</f>
        <v>0</v>
      </c>
      <c r="Y54" s="14">
        <f>+SUM('31:29'!Y54)</f>
        <v>0</v>
      </c>
      <c r="Z54" s="14">
        <f>+SUM('31:29'!Z54)</f>
        <v>0</v>
      </c>
      <c r="AA54" s="14">
        <f>+SUM('31:29'!AA54)</f>
        <v>0</v>
      </c>
      <c r="AB54" s="14">
        <f>+SUM('31:29'!AB54)</f>
        <v>0</v>
      </c>
      <c r="AC54" s="14">
        <f>+SUM('31:29'!AC54)</f>
        <v>0</v>
      </c>
    </row>
    <row r="55" spans="1:29" ht="21.95" customHeight="1">
      <c r="A55" s="141">
        <v>300052</v>
      </c>
      <c r="B55" s="135" t="s">
        <v>67</v>
      </c>
      <c r="C55" s="219" t="s">
        <v>75</v>
      </c>
      <c r="D55" s="219" t="s">
        <v>76</v>
      </c>
      <c r="E55" s="147" t="s">
        <v>39</v>
      </c>
      <c r="F55" s="13"/>
      <c r="G55" s="14">
        <f>+SUM('31:29'!G55)</f>
        <v>0</v>
      </c>
      <c r="H55" s="14">
        <f>+SUM('31:29'!H55)</f>
        <v>0</v>
      </c>
      <c r="I55" s="14">
        <f>+SUM('31:29'!I55)</f>
        <v>0</v>
      </c>
      <c r="J55" s="14">
        <f>+SUM('31:29'!J55)</f>
        <v>0</v>
      </c>
      <c r="K55" s="145">
        <f t="shared" si="0"/>
        <v>0</v>
      </c>
      <c r="L55" s="145">
        <f t="shared" si="1"/>
        <v>0</v>
      </c>
      <c r="M55" s="145">
        <v>545.9</v>
      </c>
      <c r="N55" s="145">
        <f>+M55*1000/(41.5*10*16*60)*T55</f>
        <v>2.7404618473895583</v>
      </c>
      <c r="O55" s="14">
        <f>+SUM('31:29'!O55)</f>
        <v>0</v>
      </c>
      <c r="P55" s="145">
        <f t="shared" si="2"/>
        <v>0</v>
      </c>
      <c r="Q55" s="14">
        <f>+SUM('31:29'!Q55)</f>
        <v>0</v>
      </c>
      <c r="R55" s="19">
        <f t="shared" si="3"/>
        <v>0</v>
      </c>
      <c r="S55" s="145">
        <f t="shared" si="4"/>
        <v>0</v>
      </c>
      <c r="T55" s="20">
        <v>2</v>
      </c>
      <c r="U55" s="14">
        <f>+SUM('31:29'!U55)</f>
        <v>0</v>
      </c>
      <c r="V55" s="142" t="str">
        <f t="array" ref="V55">IF(ISERROR(L55/K55),"",L55/K55)</f>
        <v/>
      </c>
      <c r="W55" s="14">
        <f>+SUM('31:29'!W55)</f>
        <v>0</v>
      </c>
      <c r="X55" s="14">
        <f>+SUM('31:29'!X55)</f>
        <v>0</v>
      </c>
      <c r="Y55" s="14">
        <f>+SUM('31:29'!Y55)</f>
        <v>0</v>
      </c>
      <c r="Z55" s="14">
        <f>+SUM('31:29'!Z55)</f>
        <v>0</v>
      </c>
      <c r="AA55" s="14">
        <f>+SUM('31:29'!AA55)</f>
        <v>0</v>
      </c>
      <c r="AB55" s="14">
        <f>+SUM('31:29'!AB55)</f>
        <v>0</v>
      </c>
      <c r="AC55" s="14">
        <f>+SUM('31:29'!AC55)</f>
        <v>0</v>
      </c>
    </row>
    <row r="56" spans="1:29" ht="21.95" customHeight="1">
      <c r="A56" s="141">
        <v>300054</v>
      </c>
      <c r="B56" s="135" t="s">
        <v>67</v>
      </c>
      <c r="C56" s="219" t="s">
        <v>75</v>
      </c>
      <c r="D56" s="219" t="s">
        <v>76</v>
      </c>
      <c r="E56" s="147" t="s">
        <v>38</v>
      </c>
      <c r="F56" s="13"/>
      <c r="G56" s="14">
        <f>+SUM('31:29'!G56)</f>
        <v>0</v>
      </c>
      <c r="H56" s="14">
        <f>+SUM('31:29'!H56)</f>
        <v>0</v>
      </c>
      <c r="I56" s="14">
        <f>+SUM('31:29'!I56)</f>
        <v>0</v>
      </c>
      <c r="J56" s="14">
        <f>+SUM('31:29'!J56)</f>
        <v>0</v>
      </c>
      <c r="K56" s="145">
        <f t="shared" si="0"/>
        <v>0</v>
      </c>
      <c r="L56" s="145">
        <f t="shared" si="1"/>
        <v>0</v>
      </c>
      <c r="M56" s="145">
        <v>545.9</v>
      </c>
      <c r="N56" s="145">
        <f>+M56*1000/(41.5*10*16*60)*T56</f>
        <v>2.7404618473895583</v>
      </c>
      <c r="O56" s="14">
        <f>+SUM('31:29'!O56)</f>
        <v>0</v>
      </c>
      <c r="P56" s="145">
        <f t="shared" si="2"/>
        <v>0</v>
      </c>
      <c r="Q56" s="14">
        <f>+SUM('31:29'!Q56)</f>
        <v>0</v>
      </c>
      <c r="R56" s="19">
        <f t="shared" si="3"/>
        <v>0</v>
      </c>
      <c r="S56" s="145">
        <f t="shared" si="4"/>
        <v>0</v>
      </c>
      <c r="T56" s="20">
        <v>2</v>
      </c>
      <c r="U56" s="14">
        <f>+SUM('31:29'!U56)</f>
        <v>0</v>
      </c>
      <c r="V56" s="142" t="str">
        <f t="array" ref="V56">IF(ISERROR(L56/K56),"",L56/K56)</f>
        <v/>
      </c>
      <c r="W56" s="14">
        <f>+SUM('31:29'!W56)</f>
        <v>0</v>
      </c>
      <c r="X56" s="14">
        <f>+SUM('31:29'!X56)</f>
        <v>0</v>
      </c>
      <c r="Y56" s="14">
        <f>+SUM('31:29'!Y56)</f>
        <v>0</v>
      </c>
      <c r="Z56" s="14">
        <f>+SUM('31:29'!Z56)</f>
        <v>0</v>
      </c>
      <c r="AA56" s="14">
        <f>+SUM('31:29'!AA56)</f>
        <v>0</v>
      </c>
      <c r="AB56" s="14">
        <f>+SUM('31:29'!AB56)</f>
        <v>0</v>
      </c>
      <c r="AC56" s="14">
        <f>+SUM('31:29'!AC56)</f>
        <v>0</v>
      </c>
    </row>
    <row r="57" spans="1:29" s="132" customFormat="1" ht="21.95" customHeight="1">
      <c r="A57" s="126">
        <v>300436</v>
      </c>
      <c r="B57" s="138" t="s">
        <v>67</v>
      </c>
      <c r="C57" s="232" t="s">
        <v>75</v>
      </c>
      <c r="D57" s="232" t="s">
        <v>76</v>
      </c>
      <c r="E57" s="42" t="s">
        <v>301</v>
      </c>
      <c r="F57" s="127"/>
      <c r="G57" s="14">
        <f>+SUM('31:29'!G57)</f>
        <v>0</v>
      </c>
      <c r="H57" s="14">
        <f>+SUM('31:29'!H57)</f>
        <v>0</v>
      </c>
      <c r="I57" s="14">
        <f>+SUM('31:29'!I57)</f>
        <v>0</v>
      </c>
      <c r="J57" s="14">
        <f>+SUM('31:29'!J57)</f>
        <v>0</v>
      </c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4">
        <f>+SUM('31:29'!O57)</f>
        <v>0</v>
      </c>
      <c r="P57" s="15">
        <f t="shared" si="2"/>
        <v>0</v>
      </c>
      <c r="Q57" s="14">
        <f>+SUM('31:29'!Q57)</f>
        <v>0</v>
      </c>
      <c r="R57" s="129">
        <f t="shared" si="3"/>
        <v>0</v>
      </c>
      <c r="S57" s="15">
        <f t="shared" si="4"/>
        <v>0</v>
      </c>
      <c r="T57" s="130">
        <v>2</v>
      </c>
      <c r="U57" s="14">
        <f>+SUM('31:29'!U57)</f>
        <v>0</v>
      </c>
      <c r="V57" s="131"/>
      <c r="W57" s="14">
        <f>+SUM('31:29'!W57)</f>
        <v>0</v>
      </c>
      <c r="X57" s="14">
        <f>+SUM('31:29'!X57)</f>
        <v>0</v>
      </c>
      <c r="Y57" s="14">
        <f>+SUM('31:29'!Y57)</f>
        <v>0</v>
      </c>
      <c r="Z57" s="14">
        <f>+SUM('31:29'!Z57)</f>
        <v>0</v>
      </c>
      <c r="AA57" s="14">
        <f>+SUM('31:29'!AA57)</f>
        <v>0</v>
      </c>
      <c r="AB57" s="14">
        <f>+SUM('31:29'!AB57)</f>
        <v>0</v>
      </c>
      <c r="AC57" s="14">
        <f>+SUM('31:29'!AC57)</f>
        <v>0</v>
      </c>
    </row>
    <row r="58" spans="1:29" ht="21.95" customHeight="1">
      <c r="A58" s="141">
        <v>300050</v>
      </c>
      <c r="B58" s="135" t="s">
        <v>67</v>
      </c>
      <c r="C58" s="219" t="s">
        <v>77</v>
      </c>
      <c r="D58" s="219" t="s">
        <v>78</v>
      </c>
      <c r="E58" s="147" t="s">
        <v>79</v>
      </c>
      <c r="F58" s="13"/>
      <c r="G58" s="14">
        <f>+SUM('31:29'!G58)</f>
        <v>14.29</v>
      </c>
      <c r="H58" s="14">
        <f>+SUM('31:29'!H58)</f>
        <v>0.2857142857142857</v>
      </c>
      <c r="I58" s="14">
        <f>+SUM('31:29'!I58)</f>
        <v>14.142857142857142</v>
      </c>
      <c r="J58" s="14">
        <f>+SUM('31:29'!J58)</f>
        <v>50</v>
      </c>
      <c r="K58" s="145">
        <f t="shared" si="0"/>
        <v>6108.9749999999995</v>
      </c>
      <c r="L58" s="145">
        <f t="shared" si="1"/>
        <v>6046.0714285714284</v>
      </c>
      <c r="M58" s="145">
        <v>427.5</v>
      </c>
      <c r="N58" s="145">
        <f>+M58*1000/(45*10*14*60)*T58</f>
        <v>5.6547619047619051</v>
      </c>
      <c r="O58" s="14">
        <f>+SUM('31:29'!O58)</f>
        <v>0.5</v>
      </c>
      <c r="P58" s="145">
        <f t="shared" si="2"/>
        <v>84.474489795918373</v>
      </c>
      <c r="Q58" s="14">
        <f>+SUM('31:29'!Q58)</f>
        <v>17</v>
      </c>
      <c r="R58" s="19">
        <f t="shared" si="3"/>
        <v>153</v>
      </c>
      <c r="S58" s="145">
        <f t="shared" si="4"/>
        <v>68.525510204081627</v>
      </c>
      <c r="T58" s="20">
        <v>5</v>
      </c>
      <c r="U58" s="14">
        <f>+SUM('31:29'!U58)</f>
        <v>9</v>
      </c>
      <c r="V58" s="142">
        <f t="array" ref="V58">IF(ISERROR(L58/K58),"",L58/K58)</f>
        <v>0.98970308907327809</v>
      </c>
      <c r="W58" s="14">
        <f>+SUM('31:29'!W58)</f>
        <v>0</v>
      </c>
      <c r="X58" s="14">
        <f>+SUM('31:29'!X58)</f>
        <v>0</v>
      </c>
      <c r="Y58" s="14">
        <f>+SUM('31:29'!Y58)</f>
        <v>0</v>
      </c>
      <c r="Z58" s="14">
        <f>+SUM('31:29'!Z58)</f>
        <v>0</v>
      </c>
      <c r="AA58" s="14">
        <f>+SUM('31:29'!AA58)</f>
        <v>0</v>
      </c>
      <c r="AB58" s="14">
        <f>+SUM('31:29'!AB58)</f>
        <v>0</v>
      </c>
      <c r="AC58" s="14">
        <f>+SUM('31:29'!AC58)</f>
        <v>0</v>
      </c>
    </row>
    <row r="59" spans="1:29" ht="21.95" customHeight="1">
      <c r="A59" s="141">
        <v>300045</v>
      </c>
      <c r="B59" s="135" t="s">
        <v>67</v>
      </c>
      <c r="C59" s="219" t="s">
        <v>77</v>
      </c>
      <c r="D59" s="219" t="s">
        <v>78</v>
      </c>
      <c r="E59" s="147" t="s">
        <v>35</v>
      </c>
      <c r="F59" s="13"/>
      <c r="G59" s="14">
        <f>+SUM('31:29'!G59)</f>
        <v>7</v>
      </c>
      <c r="H59" s="14">
        <f>+SUM('31:29'!H59)</f>
        <v>0</v>
      </c>
      <c r="I59" s="14">
        <f>+SUM('31:29'!I59)</f>
        <v>7</v>
      </c>
      <c r="J59" s="14">
        <f>+SUM('31:29'!J59)</f>
        <v>0</v>
      </c>
      <c r="K59" s="145">
        <f t="shared" si="0"/>
        <v>2846.2000000000003</v>
      </c>
      <c r="L59" s="145">
        <f t="shared" si="1"/>
        <v>2846.2000000000003</v>
      </c>
      <c r="M59" s="15">
        <v>406.6</v>
      </c>
      <c r="N59" s="145">
        <f>+M59*1000/(45*10*13*60)*T59</f>
        <v>5.7920227920227916</v>
      </c>
      <c r="O59" s="14">
        <f>+SUM('31:29'!O59)</f>
        <v>0</v>
      </c>
      <c r="P59" s="145">
        <f t="shared" si="2"/>
        <v>40.544159544159541</v>
      </c>
      <c r="Q59" s="14">
        <f>+SUM('31:29'!Q59)</f>
        <v>9.5</v>
      </c>
      <c r="R59" s="19">
        <f t="shared" si="3"/>
        <v>47.5</v>
      </c>
      <c r="S59" s="145">
        <f t="shared" si="4"/>
        <v>6.955840455840459</v>
      </c>
      <c r="T59" s="20">
        <v>5</v>
      </c>
      <c r="U59" s="14">
        <f>+SUM('31:29'!U59)</f>
        <v>5</v>
      </c>
      <c r="V59" s="142">
        <f t="array" ref="V59">IF(ISERROR(L59/K59),"",L59/K59)</f>
        <v>1</v>
      </c>
      <c r="W59" s="14">
        <f>+SUM('31:29'!W59)</f>
        <v>0</v>
      </c>
      <c r="X59" s="14">
        <f>+SUM('31:29'!X59)</f>
        <v>0</v>
      </c>
      <c r="Y59" s="14">
        <f>+SUM('31:29'!Y59)</f>
        <v>0</v>
      </c>
      <c r="Z59" s="14">
        <f>+SUM('31:29'!Z59)</f>
        <v>0</v>
      </c>
      <c r="AA59" s="14">
        <f>+SUM('31:29'!AA59)</f>
        <v>0</v>
      </c>
      <c r="AB59" s="14">
        <f>+SUM('31:29'!AB59)</f>
        <v>0</v>
      </c>
      <c r="AC59" s="14">
        <f>+SUM('31:29'!AC59)</f>
        <v>0</v>
      </c>
    </row>
    <row r="60" spans="1:29" ht="21.95" customHeight="1">
      <c r="A60" s="141">
        <v>300422</v>
      </c>
      <c r="B60" s="135" t="s">
        <v>67</v>
      </c>
      <c r="C60" s="230" t="s">
        <v>293</v>
      </c>
      <c r="D60" s="231"/>
      <c r="E60" s="147" t="s">
        <v>54</v>
      </c>
      <c r="F60" s="13"/>
      <c r="G60" s="14">
        <f>+SUM('31:29'!G60)</f>
        <v>0</v>
      </c>
      <c r="H60" s="14">
        <f>+SUM('31:29'!H60)</f>
        <v>0</v>
      </c>
      <c r="I60" s="14">
        <f>+SUM('31:29'!I60)</f>
        <v>0</v>
      </c>
      <c r="J60" s="14">
        <f>+SUM('31:29'!J60)</f>
        <v>0</v>
      </c>
      <c r="K60" s="145">
        <f t="shared" si="0"/>
        <v>0</v>
      </c>
      <c r="L60" s="145">
        <f t="shared" si="1"/>
        <v>0</v>
      </c>
      <c r="M60" s="15">
        <v>429.8</v>
      </c>
      <c r="N60" s="145">
        <f>+M60*1000/(45*10*13*60)*T60</f>
        <v>3.6735042735042738</v>
      </c>
      <c r="O60" s="14">
        <f>+SUM('31:29'!O60)</f>
        <v>0</v>
      </c>
      <c r="P60" s="145">
        <f t="shared" si="2"/>
        <v>0</v>
      </c>
      <c r="Q60" s="14">
        <f>+SUM('31:29'!Q60)</f>
        <v>0</v>
      </c>
      <c r="R60" s="19">
        <f t="shared" si="3"/>
        <v>0</v>
      </c>
      <c r="S60" s="145">
        <f t="shared" si="4"/>
        <v>0</v>
      </c>
      <c r="T60" s="20">
        <v>3</v>
      </c>
      <c r="U60" s="14">
        <f>+SUM('31:29'!U60)</f>
        <v>0</v>
      </c>
      <c r="V60" s="142"/>
      <c r="W60" s="14">
        <f>+SUM('31:29'!W60)</f>
        <v>0</v>
      </c>
      <c r="X60" s="14">
        <f>+SUM('31:29'!X60)</f>
        <v>0</v>
      </c>
      <c r="Y60" s="14">
        <f>+SUM('31:29'!Y60)</f>
        <v>0</v>
      </c>
      <c r="Z60" s="14">
        <f>+SUM('31:29'!Z60)</f>
        <v>0</v>
      </c>
      <c r="AA60" s="14">
        <f>+SUM('31:29'!AA60)</f>
        <v>0</v>
      </c>
      <c r="AB60" s="14">
        <f>+SUM('31:29'!AB60)</f>
        <v>0</v>
      </c>
      <c r="AC60" s="14">
        <f>+SUM('31:29'!AC60)</f>
        <v>0</v>
      </c>
    </row>
    <row r="61" spans="1:29" ht="21.95" customHeight="1">
      <c r="A61" s="141">
        <v>300421</v>
      </c>
      <c r="B61" s="135" t="s">
        <v>67</v>
      </c>
      <c r="C61" s="230" t="s">
        <v>293</v>
      </c>
      <c r="D61" s="231"/>
      <c r="E61" s="147" t="s">
        <v>80</v>
      </c>
      <c r="F61" s="13"/>
      <c r="G61" s="14">
        <f>+SUM('31:29'!G61)</f>
        <v>1.86</v>
      </c>
      <c r="H61" s="14">
        <f>+SUM('31:29'!H61)</f>
        <v>0.8571428571428571</v>
      </c>
      <c r="I61" s="14">
        <f>+SUM('31:29'!I61)</f>
        <v>1.8571428571428572</v>
      </c>
      <c r="J61" s="14">
        <f>+SUM('31:29'!J61)</f>
        <v>0</v>
      </c>
      <c r="K61" s="145">
        <f t="shared" si="0"/>
        <v>799.42800000000011</v>
      </c>
      <c r="L61" s="145">
        <f t="shared" si="1"/>
        <v>798.2</v>
      </c>
      <c r="M61" s="15">
        <v>429.8</v>
      </c>
      <c r="N61" s="145">
        <f>+M61*1000/(45*10*13*60)*T61</f>
        <v>3.6735042735042738</v>
      </c>
      <c r="O61" s="14">
        <f>+SUM('31:29'!O61)</f>
        <v>0</v>
      </c>
      <c r="P61" s="145">
        <f t="shared" si="2"/>
        <v>6.8222222222222229</v>
      </c>
      <c r="Q61" s="14">
        <f>+SUM('31:29'!Q61)</f>
        <v>5</v>
      </c>
      <c r="R61" s="19">
        <f t="shared" si="3"/>
        <v>25</v>
      </c>
      <c r="S61" s="145">
        <f t="shared" si="4"/>
        <v>18.177777777777777</v>
      </c>
      <c r="T61" s="20">
        <v>3</v>
      </c>
      <c r="U61" s="14">
        <f>+SUM('31:29'!U61)</f>
        <v>5</v>
      </c>
      <c r="V61" s="142"/>
      <c r="W61" s="14">
        <f>+SUM('31:29'!W61)</f>
        <v>0</v>
      </c>
      <c r="X61" s="14">
        <f>+SUM('31:29'!X61)</f>
        <v>5.4166666666666661</v>
      </c>
      <c r="Y61" s="14">
        <f>+SUM('31:29'!Y61)</f>
        <v>0</v>
      </c>
      <c r="Z61" s="14">
        <f>+SUM('31:29'!Z61)</f>
        <v>0</v>
      </c>
      <c r="AA61" s="14">
        <f>+SUM('31:29'!AA61)</f>
        <v>0</v>
      </c>
      <c r="AB61" s="14">
        <f>+SUM('31:29'!AB61)</f>
        <v>0</v>
      </c>
      <c r="AC61" s="14">
        <f>+SUM('31:29'!AC61)</f>
        <v>0</v>
      </c>
    </row>
    <row r="62" spans="1:29" ht="21.95" customHeight="1">
      <c r="A62" s="141">
        <v>300149</v>
      </c>
      <c r="B62" s="135" t="s">
        <v>67</v>
      </c>
      <c r="C62" s="219" t="s">
        <v>81</v>
      </c>
      <c r="D62" s="219" t="s">
        <v>82</v>
      </c>
      <c r="E62" s="147" t="s">
        <v>80</v>
      </c>
      <c r="F62" s="13"/>
      <c r="G62" s="14">
        <f>+SUM('31:29'!G62)</f>
        <v>1</v>
      </c>
      <c r="H62" s="14">
        <f>+SUM('31:29'!H62)</f>
        <v>0</v>
      </c>
      <c r="I62" s="14">
        <f>+SUM('31:29'!I62)</f>
        <v>1</v>
      </c>
      <c r="J62" s="14">
        <f>+SUM('31:29'!J62)</f>
        <v>0</v>
      </c>
      <c r="K62" s="145">
        <f t="shared" si="0"/>
        <v>589.1</v>
      </c>
      <c r="L62" s="145">
        <f t="shared" si="1"/>
        <v>589.1</v>
      </c>
      <c r="M62" s="145">
        <v>589.1</v>
      </c>
      <c r="N62" s="145">
        <f>+M62*1000/(67.1*10*13*60)*T62</f>
        <v>3.3767052619511633</v>
      </c>
      <c r="O62" s="14">
        <f>+SUM('31:29'!O62)</f>
        <v>0.5</v>
      </c>
      <c r="P62" s="145">
        <f t="shared" si="2"/>
        <v>5.8767052619511633</v>
      </c>
      <c r="Q62" s="14">
        <f>+SUM('31:29'!Q62)</f>
        <v>1.5</v>
      </c>
      <c r="R62" s="19">
        <f t="shared" si="3"/>
        <v>7.5</v>
      </c>
      <c r="S62" s="145">
        <f t="shared" si="4"/>
        <v>1.6232947380488367</v>
      </c>
      <c r="T62" s="20">
        <v>3</v>
      </c>
      <c r="U62" s="14">
        <f>+SUM('31:29'!U62)</f>
        <v>5</v>
      </c>
      <c r="V62" s="142">
        <f t="array" ref="V62">IF(ISERROR(L62/K62),"",L62/K62)</f>
        <v>1</v>
      </c>
      <c r="W62" s="14">
        <f>+SUM('31:29'!W62)</f>
        <v>0</v>
      </c>
      <c r="X62" s="14">
        <f>+SUM('31:29'!X62)</f>
        <v>0</v>
      </c>
      <c r="Y62" s="14">
        <f>+SUM('31:29'!Y62)</f>
        <v>0</v>
      </c>
      <c r="Z62" s="14">
        <f>+SUM('31:29'!Z62)</f>
        <v>0</v>
      </c>
      <c r="AA62" s="14">
        <f>+SUM('31:29'!AA62)</f>
        <v>0</v>
      </c>
      <c r="AB62" s="14">
        <f>+SUM('31:29'!AB62)</f>
        <v>0</v>
      </c>
      <c r="AC62" s="14">
        <f>+SUM('31:29'!AC62)</f>
        <v>0</v>
      </c>
    </row>
    <row r="63" spans="1:29" ht="21.95" customHeight="1">
      <c r="A63" s="141">
        <v>300150</v>
      </c>
      <c r="B63" s="135" t="s">
        <v>67</v>
      </c>
      <c r="C63" s="219" t="s">
        <v>81</v>
      </c>
      <c r="D63" s="219" t="s">
        <v>82</v>
      </c>
      <c r="E63" s="147" t="s">
        <v>54</v>
      </c>
      <c r="F63" s="13"/>
      <c r="G63" s="14">
        <f>+SUM('31:29'!G63)</f>
        <v>0</v>
      </c>
      <c r="H63" s="14">
        <f>+SUM('31:29'!H63)</f>
        <v>0</v>
      </c>
      <c r="I63" s="14">
        <f>+SUM('31:29'!I63)</f>
        <v>0</v>
      </c>
      <c r="J63" s="14">
        <f>+SUM('31:29'!J63)</f>
        <v>0</v>
      </c>
      <c r="K63" s="145">
        <f t="shared" si="0"/>
        <v>0</v>
      </c>
      <c r="L63" s="145">
        <f t="shared" si="1"/>
        <v>0</v>
      </c>
      <c r="M63" s="145">
        <v>589.1</v>
      </c>
      <c r="N63" s="145">
        <f>+M63*1000/(67.1*10*13*60)*T63</f>
        <v>3.3767052619511633</v>
      </c>
      <c r="O63" s="14">
        <f>+SUM('31:29'!O63)</f>
        <v>0</v>
      </c>
      <c r="P63" s="145">
        <f t="shared" si="2"/>
        <v>0</v>
      </c>
      <c r="Q63" s="14">
        <f>+SUM('31:29'!Q63)</f>
        <v>0</v>
      </c>
      <c r="R63" s="19">
        <f t="shared" si="3"/>
        <v>0</v>
      </c>
      <c r="S63" s="145">
        <f t="shared" si="4"/>
        <v>0</v>
      </c>
      <c r="T63" s="20">
        <v>3</v>
      </c>
      <c r="U63" s="14">
        <f>+SUM('31:29'!U63)</f>
        <v>0</v>
      </c>
      <c r="V63" s="142" t="str">
        <f t="array" ref="V63">IF(ISERROR(L63/K63),"",L63/K63)</f>
        <v/>
      </c>
      <c r="W63" s="14">
        <f>+SUM('31:29'!W63)</f>
        <v>0</v>
      </c>
      <c r="X63" s="14">
        <f>+SUM('31:29'!X63)</f>
        <v>0</v>
      </c>
      <c r="Y63" s="14">
        <f>+SUM('31:29'!Y63)</f>
        <v>0</v>
      </c>
      <c r="Z63" s="14">
        <f>+SUM('31:29'!Z63)</f>
        <v>0</v>
      </c>
      <c r="AA63" s="14">
        <f>+SUM('31:29'!AA63)</f>
        <v>0</v>
      </c>
      <c r="AB63" s="14">
        <f>+SUM('31:29'!AB63)</f>
        <v>0</v>
      </c>
      <c r="AC63" s="14">
        <f>+SUM('31:29'!AC63)</f>
        <v>0</v>
      </c>
    </row>
    <row r="64" spans="1:29" ht="21.95" customHeight="1">
      <c r="A64" s="141">
        <v>300330</v>
      </c>
      <c r="B64" s="135" t="s">
        <v>67</v>
      </c>
      <c r="C64" s="230" t="s">
        <v>83</v>
      </c>
      <c r="D64" s="231"/>
      <c r="E64" s="147" t="s">
        <v>84</v>
      </c>
      <c r="F64" s="13"/>
      <c r="G64" s="14">
        <f>+SUM('31:29'!G64)</f>
        <v>0</v>
      </c>
      <c r="H64" s="14">
        <f>+SUM('31:29'!H64)</f>
        <v>0</v>
      </c>
      <c r="I64" s="14">
        <f>+SUM('31:29'!I64)</f>
        <v>0</v>
      </c>
      <c r="J64" s="14">
        <f>+SUM('31:29'!J64)</f>
        <v>0</v>
      </c>
      <c r="K64" s="145">
        <f t="shared" si="0"/>
        <v>0</v>
      </c>
      <c r="L64" s="145">
        <f t="shared" si="1"/>
        <v>0</v>
      </c>
      <c r="M64" s="145">
        <v>416.3</v>
      </c>
      <c r="N64" s="145">
        <f t="shared" ref="N64:N70" si="6">+M64*1000/(45*10*18*60)*T64</f>
        <v>1.7131687242798355</v>
      </c>
      <c r="O64" s="14">
        <f>+SUM('31:29'!O64)</f>
        <v>0</v>
      </c>
      <c r="P64" s="145">
        <f t="shared" si="2"/>
        <v>0</v>
      </c>
      <c r="Q64" s="14">
        <f>+SUM('31:29'!Q64)</f>
        <v>0</v>
      </c>
      <c r="R64" s="19">
        <f t="shared" si="3"/>
        <v>0</v>
      </c>
      <c r="S64" s="145">
        <f t="shared" si="4"/>
        <v>0</v>
      </c>
      <c r="T64" s="20">
        <v>2</v>
      </c>
      <c r="U64" s="14">
        <f>+SUM('31:29'!U64)</f>
        <v>0</v>
      </c>
      <c r="V64" s="142" t="str">
        <f t="array" ref="V64">IF(ISERROR(L64/K64),"",L64/K64)</f>
        <v/>
      </c>
      <c r="W64" s="14">
        <f>+SUM('31:29'!W64)</f>
        <v>0</v>
      </c>
      <c r="X64" s="14">
        <f>+SUM('31:29'!X64)</f>
        <v>0</v>
      </c>
      <c r="Y64" s="14">
        <f>+SUM('31:29'!Y64)</f>
        <v>0</v>
      </c>
      <c r="Z64" s="14">
        <f>+SUM('31:29'!Z64)</f>
        <v>0</v>
      </c>
      <c r="AA64" s="14">
        <f>+SUM('31:29'!AA64)</f>
        <v>0</v>
      </c>
      <c r="AB64" s="14">
        <f>+SUM('31:29'!AB64)</f>
        <v>0</v>
      </c>
      <c r="AC64" s="14">
        <f>+SUM('31:29'!AC64)</f>
        <v>0</v>
      </c>
    </row>
    <row r="65" spans="1:29" ht="21.95" customHeight="1">
      <c r="A65" s="141">
        <v>300331</v>
      </c>
      <c r="B65" s="135" t="s">
        <v>67</v>
      </c>
      <c r="C65" s="230" t="s">
        <v>83</v>
      </c>
      <c r="D65" s="231"/>
      <c r="E65" s="147" t="s">
        <v>49</v>
      </c>
      <c r="F65" s="13"/>
      <c r="G65" s="14">
        <f>+SUM('31:29'!G65)</f>
        <v>0</v>
      </c>
      <c r="H65" s="14">
        <f>+SUM('31:29'!H65)</f>
        <v>0</v>
      </c>
      <c r="I65" s="14">
        <f>+SUM('31:29'!I65)</f>
        <v>0</v>
      </c>
      <c r="J65" s="14">
        <f>+SUM('31:29'!J65)</f>
        <v>0</v>
      </c>
      <c r="K65" s="145">
        <f t="shared" si="0"/>
        <v>0</v>
      </c>
      <c r="L65" s="145">
        <f t="shared" si="1"/>
        <v>0</v>
      </c>
      <c r="M65" s="145">
        <v>416.3</v>
      </c>
      <c r="N65" s="145">
        <f t="shared" si="6"/>
        <v>1.7131687242798355</v>
      </c>
      <c r="O65" s="14">
        <f>+SUM('31:29'!O65)</f>
        <v>0</v>
      </c>
      <c r="P65" s="145">
        <f t="shared" si="2"/>
        <v>0</v>
      </c>
      <c r="Q65" s="14">
        <f>+SUM('31:29'!Q65)</f>
        <v>0</v>
      </c>
      <c r="R65" s="19">
        <f t="shared" si="3"/>
        <v>0</v>
      </c>
      <c r="S65" s="145">
        <f t="shared" si="4"/>
        <v>0</v>
      </c>
      <c r="T65" s="20">
        <v>2</v>
      </c>
      <c r="U65" s="14">
        <f>+SUM('31:29'!U65)</f>
        <v>0</v>
      </c>
      <c r="V65" s="142"/>
      <c r="W65" s="14">
        <f>+SUM('31:29'!W65)</f>
        <v>0</v>
      </c>
      <c r="X65" s="14">
        <f>+SUM('31:29'!X65)</f>
        <v>0</v>
      </c>
      <c r="Y65" s="14">
        <f>+SUM('31:29'!Y65)</f>
        <v>0</v>
      </c>
      <c r="Z65" s="14">
        <f>+SUM('31:29'!Z65)</f>
        <v>0</v>
      </c>
      <c r="AA65" s="14">
        <f>+SUM('31:29'!AA65)</f>
        <v>0</v>
      </c>
      <c r="AB65" s="14">
        <f>+SUM('31:29'!AB65)</f>
        <v>0</v>
      </c>
      <c r="AC65" s="14">
        <f>+SUM('31:29'!AC65)</f>
        <v>0</v>
      </c>
    </row>
    <row r="66" spans="1:29" ht="21.95" customHeight="1">
      <c r="A66" s="141">
        <v>300332</v>
      </c>
      <c r="B66" s="135" t="s">
        <v>67</v>
      </c>
      <c r="C66" s="230" t="s">
        <v>83</v>
      </c>
      <c r="D66" s="231"/>
      <c r="E66" s="147" t="s">
        <v>85</v>
      </c>
      <c r="F66" s="13"/>
      <c r="G66" s="14">
        <f>+SUM('31:29'!G66)</f>
        <v>0</v>
      </c>
      <c r="H66" s="14">
        <f>+SUM('31:29'!H66)</f>
        <v>0</v>
      </c>
      <c r="I66" s="14">
        <f>+SUM('31:29'!I66)</f>
        <v>0</v>
      </c>
      <c r="J66" s="14">
        <f>+SUM('31:29'!J66)</f>
        <v>0</v>
      </c>
      <c r="K66" s="145">
        <f t="shared" si="0"/>
        <v>0</v>
      </c>
      <c r="L66" s="145">
        <f t="shared" si="1"/>
        <v>0</v>
      </c>
      <c r="M66" s="145">
        <v>416.3</v>
      </c>
      <c r="N66" s="145">
        <f t="shared" si="6"/>
        <v>1.7131687242798355</v>
      </c>
      <c r="O66" s="14">
        <f>+SUM('31:29'!O66)</f>
        <v>0</v>
      </c>
      <c r="P66" s="145">
        <f t="shared" si="2"/>
        <v>0</v>
      </c>
      <c r="Q66" s="14">
        <f>+SUM('31:29'!Q66)</f>
        <v>0</v>
      </c>
      <c r="R66" s="19">
        <f t="shared" si="3"/>
        <v>0</v>
      </c>
      <c r="S66" s="145">
        <f t="shared" si="4"/>
        <v>0</v>
      </c>
      <c r="T66" s="20">
        <v>2</v>
      </c>
      <c r="U66" s="14">
        <f>+SUM('31:29'!U66)</f>
        <v>0</v>
      </c>
      <c r="V66" s="142"/>
      <c r="W66" s="14">
        <f>+SUM('31:29'!W66)</f>
        <v>0</v>
      </c>
      <c r="X66" s="14">
        <f>+SUM('31:29'!X66)</f>
        <v>0</v>
      </c>
      <c r="Y66" s="14">
        <f>+SUM('31:29'!Y66)</f>
        <v>0</v>
      </c>
      <c r="Z66" s="14">
        <f>+SUM('31:29'!Z66)</f>
        <v>0</v>
      </c>
      <c r="AA66" s="14">
        <f>+SUM('31:29'!AA66)</f>
        <v>0</v>
      </c>
      <c r="AB66" s="14">
        <f>+SUM('31:29'!AB66)</f>
        <v>0</v>
      </c>
      <c r="AC66" s="14">
        <f>+SUM('31:29'!AC66)</f>
        <v>0</v>
      </c>
    </row>
    <row r="67" spans="1:29" ht="21.95" customHeight="1">
      <c r="A67" s="141">
        <v>300333</v>
      </c>
      <c r="B67" s="135" t="s">
        <v>67</v>
      </c>
      <c r="C67" s="230" t="s">
        <v>86</v>
      </c>
      <c r="D67" s="231"/>
      <c r="E67" s="147" t="s">
        <v>84</v>
      </c>
      <c r="F67" s="13"/>
      <c r="G67" s="14">
        <f>+SUM('31:29'!G67)</f>
        <v>0</v>
      </c>
      <c r="H67" s="14">
        <f>+SUM('31:29'!H67)</f>
        <v>0</v>
      </c>
      <c r="I67" s="14">
        <f>+SUM('31:29'!I67)</f>
        <v>0</v>
      </c>
      <c r="J67" s="14">
        <f>+SUM('31:29'!J67)</f>
        <v>0</v>
      </c>
      <c r="K67" s="145">
        <f t="shared" si="0"/>
        <v>0</v>
      </c>
      <c r="L67" s="145">
        <f t="shared" si="1"/>
        <v>0</v>
      </c>
      <c r="M67" s="145">
        <v>416.3</v>
      </c>
      <c r="N67" s="145">
        <f t="shared" si="6"/>
        <v>1.7131687242798355</v>
      </c>
      <c r="O67" s="14">
        <f>+SUM('31:29'!O67)</f>
        <v>0</v>
      </c>
      <c r="P67" s="145">
        <f t="shared" si="2"/>
        <v>0</v>
      </c>
      <c r="Q67" s="14">
        <f>+SUM('31:29'!Q67)</f>
        <v>0</v>
      </c>
      <c r="R67" s="19">
        <f t="shared" si="3"/>
        <v>0</v>
      </c>
      <c r="S67" s="145">
        <f t="shared" si="4"/>
        <v>0</v>
      </c>
      <c r="T67" s="20">
        <v>2</v>
      </c>
      <c r="U67" s="14">
        <f>+SUM('31:29'!U67)</f>
        <v>0</v>
      </c>
      <c r="V67" s="142"/>
      <c r="W67" s="14">
        <f>+SUM('31:29'!W67)</f>
        <v>0</v>
      </c>
      <c r="X67" s="14">
        <f>+SUM('31:29'!X67)</f>
        <v>0</v>
      </c>
      <c r="Y67" s="14">
        <f>+SUM('31:29'!Y67)</f>
        <v>0</v>
      </c>
      <c r="Z67" s="14">
        <f>+SUM('31:29'!Z67)</f>
        <v>0</v>
      </c>
      <c r="AA67" s="14">
        <f>+SUM('31:29'!AA67)</f>
        <v>0</v>
      </c>
      <c r="AB67" s="14">
        <f>+SUM('31:29'!AB67)</f>
        <v>0</v>
      </c>
      <c r="AC67" s="14">
        <f>+SUM('31:29'!AC67)</f>
        <v>0</v>
      </c>
    </row>
    <row r="68" spans="1:29" ht="21.95" customHeight="1">
      <c r="A68" s="141">
        <v>300334</v>
      </c>
      <c r="B68" s="135" t="s">
        <v>67</v>
      </c>
      <c r="C68" s="230" t="s">
        <v>86</v>
      </c>
      <c r="D68" s="231"/>
      <c r="E68" s="147" t="s">
        <v>85</v>
      </c>
      <c r="F68" s="13"/>
      <c r="G68" s="14">
        <f>+SUM('31:29'!G68)</f>
        <v>0</v>
      </c>
      <c r="H68" s="14">
        <f>+SUM('31:29'!H68)</f>
        <v>0</v>
      </c>
      <c r="I68" s="14">
        <f>+SUM('31:29'!I68)</f>
        <v>0</v>
      </c>
      <c r="J68" s="14">
        <f>+SUM('31:29'!J68)</f>
        <v>0</v>
      </c>
      <c r="K68" s="145">
        <f t="shared" si="0"/>
        <v>0</v>
      </c>
      <c r="L68" s="145">
        <f t="shared" si="1"/>
        <v>0</v>
      </c>
      <c r="M68" s="145">
        <v>416.3</v>
      </c>
      <c r="N68" s="145">
        <f t="shared" si="6"/>
        <v>1.7131687242798355</v>
      </c>
      <c r="O68" s="14">
        <f>+SUM('31:29'!O68)</f>
        <v>0</v>
      </c>
      <c r="P68" s="145">
        <f t="shared" si="2"/>
        <v>0</v>
      </c>
      <c r="Q68" s="14">
        <f>+SUM('31:29'!Q68)</f>
        <v>0</v>
      </c>
      <c r="R68" s="19">
        <f t="shared" si="3"/>
        <v>0</v>
      </c>
      <c r="S68" s="145">
        <f t="shared" si="4"/>
        <v>0</v>
      </c>
      <c r="T68" s="20">
        <v>2</v>
      </c>
      <c r="U68" s="14">
        <f>+SUM('31:29'!U68)</f>
        <v>0</v>
      </c>
      <c r="V68" s="142"/>
      <c r="W68" s="14">
        <f>+SUM('31:29'!W68)</f>
        <v>0</v>
      </c>
      <c r="X68" s="14">
        <f>+SUM('31:29'!X68)</f>
        <v>0</v>
      </c>
      <c r="Y68" s="14">
        <f>+SUM('31:29'!Y68)</f>
        <v>0</v>
      </c>
      <c r="Z68" s="14">
        <f>+SUM('31:29'!Z68)</f>
        <v>0</v>
      </c>
      <c r="AA68" s="14">
        <f>+SUM('31:29'!AA68)</f>
        <v>0</v>
      </c>
      <c r="AB68" s="14">
        <f>+SUM('31:29'!AB68)</f>
        <v>0</v>
      </c>
      <c r="AC68" s="14">
        <f>+SUM('31:29'!AC68)</f>
        <v>0</v>
      </c>
    </row>
    <row r="69" spans="1:29" ht="21.95" customHeight="1">
      <c r="A69" s="141">
        <v>300335</v>
      </c>
      <c r="B69" s="135" t="s">
        <v>67</v>
      </c>
      <c r="C69" s="230" t="s">
        <v>86</v>
      </c>
      <c r="D69" s="231"/>
      <c r="E69" s="147" t="s">
        <v>49</v>
      </c>
      <c r="F69" s="13"/>
      <c r="G69" s="14">
        <f>+SUM('31:29'!G69)</f>
        <v>0</v>
      </c>
      <c r="H69" s="14">
        <f>+SUM('31:29'!H69)</f>
        <v>0</v>
      </c>
      <c r="I69" s="14">
        <f>+SUM('31:29'!I69)</f>
        <v>0</v>
      </c>
      <c r="J69" s="14">
        <f>+SUM('31:29'!J69)</f>
        <v>0</v>
      </c>
      <c r="K69" s="145">
        <f t="shared" si="0"/>
        <v>0</v>
      </c>
      <c r="L69" s="145">
        <f t="shared" si="1"/>
        <v>0</v>
      </c>
      <c r="M69" s="145">
        <v>416.3</v>
      </c>
      <c r="N69" s="145">
        <f t="shared" si="6"/>
        <v>1.7131687242798355</v>
      </c>
      <c r="O69" s="14">
        <f>+SUM('31:29'!O69)</f>
        <v>0</v>
      </c>
      <c r="P69" s="145">
        <f t="shared" si="2"/>
        <v>0</v>
      </c>
      <c r="Q69" s="14">
        <f>+SUM('31:29'!Q69)</f>
        <v>0</v>
      </c>
      <c r="R69" s="19">
        <f t="shared" si="3"/>
        <v>0</v>
      </c>
      <c r="S69" s="145">
        <f t="shared" si="4"/>
        <v>0</v>
      </c>
      <c r="T69" s="20">
        <v>2</v>
      </c>
      <c r="U69" s="14">
        <f>+SUM('31:29'!U69)</f>
        <v>0</v>
      </c>
      <c r="V69" s="142"/>
      <c r="W69" s="14">
        <f>+SUM('31:29'!W69)</f>
        <v>0</v>
      </c>
      <c r="X69" s="14">
        <f>+SUM('31:29'!X69)</f>
        <v>0</v>
      </c>
      <c r="Y69" s="14">
        <f>+SUM('31:29'!Y69)</f>
        <v>0</v>
      </c>
      <c r="Z69" s="14">
        <f>+SUM('31:29'!Z69)</f>
        <v>0</v>
      </c>
      <c r="AA69" s="14">
        <f>+SUM('31:29'!AA69)</f>
        <v>0</v>
      </c>
      <c r="AB69" s="14">
        <f>+SUM('31:29'!AB69)</f>
        <v>0</v>
      </c>
      <c r="AC69" s="14">
        <f>+SUM('31:29'!AC69)</f>
        <v>0</v>
      </c>
    </row>
    <row r="70" spans="1:29" ht="21.95" customHeight="1">
      <c r="A70" s="141">
        <v>300291</v>
      </c>
      <c r="B70" s="135" t="s">
        <v>87</v>
      </c>
      <c r="C70" s="219" t="s">
        <v>88</v>
      </c>
      <c r="D70" s="219" t="s">
        <v>89</v>
      </c>
      <c r="E70" s="147" t="s">
        <v>42</v>
      </c>
      <c r="F70" s="13"/>
      <c r="G70" s="14">
        <f>+SUM('31:29'!G70)</f>
        <v>0</v>
      </c>
      <c r="H70" s="14">
        <f>+SUM('31:29'!H70)</f>
        <v>0</v>
      </c>
      <c r="I70" s="14">
        <f>+SUM('31:29'!I70)</f>
        <v>0</v>
      </c>
      <c r="J70" s="14">
        <f>+SUM('31:29'!J70)</f>
        <v>0</v>
      </c>
      <c r="K70" s="145">
        <f t="shared" si="0"/>
        <v>0</v>
      </c>
      <c r="L70" s="145">
        <f t="shared" si="1"/>
        <v>0</v>
      </c>
      <c r="M70" s="145">
        <v>517.79999999999995</v>
      </c>
      <c r="N70" s="145">
        <f t="shared" si="6"/>
        <v>4.261728395061728</v>
      </c>
      <c r="O70" s="14">
        <f>+SUM('31:29'!O70)</f>
        <v>0</v>
      </c>
      <c r="P70" s="145">
        <f t="shared" si="2"/>
        <v>0</v>
      </c>
      <c r="Q70" s="14">
        <f>+SUM('31:29'!Q70)</f>
        <v>0</v>
      </c>
      <c r="R70" s="19">
        <f t="shared" si="3"/>
        <v>0</v>
      </c>
      <c r="S70" s="145">
        <f t="shared" si="4"/>
        <v>0</v>
      </c>
      <c r="T70" s="20">
        <v>4</v>
      </c>
      <c r="U70" s="14">
        <f>+SUM('31:29'!U70)</f>
        <v>0</v>
      </c>
      <c r="V70" s="142" t="str">
        <f t="array" ref="V70">IF(ISERROR(L70/K70),"",L70/K70)</f>
        <v/>
      </c>
      <c r="W70" s="14">
        <f>+SUM('31:29'!W70)</f>
        <v>0</v>
      </c>
      <c r="X70" s="14">
        <f>+SUM('31:29'!X70)</f>
        <v>0</v>
      </c>
      <c r="Y70" s="14">
        <f>+SUM('31:29'!Y70)</f>
        <v>0</v>
      </c>
      <c r="Z70" s="14">
        <f>+SUM('31:29'!Z70)</f>
        <v>0</v>
      </c>
      <c r="AA70" s="14">
        <f>+SUM('31:29'!AA70)</f>
        <v>0</v>
      </c>
      <c r="AB70" s="14">
        <f>+SUM('31:29'!AB70)</f>
        <v>0</v>
      </c>
      <c r="AC70" s="14">
        <f>+SUM('31:29'!AC70)</f>
        <v>0</v>
      </c>
    </row>
    <row r="71" spans="1:29" ht="21.95" customHeight="1">
      <c r="A71" s="141">
        <v>300292</v>
      </c>
      <c r="B71" s="135" t="s">
        <v>87</v>
      </c>
      <c r="C71" s="219" t="s">
        <v>88</v>
      </c>
      <c r="D71" s="219" t="s">
        <v>89</v>
      </c>
      <c r="E71" s="147" t="s">
        <v>41</v>
      </c>
      <c r="F71" s="13"/>
      <c r="G71" s="14">
        <f>+SUM('31:29'!G71)</f>
        <v>0</v>
      </c>
      <c r="H71" s="14">
        <f>+SUM('31:29'!H71)</f>
        <v>0</v>
      </c>
      <c r="I71" s="14">
        <f>+SUM('31:29'!I71)</f>
        <v>0</v>
      </c>
      <c r="J71" s="14">
        <f>+SUM('31:29'!J71)</f>
        <v>0</v>
      </c>
      <c r="K71" s="145">
        <f t="shared" si="0"/>
        <v>0</v>
      </c>
      <c r="L71" s="145">
        <f t="shared" si="1"/>
        <v>0</v>
      </c>
      <c r="M71" s="145">
        <v>517.79999999999995</v>
      </c>
      <c r="N71" s="145">
        <f>+M71*1000/(66.8*1*110*60)*T71</f>
        <v>4.6978769733260748</v>
      </c>
      <c r="O71" s="14">
        <f>+SUM('31:29'!O71)</f>
        <v>0</v>
      </c>
      <c r="P71" s="145">
        <f t="shared" si="2"/>
        <v>0</v>
      </c>
      <c r="Q71" s="14">
        <f>+SUM('31:29'!Q71)</f>
        <v>0</v>
      </c>
      <c r="R71" s="19">
        <f t="shared" si="3"/>
        <v>0</v>
      </c>
      <c r="S71" s="145">
        <f t="shared" si="4"/>
        <v>0</v>
      </c>
      <c r="T71" s="20">
        <v>4</v>
      </c>
      <c r="U71" s="14">
        <f>+SUM('31:29'!U71)</f>
        <v>0</v>
      </c>
      <c r="V71" s="142" t="str">
        <f t="array" ref="V71">IF(ISERROR(L71/K71),"",L71/K71)</f>
        <v/>
      </c>
      <c r="W71" s="14">
        <f>+SUM('31:29'!W71)</f>
        <v>0</v>
      </c>
      <c r="X71" s="14">
        <f>+SUM('31:29'!X71)</f>
        <v>0</v>
      </c>
      <c r="Y71" s="14">
        <f>+SUM('31:29'!Y71)</f>
        <v>0</v>
      </c>
      <c r="Z71" s="14">
        <f>+SUM('31:29'!Z71)</f>
        <v>0</v>
      </c>
      <c r="AA71" s="14">
        <f>+SUM('31:29'!AA71)</f>
        <v>0</v>
      </c>
      <c r="AB71" s="14">
        <f>+SUM('31:29'!AB71)</f>
        <v>0</v>
      </c>
      <c r="AC71" s="14">
        <f>+SUM('31:29'!AC71)</f>
        <v>0</v>
      </c>
    </row>
    <row r="72" spans="1:29" ht="21.95" customHeight="1">
      <c r="A72" s="141">
        <v>300293</v>
      </c>
      <c r="B72" s="135" t="s">
        <v>87</v>
      </c>
      <c r="C72" s="219" t="s">
        <v>88</v>
      </c>
      <c r="D72" s="219" t="s">
        <v>89</v>
      </c>
      <c r="E72" s="147" t="s">
        <v>57</v>
      </c>
      <c r="F72" s="13"/>
      <c r="G72" s="14">
        <f>+SUM('31:29'!G72)</f>
        <v>0</v>
      </c>
      <c r="H72" s="14">
        <f>+SUM('31:29'!H72)</f>
        <v>0</v>
      </c>
      <c r="I72" s="14">
        <f>+SUM('31:29'!I72)</f>
        <v>0</v>
      </c>
      <c r="J72" s="14">
        <f>+SUM('31:29'!J72)</f>
        <v>0</v>
      </c>
      <c r="K72" s="145">
        <f t="shared" si="0"/>
        <v>0</v>
      </c>
      <c r="L72" s="145">
        <f t="shared" si="1"/>
        <v>0</v>
      </c>
      <c r="M72" s="145">
        <v>517.9</v>
      </c>
      <c r="N72" s="145">
        <f>+M72*1000/(67.1*1*110*60)*T72</f>
        <v>4.6777762724111467</v>
      </c>
      <c r="O72" s="14">
        <f>+SUM('31:29'!O72)</f>
        <v>0</v>
      </c>
      <c r="P72" s="145">
        <f t="shared" si="2"/>
        <v>0</v>
      </c>
      <c r="Q72" s="14">
        <f>+SUM('31:29'!Q72)</f>
        <v>0</v>
      </c>
      <c r="R72" s="19">
        <f t="shared" si="3"/>
        <v>0</v>
      </c>
      <c r="S72" s="145">
        <f t="shared" si="4"/>
        <v>0</v>
      </c>
      <c r="T72" s="20">
        <v>4</v>
      </c>
      <c r="U72" s="14">
        <f>+SUM('31:29'!U72)</f>
        <v>0</v>
      </c>
      <c r="V72" s="142" t="str">
        <f t="array" ref="V72">IF(ISERROR(L72/K72),"",L72/K72)</f>
        <v/>
      </c>
      <c r="W72" s="14">
        <f>+SUM('31:29'!W72)</f>
        <v>0</v>
      </c>
      <c r="X72" s="14">
        <f>+SUM('31:29'!X72)</f>
        <v>0</v>
      </c>
      <c r="Y72" s="14">
        <f>+SUM('31:29'!Y72)</f>
        <v>0</v>
      </c>
      <c r="Z72" s="14">
        <f>+SUM('31:29'!Z72)</f>
        <v>0</v>
      </c>
      <c r="AA72" s="14">
        <f>+SUM('31:29'!AA72)</f>
        <v>0</v>
      </c>
      <c r="AB72" s="14">
        <f>+SUM('31:29'!AB72)</f>
        <v>0</v>
      </c>
      <c r="AC72" s="14">
        <f>+SUM('31:29'!AC72)</f>
        <v>0</v>
      </c>
    </row>
    <row r="73" spans="1:29" ht="21.95" customHeight="1">
      <c r="A73" s="141">
        <v>300290</v>
      </c>
      <c r="B73" s="135" t="s">
        <v>87</v>
      </c>
      <c r="C73" s="219" t="s">
        <v>88</v>
      </c>
      <c r="D73" s="219" t="s">
        <v>89</v>
      </c>
      <c r="E73" s="147" t="s">
        <v>35</v>
      </c>
      <c r="F73" s="13"/>
      <c r="G73" s="14">
        <f>+SUM('31:29'!G73)</f>
        <v>0</v>
      </c>
      <c r="H73" s="14">
        <f>+SUM('31:29'!H73)</f>
        <v>0</v>
      </c>
      <c r="I73" s="14">
        <f>+SUM('31:29'!I73)</f>
        <v>0</v>
      </c>
      <c r="J73" s="14">
        <f>+SUM('31:29'!J73)</f>
        <v>0</v>
      </c>
      <c r="K73" s="145">
        <f t="shared" si="0"/>
        <v>0</v>
      </c>
      <c r="L73" s="145">
        <f t="shared" si="1"/>
        <v>0</v>
      </c>
      <c r="M73" s="145">
        <v>520</v>
      </c>
      <c r="N73" s="145">
        <f>+M73*1000/(67.5*1*110*60)*T73</f>
        <v>4.6689113355780023</v>
      </c>
      <c r="O73" s="14">
        <f>+SUM('31:29'!O73)</f>
        <v>0</v>
      </c>
      <c r="P73" s="145">
        <f t="shared" si="2"/>
        <v>0</v>
      </c>
      <c r="Q73" s="14">
        <f>+SUM('31:29'!Q73)</f>
        <v>0</v>
      </c>
      <c r="R73" s="19">
        <f t="shared" si="3"/>
        <v>0</v>
      </c>
      <c r="S73" s="145">
        <f t="shared" si="4"/>
        <v>0</v>
      </c>
      <c r="T73" s="20">
        <v>4</v>
      </c>
      <c r="U73" s="14">
        <f>+SUM('31:29'!U73)</f>
        <v>0</v>
      </c>
      <c r="V73" s="142" t="str">
        <f t="array" ref="V73">IF(ISERROR(L73/K73),"",L73/K73)</f>
        <v/>
      </c>
      <c r="W73" s="14">
        <f>+SUM('31:29'!W73)</f>
        <v>0</v>
      </c>
      <c r="X73" s="14">
        <f>+SUM('31:29'!X73)</f>
        <v>0</v>
      </c>
      <c r="Y73" s="14">
        <f>+SUM('31:29'!Y73)</f>
        <v>0</v>
      </c>
      <c r="Z73" s="14">
        <f>+SUM('31:29'!Z73)</f>
        <v>0</v>
      </c>
      <c r="AA73" s="14">
        <f>+SUM('31:29'!AA73)</f>
        <v>0</v>
      </c>
      <c r="AB73" s="14">
        <f>+SUM('31:29'!AB73)</f>
        <v>0</v>
      </c>
      <c r="AC73" s="14">
        <f>+SUM('31:29'!AC73)</f>
        <v>0</v>
      </c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4">
        <f>+SUM('31:29'!G74)</f>
        <v>7.88</v>
      </c>
      <c r="H74" s="14">
        <f>+SUM('31:29'!H74)</f>
        <v>0.875</v>
      </c>
      <c r="I74" s="14">
        <f>+SUM('31:29'!I74)</f>
        <v>7.875</v>
      </c>
      <c r="J74" s="14">
        <f>+SUM('31:29'!J74)</f>
        <v>0</v>
      </c>
      <c r="K74" s="28">
        <f t="shared" si="0"/>
        <v>3383.6719999999996</v>
      </c>
      <c r="L74" s="28">
        <f t="shared" si="1"/>
        <v>3381.5249999999996</v>
      </c>
      <c r="M74" s="28">
        <v>429.4</v>
      </c>
      <c r="N74" s="28">
        <f>+M74*1000/(47*1*110*60)*T74</f>
        <v>5.5370728562217923</v>
      </c>
      <c r="O74" s="14">
        <f>+SUM('31:29'!O74)</f>
        <v>0</v>
      </c>
      <c r="P74" s="28">
        <f t="shared" si="2"/>
        <v>43.604448742746612</v>
      </c>
      <c r="Q74" s="14">
        <f>+SUM('31:29'!Q74)</f>
        <v>10</v>
      </c>
      <c r="R74" s="29">
        <f t="shared" si="3"/>
        <v>50</v>
      </c>
      <c r="S74" s="28">
        <f t="shared" si="4"/>
        <v>6.3955512572533877</v>
      </c>
      <c r="T74" s="30">
        <v>4</v>
      </c>
      <c r="U74" s="14">
        <f>+SUM('31:29'!U74)</f>
        <v>5</v>
      </c>
      <c r="V74" s="112">
        <f t="array" ref="V74">IF(ISERROR(L74/K74),"",L74/K74)</f>
        <v>0.99936548223350252</v>
      </c>
      <c r="W74" s="14">
        <f>+SUM('31:29'!W74)</f>
        <v>0</v>
      </c>
      <c r="X74" s="14">
        <f>+SUM('31:29'!X74)</f>
        <v>0</v>
      </c>
      <c r="Y74" s="14">
        <f>+SUM('31:29'!Y74)</f>
        <v>0</v>
      </c>
      <c r="Z74" s="14">
        <f>+SUM('31:29'!Z74)</f>
        <v>0</v>
      </c>
      <c r="AA74" s="14">
        <f>+SUM('31:29'!AA74)</f>
        <v>0</v>
      </c>
      <c r="AB74" s="14">
        <f>+SUM('31:29'!AB74)</f>
        <v>0</v>
      </c>
      <c r="AC74" s="14">
        <f>+SUM('31:29'!AC74)</f>
        <v>0</v>
      </c>
    </row>
    <row r="75" spans="1:29" ht="21.95" customHeight="1">
      <c r="A75" s="141">
        <v>300058</v>
      </c>
      <c r="B75" s="135" t="s">
        <v>87</v>
      </c>
      <c r="C75" s="219" t="s">
        <v>308</v>
      </c>
      <c r="D75" s="219" t="s">
        <v>89</v>
      </c>
      <c r="E75" s="147" t="s">
        <v>42</v>
      </c>
      <c r="F75" s="13"/>
      <c r="G75" s="14">
        <f>+SUM('31:29'!G75)</f>
        <v>0</v>
      </c>
      <c r="H75" s="14">
        <f>+SUM('31:29'!H75)</f>
        <v>0</v>
      </c>
      <c r="I75" s="14">
        <f>+SUM('31:29'!I75)</f>
        <v>0</v>
      </c>
      <c r="J75" s="14">
        <f>+SUM('31:29'!J75)</f>
        <v>0</v>
      </c>
      <c r="K75" s="145">
        <f t="shared" si="0"/>
        <v>0</v>
      </c>
      <c r="L75" s="145">
        <f t="shared" si="1"/>
        <v>0</v>
      </c>
      <c r="M75" s="145">
        <v>419.2</v>
      </c>
      <c r="N75" s="145">
        <f>+M75*1000/(51.5*1*110*60)*T75</f>
        <v>4.9332156516622536</v>
      </c>
      <c r="O75" s="14">
        <f>+SUM('31:29'!O75)</f>
        <v>0</v>
      </c>
      <c r="P75" s="145">
        <f t="shared" si="2"/>
        <v>0</v>
      </c>
      <c r="Q75" s="14">
        <f>+SUM('31:29'!Q75)</f>
        <v>0</v>
      </c>
      <c r="R75" s="19">
        <f t="shared" si="3"/>
        <v>0</v>
      </c>
      <c r="S75" s="145">
        <f t="shared" si="4"/>
        <v>0</v>
      </c>
      <c r="T75" s="20">
        <v>4</v>
      </c>
      <c r="U75" s="14">
        <f>+SUM('31:29'!U75)</f>
        <v>0</v>
      </c>
      <c r="V75" s="142" t="str">
        <f t="array" ref="V75">IF(ISERROR(L75/K75),"",L75/K75)</f>
        <v/>
      </c>
      <c r="W75" s="14">
        <f>+SUM('31:29'!W75)</f>
        <v>0</v>
      </c>
      <c r="X75" s="14">
        <f>+SUM('31:29'!X75)</f>
        <v>0</v>
      </c>
      <c r="Y75" s="14">
        <f>+SUM('31:29'!Y75)</f>
        <v>0</v>
      </c>
      <c r="Z75" s="14">
        <f>+SUM('31:29'!Z75)</f>
        <v>0</v>
      </c>
      <c r="AA75" s="14">
        <f>+SUM('31:29'!AA75)</f>
        <v>0</v>
      </c>
      <c r="AB75" s="14">
        <f>+SUM('31:29'!AB75)</f>
        <v>0</v>
      </c>
      <c r="AC75" s="14">
        <f>+SUM('31:29'!AC75)</f>
        <v>0</v>
      </c>
    </row>
    <row r="76" spans="1:29" ht="21.95" customHeight="1">
      <c r="A76" s="141">
        <v>300061</v>
      </c>
      <c r="B76" s="135" t="s">
        <v>90</v>
      </c>
      <c r="C76" s="219" t="s">
        <v>309</v>
      </c>
      <c r="D76" s="219" t="s">
        <v>91</v>
      </c>
      <c r="E76" s="147" t="s">
        <v>41</v>
      </c>
      <c r="F76" s="13"/>
      <c r="G76" s="14">
        <f>+SUM('31:29'!G76)</f>
        <v>0</v>
      </c>
      <c r="H76" s="14">
        <f>+SUM('31:29'!H76)</f>
        <v>0</v>
      </c>
      <c r="I76" s="14">
        <f>+SUM('31:29'!I76)</f>
        <v>0</v>
      </c>
      <c r="J76" s="14">
        <f>+SUM('31:29'!J76)</f>
        <v>0</v>
      </c>
      <c r="K76" s="145">
        <f t="shared" si="0"/>
        <v>0</v>
      </c>
      <c r="L76" s="145">
        <f t="shared" si="1"/>
        <v>0</v>
      </c>
      <c r="M76" s="145">
        <v>418.4</v>
      </c>
      <c r="N76" s="145">
        <f>+M76*1000/(51*1*110*60)*T76</f>
        <v>4.9720736779560308</v>
      </c>
      <c r="O76" s="14">
        <f>+SUM('31:29'!O76)</f>
        <v>0</v>
      </c>
      <c r="P76" s="145">
        <f t="shared" si="2"/>
        <v>0</v>
      </c>
      <c r="Q76" s="14">
        <f>+SUM('31:29'!Q76)</f>
        <v>0</v>
      </c>
      <c r="R76" s="19">
        <f t="shared" si="3"/>
        <v>0</v>
      </c>
      <c r="S76" s="145">
        <f t="shared" si="4"/>
        <v>0</v>
      </c>
      <c r="T76" s="20">
        <v>4</v>
      </c>
      <c r="U76" s="14">
        <f>+SUM('31:29'!U76)</f>
        <v>0</v>
      </c>
      <c r="V76" s="142" t="str">
        <f t="array" ref="V76">IF(ISERROR(L76/K76),"",L76/K76)</f>
        <v/>
      </c>
      <c r="W76" s="14">
        <f>+SUM('31:29'!W76)</f>
        <v>0</v>
      </c>
      <c r="X76" s="14">
        <f>+SUM('31:29'!X76)</f>
        <v>0</v>
      </c>
      <c r="Y76" s="14">
        <f>+SUM('31:29'!Y76)</f>
        <v>0</v>
      </c>
      <c r="Z76" s="14">
        <f>+SUM('31:29'!Z76)</f>
        <v>0</v>
      </c>
      <c r="AA76" s="14">
        <f>+SUM('31:29'!AA76)</f>
        <v>0</v>
      </c>
      <c r="AB76" s="14">
        <f>+SUM('31:29'!AB76)</f>
        <v>0</v>
      </c>
      <c r="AC76" s="14">
        <f>+SUM('31:29'!AC76)</f>
        <v>0</v>
      </c>
    </row>
    <row r="77" spans="1:29" ht="21.95" customHeight="1">
      <c r="A77" s="141">
        <v>300064</v>
      </c>
      <c r="B77" s="135">
        <v>5002</v>
      </c>
      <c r="C77" s="219" t="s">
        <v>309</v>
      </c>
      <c r="D77" s="219" t="s">
        <v>91</v>
      </c>
      <c r="E77" s="147" t="s">
        <v>35</v>
      </c>
      <c r="F77" s="13"/>
      <c r="G77" s="14">
        <f>+SUM('31:29'!G77)</f>
        <v>0</v>
      </c>
      <c r="H77" s="14">
        <f>+SUM('31:29'!H77)</f>
        <v>0</v>
      </c>
      <c r="I77" s="14">
        <f>+SUM('31:29'!I77)</f>
        <v>0</v>
      </c>
      <c r="J77" s="14">
        <f>+SUM('31:29'!J77)</f>
        <v>0</v>
      </c>
      <c r="K77" s="145">
        <f t="shared" ref="K77:K153" si="7">G77*M77</f>
        <v>0</v>
      </c>
      <c r="L77" s="145">
        <f t="shared" ref="L77:L153" si="8">I77*M77</f>
        <v>0</v>
      </c>
      <c r="M77" s="145">
        <v>419.2</v>
      </c>
      <c r="N77" s="145">
        <f>+M77*1000/(51.9*1*110*60)*T77</f>
        <v>4.8951947217843168</v>
      </c>
      <c r="O77" s="14">
        <f>+SUM('31:29'!O77)</f>
        <v>0</v>
      </c>
      <c r="P77" s="145">
        <f t="shared" ref="P77:P153" si="9">N77*I77+O77*U77</f>
        <v>0</v>
      </c>
      <c r="Q77" s="14">
        <f>+SUM('31:29'!Q77)</f>
        <v>0</v>
      </c>
      <c r="R77" s="19">
        <f t="shared" ref="R77:R153" si="10">Q77*U77</f>
        <v>0</v>
      </c>
      <c r="S77" s="145">
        <f t="shared" ref="S77:S153" si="11">R77-P77</f>
        <v>0</v>
      </c>
      <c r="T77" s="20">
        <v>4</v>
      </c>
      <c r="U77" s="14">
        <f>+SUM('31:29'!U77)</f>
        <v>0</v>
      </c>
      <c r="V77" s="142" t="str">
        <f t="array" ref="V77">IF(ISERROR(L77/K77),"",L77/K77)</f>
        <v/>
      </c>
      <c r="W77" s="14">
        <f>+SUM('31:29'!W77)</f>
        <v>0</v>
      </c>
      <c r="X77" s="14">
        <f>+SUM('31:29'!X77)</f>
        <v>0</v>
      </c>
      <c r="Y77" s="14">
        <f>+SUM('31:29'!Y77)</f>
        <v>0</v>
      </c>
      <c r="Z77" s="14">
        <f>+SUM('31:29'!Z77)</f>
        <v>0</v>
      </c>
      <c r="AA77" s="14">
        <f>+SUM('31:29'!AA77)</f>
        <v>0</v>
      </c>
      <c r="AB77" s="14">
        <f>+SUM('31:29'!AB77)</f>
        <v>0</v>
      </c>
      <c r="AC77" s="14">
        <f>+SUM('31:29'!AC77)</f>
        <v>0</v>
      </c>
    </row>
    <row r="78" spans="1:29" ht="21.95" customHeight="1">
      <c r="A78" s="141">
        <v>300060</v>
      </c>
      <c r="B78" s="135" t="s">
        <v>87</v>
      </c>
      <c r="C78" s="219" t="s">
        <v>309</v>
      </c>
      <c r="D78" s="219" t="s">
        <v>91</v>
      </c>
      <c r="E78" s="147" t="s">
        <v>57</v>
      </c>
      <c r="F78" s="13"/>
      <c r="G78" s="14">
        <f>+SUM('31:29'!G78)</f>
        <v>11</v>
      </c>
      <c r="H78" s="14">
        <f>+SUM('31:29'!H78)</f>
        <v>1</v>
      </c>
      <c r="I78" s="14">
        <f>+SUM('31:29'!I78)</f>
        <v>10.55</v>
      </c>
      <c r="J78" s="14">
        <f>+SUM('31:29'!J78)</f>
        <v>180</v>
      </c>
      <c r="K78" s="145">
        <f t="shared" si="7"/>
        <v>4585.8999999999996</v>
      </c>
      <c r="L78" s="145">
        <f t="shared" si="8"/>
        <v>4398.2950000000001</v>
      </c>
      <c r="M78" s="145">
        <v>416.9</v>
      </c>
      <c r="N78" s="145">
        <f>+M78*1000/(51*1*110*60)*T78</f>
        <v>4.9542483660130721</v>
      </c>
      <c r="O78" s="14">
        <f>+SUM('31:29'!O78)</f>
        <v>0.5</v>
      </c>
      <c r="P78" s="145">
        <f t="shared" si="9"/>
        <v>57.767320261437916</v>
      </c>
      <c r="Q78" s="14">
        <f>+SUM('31:29'!Q78)</f>
        <v>11.5</v>
      </c>
      <c r="R78" s="19">
        <f t="shared" si="10"/>
        <v>126.5</v>
      </c>
      <c r="S78" s="145">
        <f t="shared" si="11"/>
        <v>68.732679738562084</v>
      </c>
      <c r="T78" s="20">
        <v>4</v>
      </c>
      <c r="U78" s="14">
        <f>+SUM('31:29'!U78)</f>
        <v>11</v>
      </c>
      <c r="V78" s="142">
        <f t="array" ref="V78">IF(ISERROR(L78/K78),"",L78/K78)</f>
        <v>0.95909090909090922</v>
      </c>
      <c r="W78" s="14">
        <f>+SUM('31:29'!W78)</f>
        <v>0</v>
      </c>
      <c r="X78" s="14">
        <f>+SUM('31:29'!X78)</f>
        <v>0</v>
      </c>
      <c r="Y78" s="14">
        <f>+SUM('31:29'!Y78)</f>
        <v>0</v>
      </c>
      <c r="Z78" s="14">
        <f>+SUM('31:29'!Z78)</f>
        <v>0</v>
      </c>
      <c r="AA78" s="14">
        <f>+SUM('31:29'!AA78)</f>
        <v>0</v>
      </c>
      <c r="AB78" s="14">
        <f>+SUM('31:29'!AB78)</f>
        <v>0</v>
      </c>
      <c r="AC78" s="14">
        <f>+SUM('31:29'!AC78)</f>
        <v>0</v>
      </c>
    </row>
    <row r="79" spans="1:29" ht="21.95" customHeight="1">
      <c r="A79" s="141">
        <v>300068</v>
      </c>
      <c r="B79" s="135" t="s">
        <v>87</v>
      </c>
      <c r="C79" s="219" t="s">
        <v>92</v>
      </c>
      <c r="D79" s="219" t="s">
        <v>93</v>
      </c>
      <c r="E79" s="147" t="s">
        <v>37</v>
      </c>
      <c r="F79" s="13"/>
      <c r="G79" s="14">
        <f>+SUM('31:29'!G79)</f>
        <v>0</v>
      </c>
      <c r="H79" s="14">
        <f>+SUM('31:29'!H79)</f>
        <v>0</v>
      </c>
      <c r="I79" s="14">
        <f>+SUM('31:29'!I79)</f>
        <v>0</v>
      </c>
      <c r="J79" s="14">
        <f>+SUM('31:29'!J79)</f>
        <v>0</v>
      </c>
      <c r="K79" s="145">
        <f t="shared" si="7"/>
        <v>0</v>
      </c>
      <c r="L79" s="145">
        <f t="shared" si="8"/>
        <v>0</v>
      </c>
      <c r="M79" s="145">
        <v>438.4</v>
      </c>
      <c r="N79" s="145">
        <f>+M79*1000/(50*1*120*60)*T79</f>
        <v>4.8711111111111114</v>
      </c>
      <c r="O79" s="14">
        <f>+SUM('31:29'!O79)</f>
        <v>0</v>
      </c>
      <c r="P79" s="145">
        <f t="shared" si="9"/>
        <v>0</v>
      </c>
      <c r="Q79" s="14">
        <f>+SUM('31:29'!Q79)</f>
        <v>0</v>
      </c>
      <c r="R79" s="19">
        <f t="shared" si="10"/>
        <v>0</v>
      </c>
      <c r="S79" s="145">
        <f t="shared" si="11"/>
        <v>0</v>
      </c>
      <c r="T79" s="20">
        <v>4</v>
      </c>
      <c r="U79" s="14">
        <f>+SUM('31:29'!U79)</f>
        <v>0</v>
      </c>
      <c r="V79" s="142" t="str">
        <f t="array" ref="V79">IF(ISERROR(L79/K79),"",L79/K79)</f>
        <v/>
      </c>
      <c r="W79" s="14">
        <f>+SUM('31:29'!W79)</f>
        <v>0</v>
      </c>
      <c r="X79" s="14">
        <f>+SUM('31:29'!X79)</f>
        <v>0</v>
      </c>
      <c r="Y79" s="14">
        <f>+SUM('31:29'!Y79)</f>
        <v>0</v>
      </c>
      <c r="Z79" s="14">
        <f>+SUM('31:29'!Z79)</f>
        <v>0</v>
      </c>
      <c r="AA79" s="14">
        <f>+SUM('31:29'!AA79)</f>
        <v>0</v>
      </c>
      <c r="AB79" s="14">
        <f>+SUM('31:29'!AB79)</f>
        <v>0</v>
      </c>
      <c r="AC79" s="14">
        <f>+SUM('31:29'!AC79)</f>
        <v>0</v>
      </c>
    </row>
    <row r="80" spans="1:29" ht="21.95" customHeight="1">
      <c r="A80" s="141">
        <v>300065</v>
      </c>
      <c r="B80" s="135" t="s">
        <v>87</v>
      </c>
      <c r="C80" s="219" t="s">
        <v>92</v>
      </c>
      <c r="D80" s="219" t="s">
        <v>93</v>
      </c>
      <c r="E80" s="147" t="s">
        <v>35</v>
      </c>
      <c r="F80" s="13"/>
      <c r="G80" s="14">
        <f>+SUM('31:29'!G80)</f>
        <v>0</v>
      </c>
      <c r="H80" s="14">
        <f>+SUM('31:29'!H80)</f>
        <v>0</v>
      </c>
      <c r="I80" s="14">
        <f>+SUM('31:29'!I80)</f>
        <v>0</v>
      </c>
      <c r="J80" s="14">
        <f>+SUM('31:29'!J80)</f>
        <v>0</v>
      </c>
      <c r="K80" s="145">
        <f t="shared" si="7"/>
        <v>0</v>
      </c>
      <c r="L80" s="145">
        <f t="shared" si="8"/>
        <v>0</v>
      </c>
      <c r="M80" s="145">
        <v>438.8</v>
      </c>
      <c r="N80" s="145">
        <f>+M80*1000/(50*1*120*60)*T80</f>
        <v>4.8755555555555556</v>
      </c>
      <c r="O80" s="14">
        <f>+SUM('31:29'!O80)</f>
        <v>0</v>
      </c>
      <c r="P80" s="145">
        <f t="shared" si="9"/>
        <v>0</v>
      </c>
      <c r="Q80" s="14">
        <f>+SUM('31:29'!Q80)</f>
        <v>0</v>
      </c>
      <c r="R80" s="19">
        <f t="shared" si="10"/>
        <v>0</v>
      </c>
      <c r="S80" s="145">
        <f t="shared" si="11"/>
        <v>0</v>
      </c>
      <c r="T80" s="20">
        <v>4</v>
      </c>
      <c r="U80" s="14">
        <f>+SUM('31:29'!U80)</f>
        <v>0</v>
      </c>
      <c r="V80" s="142" t="str">
        <f t="array" ref="V80">IF(ISERROR(L80/K80),"",L80/K80)</f>
        <v/>
      </c>
      <c r="W80" s="14">
        <f>+SUM('31:29'!W80)</f>
        <v>0</v>
      </c>
      <c r="X80" s="14">
        <f>+SUM('31:29'!X80)</f>
        <v>0</v>
      </c>
      <c r="Y80" s="14">
        <f>+SUM('31:29'!Y80)</f>
        <v>0</v>
      </c>
      <c r="Z80" s="14">
        <f>+SUM('31:29'!Z80)</f>
        <v>0</v>
      </c>
      <c r="AA80" s="14">
        <f>+SUM('31:29'!AA80)</f>
        <v>0</v>
      </c>
      <c r="AB80" s="14">
        <f>+SUM('31:29'!AB80)</f>
        <v>0</v>
      </c>
      <c r="AC80" s="14">
        <f>+SUM('31:29'!AC80)</f>
        <v>0</v>
      </c>
    </row>
    <row r="81" spans="1:29" ht="21.95" customHeight="1">
      <c r="A81" s="141">
        <v>300066</v>
      </c>
      <c r="B81" s="135" t="s">
        <v>87</v>
      </c>
      <c r="C81" s="219" t="s">
        <v>92</v>
      </c>
      <c r="D81" s="219" t="s">
        <v>93</v>
      </c>
      <c r="E81" s="147" t="s">
        <v>66</v>
      </c>
      <c r="F81" s="13"/>
      <c r="G81" s="14">
        <f>+SUM('31:29'!G81)</f>
        <v>0</v>
      </c>
      <c r="H81" s="14">
        <f>+SUM('31:29'!H81)</f>
        <v>0</v>
      </c>
      <c r="I81" s="14">
        <f>+SUM('31:29'!I81)</f>
        <v>0</v>
      </c>
      <c r="J81" s="14">
        <f>+SUM('31:29'!J81)</f>
        <v>0</v>
      </c>
      <c r="K81" s="145">
        <f t="shared" si="7"/>
        <v>0</v>
      </c>
      <c r="L81" s="145">
        <f t="shared" si="8"/>
        <v>0</v>
      </c>
      <c r="M81" s="145">
        <v>438.4</v>
      </c>
      <c r="N81" s="145">
        <f>+M81*1000/(50*1*120*60)*T81</f>
        <v>4.8711111111111114</v>
      </c>
      <c r="O81" s="14">
        <f>+SUM('31:29'!O81)</f>
        <v>0</v>
      </c>
      <c r="P81" s="145">
        <f t="shared" si="9"/>
        <v>0</v>
      </c>
      <c r="Q81" s="14">
        <f>+SUM('31:29'!Q81)</f>
        <v>0</v>
      </c>
      <c r="R81" s="19">
        <f t="shared" si="10"/>
        <v>0</v>
      </c>
      <c r="S81" s="145">
        <f t="shared" si="11"/>
        <v>0</v>
      </c>
      <c r="T81" s="20">
        <v>4</v>
      </c>
      <c r="U81" s="14">
        <f>+SUM('31:29'!U81)</f>
        <v>0</v>
      </c>
      <c r="V81" s="142"/>
      <c r="W81" s="14">
        <f>+SUM('31:29'!W81)</f>
        <v>0</v>
      </c>
      <c r="X81" s="14">
        <f>+SUM('31:29'!X81)</f>
        <v>0</v>
      </c>
      <c r="Y81" s="14">
        <f>+SUM('31:29'!Y81)</f>
        <v>0</v>
      </c>
      <c r="Z81" s="14">
        <f>+SUM('31:29'!Z81)</f>
        <v>0</v>
      </c>
      <c r="AA81" s="14">
        <f>+SUM('31:29'!AA81)</f>
        <v>0</v>
      </c>
      <c r="AB81" s="14">
        <f>+SUM('31:29'!AB81)</f>
        <v>0</v>
      </c>
      <c r="AC81" s="14">
        <f>+SUM('31:29'!AC81)</f>
        <v>0</v>
      </c>
    </row>
    <row r="82" spans="1:29" ht="21.95" customHeight="1">
      <c r="A82" s="141">
        <v>300067</v>
      </c>
      <c r="B82" s="135" t="s">
        <v>87</v>
      </c>
      <c r="C82" s="219" t="s">
        <v>92</v>
      </c>
      <c r="D82" s="219" t="s">
        <v>93</v>
      </c>
      <c r="E82" s="147" t="s">
        <v>41</v>
      </c>
      <c r="F82" s="13"/>
      <c r="G82" s="14">
        <f>+SUM('31:29'!G82)</f>
        <v>0</v>
      </c>
      <c r="H82" s="14">
        <f>+SUM('31:29'!H82)</f>
        <v>0</v>
      </c>
      <c r="I82" s="14">
        <f>+SUM('31:29'!I82)</f>
        <v>0</v>
      </c>
      <c r="J82" s="14">
        <f>+SUM('31:29'!J82)</f>
        <v>0</v>
      </c>
      <c r="K82" s="145">
        <f t="shared" si="7"/>
        <v>0</v>
      </c>
      <c r="L82" s="145">
        <f t="shared" si="8"/>
        <v>0</v>
      </c>
      <c r="M82" s="145">
        <v>438.8</v>
      </c>
      <c r="N82" s="145">
        <f>+M82*1000/(50*1*120*60)*T82</f>
        <v>4.8755555555555556</v>
      </c>
      <c r="O82" s="14">
        <f>+SUM('31:29'!O82)</f>
        <v>0</v>
      </c>
      <c r="P82" s="145">
        <f t="shared" si="9"/>
        <v>0</v>
      </c>
      <c r="Q82" s="14">
        <f>+SUM('31:29'!Q82)</f>
        <v>0</v>
      </c>
      <c r="R82" s="19">
        <f t="shared" si="10"/>
        <v>0</v>
      </c>
      <c r="S82" s="145">
        <f t="shared" si="11"/>
        <v>0</v>
      </c>
      <c r="T82" s="20">
        <v>4</v>
      </c>
      <c r="U82" s="14">
        <f>+SUM('31:29'!U82)</f>
        <v>0</v>
      </c>
      <c r="V82" s="142" t="str">
        <f t="array" ref="V82">IF(ISERROR(L82/K82),"",L82/K82)</f>
        <v/>
      </c>
      <c r="W82" s="14">
        <f>+SUM('31:29'!W82)</f>
        <v>0</v>
      </c>
      <c r="X82" s="14">
        <f>+SUM('31:29'!X82)</f>
        <v>0</v>
      </c>
      <c r="Y82" s="14">
        <f>+SUM('31:29'!Y82)</f>
        <v>0</v>
      </c>
      <c r="Z82" s="14">
        <f>+SUM('31:29'!Z82)</f>
        <v>0</v>
      </c>
      <c r="AA82" s="14">
        <f>+SUM('31:29'!AA82)</f>
        <v>0</v>
      </c>
      <c r="AB82" s="14">
        <f>+SUM('31:29'!AB82)</f>
        <v>0</v>
      </c>
      <c r="AC82" s="14">
        <f>+SUM('31:29'!AC82)</f>
        <v>0</v>
      </c>
    </row>
    <row r="83" spans="1:29" s="132" customFormat="1" ht="21.95" customHeight="1">
      <c r="A83" s="126">
        <v>300437</v>
      </c>
      <c r="B83" s="138" t="s">
        <v>87</v>
      </c>
      <c r="C83" s="232" t="s">
        <v>92</v>
      </c>
      <c r="D83" s="232" t="s">
        <v>93</v>
      </c>
      <c r="E83" s="42" t="s">
        <v>302</v>
      </c>
      <c r="F83" s="127"/>
      <c r="G83" s="14">
        <f>+SUM('31:29'!G83)</f>
        <v>0</v>
      </c>
      <c r="H83" s="14">
        <f>+SUM('31:29'!H83)</f>
        <v>0</v>
      </c>
      <c r="I83" s="14">
        <f>+SUM('31:29'!I83)</f>
        <v>0</v>
      </c>
      <c r="J83" s="14">
        <f>+SUM('31:29'!J83)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+SUM('31:29'!O83)</f>
        <v>0</v>
      </c>
      <c r="P83" s="15">
        <f t="shared" si="9"/>
        <v>0</v>
      </c>
      <c r="Q83" s="14">
        <f>+SUM('31:29'!Q83)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4">
        <f>+SUM('31:29'!U83)</f>
        <v>0</v>
      </c>
      <c r="V83" s="131"/>
      <c r="W83" s="14">
        <f>+SUM('31:29'!W83)</f>
        <v>0</v>
      </c>
      <c r="X83" s="14">
        <f>+SUM('31:29'!X83)</f>
        <v>0</v>
      </c>
      <c r="Y83" s="14">
        <f>+SUM('31:29'!Y83)</f>
        <v>0</v>
      </c>
      <c r="Z83" s="14">
        <f>+SUM('31:29'!Z83)</f>
        <v>0</v>
      </c>
      <c r="AA83" s="14">
        <f>+SUM('31:29'!AA83)</f>
        <v>0</v>
      </c>
      <c r="AB83" s="14">
        <f>+SUM('31:29'!AB83)</f>
        <v>0</v>
      </c>
      <c r="AC83" s="14">
        <f>+SUM('31:29'!AC83)</f>
        <v>0</v>
      </c>
    </row>
    <row r="84" spans="1:29" s="2" customFormat="1" ht="21.95" customHeight="1">
      <c r="A84" s="141">
        <v>300384</v>
      </c>
      <c r="B84" s="135" t="s">
        <v>87</v>
      </c>
      <c r="C84" s="219" t="s">
        <v>94</v>
      </c>
      <c r="D84" s="219" t="s">
        <v>95</v>
      </c>
      <c r="E84" s="147" t="s">
        <v>35</v>
      </c>
      <c r="F84" s="146"/>
      <c r="G84" s="14">
        <f>+SUM('31:29'!G84)</f>
        <v>0</v>
      </c>
      <c r="H84" s="14">
        <f>+SUM('31:29'!H84)</f>
        <v>0</v>
      </c>
      <c r="I84" s="14">
        <f>+SUM('31:29'!I84)</f>
        <v>0</v>
      </c>
      <c r="J84" s="14">
        <f>+SUM('31:29'!J84)</f>
        <v>0</v>
      </c>
      <c r="K84" s="145">
        <f t="shared" si="7"/>
        <v>0</v>
      </c>
      <c r="L84" s="145">
        <f t="shared" si="8"/>
        <v>0</v>
      </c>
      <c r="M84" s="145">
        <v>415.5</v>
      </c>
      <c r="N84" s="15">
        <f>+M84*1000/(51*1*110*60)*T84</f>
        <v>8.6408199643493759</v>
      </c>
      <c r="O84" s="14">
        <f>+SUM('31:29'!O84)</f>
        <v>0</v>
      </c>
      <c r="P84" s="145">
        <f t="shared" si="9"/>
        <v>0</v>
      </c>
      <c r="Q84" s="14">
        <f>+SUM('31:29'!Q84)</f>
        <v>0</v>
      </c>
      <c r="R84" s="19">
        <f t="shared" si="10"/>
        <v>0</v>
      </c>
      <c r="S84" s="145">
        <f t="shared" si="11"/>
        <v>0</v>
      </c>
      <c r="T84" s="20">
        <v>7</v>
      </c>
      <c r="U84" s="14">
        <f>+SUM('31:29'!U84)</f>
        <v>0</v>
      </c>
      <c r="V84" s="142" t="str">
        <f t="array" ref="V84">IF(ISERROR(L84/K84),"",L84/K84)</f>
        <v/>
      </c>
      <c r="W84" s="14">
        <f>+SUM('31:29'!W84)</f>
        <v>0</v>
      </c>
      <c r="X84" s="14">
        <f>+SUM('31:29'!X84)</f>
        <v>0</v>
      </c>
      <c r="Y84" s="14">
        <f>+SUM('31:29'!Y84)</f>
        <v>0</v>
      </c>
      <c r="Z84" s="14">
        <f>+SUM('31:29'!Z84)</f>
        <v>0</v>
      </c>
      <c r="AA84" s="14">
        <f>+SUM('31:29'!AA84)</f>
        <v>0</v>
      </c>
      <c r="AB84" s="14">
        <f>+SUM('31:29'!AB84)</f>
        <v>0</v>
      </c>
      <c r="AC84" s="14">
        <f>+SUM('31:29'!AC84)</f>
        <v>0</v>
      </c>
    </row>
    <row r="85" spans="1:29" s="2" customFormat="1" ht="21.95" customHeight="1">
      <c r="A85" s="141">
        <v>300383</v>
      </c>
      <c r="B85" s="135" t="s">
        <v>87</v>
      </c>
      <c r="C85" s="219" t="s">
        <v>94</v>
      </c>
      <c r="D85" s="219" t="s">
        <v>96</v>
      </c>
      <c r="E85" s="147" t="s">
        <v>41</v>
      </c>
      <c r="F85" s="146"/>
      <c r="G85" s="14">
        <f>+SUM('31:29'!G85)</f>
        <v>0</v>
      </c>
      <c r="H85" s="14">
        <f>+SUM('31:29'!H85)</f>
        <v>0</v>
      </c>
      <c r="I85" s="14">
        <f>+SUM('31:29'!I85)</f>
        <v>0</v>
      </c>
      <c r="J85" s="14">
        <f>+SUM('31:29'!J85)</f>
        <v>0</v>
      </c>
      <c r="K85" s="145">
        <f t="shared" si="7"/>
        <v>0</v>
      </c>
      <c r="L85" s="145">
        <f t="shared" si="8"/>
        <v>0</v>
      </c>
      <c r="M85" s="145">
        <v>415.5</v>
      </c>
      <c r="N85" s="15">
        <f>+M85*1000/(51*1*110*60)*T85</f>
        <v>8.6408199643493759</v>
      </c>
      <c r="O85" s="14">
        <f>+SUM('31:29'!O85)</f>
        <v>0</v>
      </c>
      <c r="P85" s="145">
        <f t="shared" si="9"/>
        <v>0</v>
      </c>
      <c r="Q85" s="14">
        <f>+SUM('31:29'!Q85)</f>
        <v>0</v>
      </c>
      <c r="R85" s="19">
        <f t="shared" si="10"/>
        <v>0</v>
      </c>
      <c r="S85" s="145">
        <f t="shared" si="11"/>
        <v>0</v>
      </c>
      <c r="T85" s="20">
        <v>7</v>
      </c>
      <c r="U85" s="14">
        <f>+SUM('31:29'!U85)</f>
        <v>0</v>
      </c>
      <c r="V85" s="142"/>
      <c r="W85" s="14">
        <f>+SUM('31:29'!W85)</f>
        <v>0</v>
      </c>
      <c r="X85" s="14">
        <f>+SUM('31:29'!X85)</f>
        <v>0</v>
      </c>
      <c r="Y85" s="14">
        <f>+SUM('31:29'!Y85)</f>
        <v>0</v>
      </c>
      <c r="Z85" s="14">
        <f>+SUM('31:29'!Z85)</f>
        <v>0</v>
      </c>
      <c r="AA85" s="14">
        <f>+SUM('31:29'!AA85)</f>
        <v>0</v>
      </c>
      <c r="AB85" s="14">
        <f>+SUM('31:29'!AB85)</f>
        <v>0</v>
      </c>
      <c r="AC85" s="14">
        <f>+SUM('31:29'!AC85)</f>
        <v>0</v>
      </c>
    </row>
    <row r="86" spans="1:29" s="2" customFormat="1" ht="21.95" customHeight="1">
      <c r="A86" s="141">
        <v>300386</v>
      </c>
      <c r="B86" s="135" t="s">
        <v>87</v>
      </c>
      <c r="C86" s="219" t="s">
        <v>94</v>
      </c>
      <c r="D86" s="219" t="s">
        <v>97</v>
      </c>
      <c r="E86" s="147" t="s">
        <v>66</v>
      </c>
      <c r="F86" s="146"/>
      <c r="G86" s="14">
        <f>+SUM('31:29'!G86)</f>
        <v>0</v>
      </c>
      <c r="H86" s="14">
        <f>+SUM('31:29'!H86)</f>
        <v>0</v>
      </c>
      <c r="I86" s="14">
        <f>+SUM('31:29'!I86)</f>
        <v>0</v>
      </c>
      <c r="J86" s="14">
        <f>+SUM('31:29'!J86)</f>
        <v>0</v>
      </c>
      <c r="K86" s="145">
        <f t="shared" si="7"/>
        <v>0</v>
      </c>
      <c r="L86" s="145">
        <f t="shared" si="8"/>
        <v>0</v>
      </c>
      <c r="M86" s="145">
        <v>415.5</v>
      </c>
      <c r="N86" s="15">
        <f>+M86*1000/(51*1*110*60)*T86</f>
        <v>8.6408199643493759</v>
      </c>
      <c r="O86" s="14">
        <f>+SUM('31:29'!O86)</f>
        <v>0</v>
      </c>
      <c r="P86" s="145">
        <f t="shared" si="9"/>
        <v>0</v>
      </c>
      <c r="Q86" s="14">
        <f>+SUM('31:29'!Q86)</f>
        <v>0</v>
      </c>
      <c r="R86" s="19">
        <f t="shared" si="10"/>
        <v>0</v>
      </c>
      <c r="S86" s="145">
        <f t="shared" si="11"/>
        <v>0</v>
      </c>
      <c r="T86" s="20">
        <v>7</v>
      </c>
      <c r="U86" s="14">
        <f>+SUM('31:29'!U86)</f>
        <v>0</v>
      </c>
      <c r="V86" s="142"/>
      <c r="W86" s="14">
        <f>+SUM('31:29'!W86)</f>
        <v>0</v>
      </c>
      <c r="X86" s="14">
        <f>+SUM('31:29'!X86)</f>
        <v>0</v>
      </c>
      <c r="Y86" s="14">
        <f>+SUM('31:29'!Y86)</f>
        <v>0</v>
      </c>
      <c r="Z86" s="14">
        <f>+SUM('31:29'!Z86)</f>
        <v>0</v>
      </c>
      <c r="AA86" s="14">
        <f>+SUM('31:29'!AA86)</f>
        <v>0</v>
      </c>
      <c r="AB86" s="14">
        <f>+SUM('31:29'!AB86)</f>
        <v>0</v>
      </c>
      <c r="AC86" s="14">
        <f>+SUM('31:29'!AC86)</f>
        <v>0</v>
      </c>
    </row>
    <row r="87" spans="1:29" s="2" customFormat="1" ht="21.95" customHeight="1">
      <c r="A87" s="141">
        <v>300385</v>
      </c>
      <c r="B87" s="135" t="s">
        <v>87</v>
      </c>
      <c r="C87" s="219" t="s">
        <v>94</v>
      </c>
      <c r="D87" s="219" t="s">
        <v>98</v>
      </c>
      <c r="E87" s="147" t="s">
        <v>99</v>
      </c>
      <c r="F87" s="146"/>
      <c r="G87" s="14">
        <f>+SUM('31:29'!G87)</f>
        <v>0</v>
      </c>
      <c r="H87" s="14">
        <f>+SUM('31:29'!H87)</f>
        <v>0</v>
      </c>
      <c r="I87" s="14">
        <f>+SUM('31:29'!I87)</f>
        <v>0</v>
      </c>
      <c r="J87" s="14">
        <f>+SUM('31:29'!J87)</f>
        <v>0</v>
      </c>
      <c r="K87" s="145">
        <f t="shared" si="7"/>
        <v>0</v>
      </c>
      <c r="L87" s="145">
        <f t="shared" si="8"/>
        <v>0</v>
      </c>
      <c r="M87" s="145">
        <v>415.5</v>
      </c>
      <c r="N87" s="15">
        <f>+M87*1000/(51*1*110*60)*T87</f>
        <v>8.6408199643493759</v>
      </c>
      <c r="O87" s="14">
        <f>+SUM('31:29'!O87)</f>
        <v>0</v>
      </c>
      <c r="P87" s="145">
        <f t="shared" si="9"/>
        <v>0</v>
      </c>
      <c r="Q87" s="14">
        <f>+SUM('31:29'!Q87)</f>
        <v>0</v>
      </c>
      <c r="R87" s="19">
        <f t="shared" si="10"/>
        <v>0</v>
      </c>
      <c r="S87" s="145">
        <f t="shared" si="11"/>
        <v>0</v>
      </c>
      <c r="T87" s="20">
        <v>7</v>
      </c>
      <c r="U87" s="14">
        <f>+SUM('31:29'!U87)</f>
        <v>0</v>
      </c>
      <c r="V87" s="142"/>
      <c r="W87" s="14">
        <f>+SUM('31:29'!W87)</f>
        <v>0</v>
      </c>
      <c r="X87" s="14">
        <f>+SUM('31:29'!X87)</f>
        <v>0</v>
      </c>
      <c r="Y87" s="14">
        <f>+SUM('31:29'!Y87)</f>
        <v>0</v>
      </c>
      <c r="Z87" s="14">
        <f>+SUM('31:29'!Z87)</f>
        <v>0</v>
      </c>
      <c r="AA87" s="14">
        <f>+SUM('31:29'!AA87)</f>
        <v>0</v>
      </c>
      <c r="AB87" s="14">
        <f>+SUM('31:29'!AB87)</f>
        <v>0</v>
      </c>
      <c r="AC87" s="14">
        <f>+SUM('31:29'!AC87)</f>
        <v>0</v>
      </c>
    </row>
    <row r="88" spans="1:29" ht="21.95" customHeight="1">
      <c r="A88" s="141">
        <v>300352</v>
      </c>
      <c r="B88" s="135" t="s">
        <v>87</v>
      </c>
      <c r="C88" s="219" t="s">
        <v>100</v>
      </c>
      <c r="D88" s="219" t="s">
        <v>95</v>
      </c>
      <c r="E88" s="147" t="s">
        <v>35</v>
      </c>
      <c r="F88" s="13"/>
      <c r="G88" s="14">
        <f>+SUM('31:29'!G88)</f>
        <v>0</v>
      </c>
      <c r="H88" s="14">
        <f>+SUM('31:29'!H88)</f>
        <v>0</v>
      </c>
      <c r="I88" s="14">
        <f>+SUM('31:29'!I88)</f>
        <v>0</v>
      </c>
      <c r="J88" s="14">
        <f>+SUM('31:29'!J88)</f>
        <v>0</v>
      </c>
      <c r="K88" s="145">
        <f t="shared" si="7"/>
        <v>0</v>
      </c>
      <c r="L88" s="145">
        <f t="shared" si="8"/>
        <v>0</v>
      </c>
      <c r="M88" s="145">
        <v>515.9</v>
      </c>
      <c r="N88" s="145">
        <f>+M88*1000/(80*1*110*60)*T88</f>
        <v>6.8395833333333336</v>
      </c>
      <c r="O88" s="14">
        <f>+SUM('31:29'!O88)</f>
        <v>0</v>
      </c>
      <c r="P88" s="145">
        <f t="shared" si="9"/>
        <v>0</v>
      </c>
      <c r="Q88" s="14">
        <f>+SUM('31:29'!Q88)</f>
        <v>0</v>
      </c>
      <c r="R88" s="19">
        <f t="shared" si="10"/>
        <v>0</v>
      </c>
      <c r="S88" s="145">
        <f t="shared" si="11"/>
        <v>0</v>
      </c>
      <c r="T88" s="20">
        <v>7</v>
      </c>
      <c r="U88" s="14">
        <f>+SUM('31:29'!U88)</f>
        <v>0</v>
      </c>
      <c r="V88" s="142" t="str">
        <f t="array" ref="V88">IF(ISERROR(L88/K88),"",L88/K88)</f>
        <v/>
      </c>
      <c r="W88" s="14">
        <f>+SUM('31:29'!W88)</f>
        <v>0</v>
      </c>
      <c r="X88" s="14">
        <f>+SUM('31:29'!X88)</f>
        <v>0</v>
      </c>
      <c r="Y88" s="14">
        <f>+SUM('31:29'!Y88)</f>
        <v>0</v>
      </c>
      <c r="Z88" s="14">
        <f>+SUM('31:29'!Z88)</f>
        <v>0</v>
      </c>
      <c r="AA88" s="14">
        <f>+SUM('31:29'!AA88)</f>
        <v>0</v>
      </c>
      <c r="AB88" s="14">
        <f>+SUM('31:29'!AB88)</f>
        <v>0</v>
      </c>
      <c r="AC88" s="14">
        <f>+SUM('31:29'!AC88)</f>
        <v>0</v>
      </c>
    </row>
    <row r="89" spans="1:29" ht="21.95" customHeight="1">
      <c r="A89" s="141">
        <v>300353</v>
      </c>
      <c r="B89" s="135" t="s">
        <v>87</v>
      </c>
      <c r="C89" s="219" t="s">
        <v>100</v>
      </c>
      <c r="D89" s="219" t="s">
        <v>95</v>
      </c>
      <c r="E89" s="147" t="s">
        <v>99</v>
      </c>
      <c r="F89" s="13"/>
      <c r="G89" s="14">
        <f>+SUM('31:29'!G89)</f>
        <v>0</v>
      </c>
      <c r="H89" s="14">
        <f>+SUM('31:29'!H89)</f>
        <v>0</v>
      </c>
      <c r="I89" s="14">
        <f>+SUM('31:29'!I89)</f>
        <v>0</v>
      </c>
      <c r="J89" s="14">
        <f>+SUM('31:29'!J89)</f>
        <v>0</v>
      </c>
      <c r="K89" s="145">
        <f t="shared" si="7"/>
        <v>0</v>
      </c>
      <c r="L89" s="145">
        <f t="shared" si="8"/>
        <v>0</v>
      </c>
      <c r="M89" s="145">
        <v>515.9</v>
      </c>
      <c r="N89" s="145">
        <f>+M89*1000/(80*1*110*60)*T89</f>
        <v>6.8395833333333336</v>
      </c>
      <c r="O89" s="14">
        <f>+SUM('31:29'!O89)</f>
        <v>0</v>
      </c>
      <c r="P89" s="145">
        <f t="shared" si="9"/>
        <v>0</v>
      </c>
      <c r="Q89" s="14">
        <f>+SUM('31:29'!Q89)</f>
        <v>0</v>
      </c>
      <c r="R89" s="19">
        <f t="shared" si="10"/>
        <v>0</v>
      </c>
      <c r="S89" s="145">
        <f t="shared" si="11"/>
        <v>0</v>
      </c>
      <c r="T89" s="20">
        <v>7</v>
      </c>
      <c r="U89" s="14">
        <f>+SUM('31:29'!U89)</f>
        <v>0</v>
      </c>
      <c r="V89" s="142" t="str">
        <f t="array" ref="V89">IF(ISERROR(L89/K89),"",L89/K89)</f>
        <v/>
      </c>
      <c r="W89" s="14">
        <f>+SUM('31:29'!W89)</f>
        <v>0</v>
      </c>
      <c r="X89" s="14">
        <f>+SUM('31:29'!X89)</f>
        <v>0</v>
      </c>
      <c r="Y89" s="14">
        <f>+SUM('31:29'!Y89)</f>
        <v>0</v>
      </c>
      <c r="Z89" s="14">
        <f>+SUM('31:29'!Z89)</f>
        <v>0</v>
      </c>
      <c r="AA89" s="14">
        <f>+SUM('31:29'!AA89)</f>
        <v>0</v>
      </c>
      <c r="AB89" s="14">
        <f>+SUM('31:29'!AB89)</f>
        <v>0</v>
      </c>
      <c r="AC89" s="14">
        <f>+SUM('31:29'!AC89)</f>
        <v>0</v>
      </c>
    </row>
    <row r="90" spans="1:29" ht="21.95" customHeight="1">
      <c r="A90" s="141">
        <v>300351</v>
      </c>
      <c r="B90" s="135" t="s">
        <v>87</v>
      </c>
      <c r="C90" s="219" t="s">
        <v>100</v>
      </c>
      <c r="D90" s="219" t="s">
        <v>95</v>
      </c>
      <c r="E90" s="147" t="s">
        <v>41</v>
      </c>
      <c r="F90" s="13"/>
      <c r="G90" s="14">
        <f>+SUM('31:29'!G90)</f>
        <v>0</v>
      </c>
      <c r="H90" s="14">
        <f>+SUM('31:29'!H90)</f>
        <v>0</v>
      </c>
      <c r="I90" s="14">
        <f>+SUM('31:29'!I90)</f>
        <v>0</v>
      </c>
      <c r="J90" s="14">
        <f>+SUM('31:29'!J90)</f>
        <v>0</v>
      </c>
      <c r="K90" s="145">
        <f t="shared" si="7"/>
        <v>0</v>
      </c>
      <c r="L90" s="145">
        <f t="shared" si="8"/>
        <v>0</v>
      </c>
      <c r="M90" s="145">
        <v>515.9</v>
      </c>
      <c r="N90" s="145">
        <f>+M90*1000/(80*1*110*60)*T90</f>
        <v>6.8395833333333336</v>
      </c>
      <c r="O90" s="14">
        <f>+SUM('31:29'!O90)</f>
        <v>0</v>
      </c>
      <c r="P90" s="145">
        <f t="shared" si="9"/>
        <v>0</v>
      </c>
      <c r="Q90" s="14">
        <f>+SUM('31:29'!Q90)</f>
        <v>0</v>
      </c>
      <c r="R90" s="19">
        <f t="shared" si="10"/>
        <v>0</v>
      </c>
      <c r="S90" s="145">
        <f t="shared" si="11"/>
        <v>0</v>
      </c>
      <c r="T90" s="20">
        <v>7</v>
      </c>
      <c r="U90" s="14">
        <f>+SUM('31:29'!U90)</f>
        <v>0</v>
      </c>
      <c r="V90" s="142" t="str">
        <f t="array" ref="V90">IF(ISERROR(L90/K90),"",L90/K90)</f>
        <v/>
      </c>
      <c r="W90" s="14">
        <f>+SUM('31:29'!W90)</f>
        <v>0</v>
      </c>
      <c r="X90" s="14">
        <f>+SUM('31:29'!X90)</f>
        <v>0</v>
      </c>
      <c r="Y90" s="14">
        <f>+SUM('31:29'!Y90)</f>
        <v>0</v>
      </c>
      <c r="Z90" s="14">
        <f>+SUM('31:29'!Z90)</f>
        <v>0</v>
      </c>
      <c r="AA90" s="14">
        <f>+SUM('31:29'!AA90)</f>
        <v>0</v>
      </c>
      <c r="AB90" s="14">
        <f>+SUM('31:29'!AB90)</f>
        <v>0</v>
      </c>
      <c r="AC90" s="14">
        <f>+SUM('31:29'!AC90)</f>
        <v>0</v>
      </c>
    </row>
    <row r="91" spans="1:29" ht="21.95" customHeight="1">
      <c r="A91" s="141">
        <v>300354</v>
      </c>
      <c r="B91" s="135" t="s">
        <v>87</v>
      </c>
      <c r="C91" s="219" t="s">
        <v>100</v>
      </c>
      <c r="D91" s="219" t="s">
        <v>95</v>
      </c>
      <c r="E91" s="147" t="s">
        <v>66</v>
      </c>
      <c r="F91" s="13"/>
      <c r="G91" s="14">
        <f>+SUM('31:29'!G91)</f>
        <v>0</v>
      </c>
      <c r="H91" s="14">
        <f>+SUM('31:29'!H91)</f>
        <v>0</v>
      </c>
      <c r="I91" s="14">
        <f>+SUM('31:29'!I91)</f>
        <v>0</v>
      </c>
      <c r="J91" s="14">
        <f>+SUM('31:29'!J91)</f>
        <v>0</v>
      </c>
      <c r="K91" s="145">
        <f t="shared" si="7"/>
        <v>0</v>
      </c>
      <c r="L91" s="145">
        <f t="shared" si="8"/>
        <v>0</v>
      </c>
      <c r="M91" s="145">
        <v>515.9</v>
      </c>
      <c r="N91" s="145">
        <f>+M91*1000/(80*1*110*60)*T91</f>
        <v>6.8395833333333336</v>
      </c>
      <c r="O91" s="14">
        <f>+SUM('31:29'!O91)</f>
        <v>0</v>
      </c>
      <c r="P91" s="145">
        <f t="shared" si="9"/>
        <v>0</v>
      </c>
      <c r="Q91" s="14">
        <f>+SUM('31:29'!Q91)</f>
        <v>0</v>
      </c>
      <c r="R91" s="19">
        <f t="shared" si="10"/>
        <v>0</v>
      </c>
      <c r="S91" s="145">
        <f t="shared" si="11"/>
        <v>0</v>
      </c>
      <c r="T91" s="20">
        <v>7</v>
      </c>
      <c r="U91" s="14">
        <f>+SUM('31:29'!U91)</f>
        <v>0</v>
      </c>
      <c r="V91" s="142" t="str">
        <f t="array" ref="V91">IF(ISERROR(L91/K91),"",L91/K91)</f>
        <v/>
      </c>
      <c r="W91" s="14">
        <f>+SUM('31:29'!W91)</f>
        <v>0</v>
      </c>
      <c r="X91" s="14">
        <f>+SUM('31:29'!X91)</f>
        <v>0</v>
      </c>
      <c r="Y91" s="14">
        <f>+SUM('31:29'!Y91)</f>
        <v>0</v>
      </c>
      <c r="Z91" s="14">
        <f>+SUM('31:29'!Z91)</f>
        <v>0</v>
      </c>
      <c r="AA91" s="14">
        <f>+SUM('31:29'!AA91)</f>
        <v>0</v>
      </c>
      <c r="AB91" s="14">
        <f>+SUM('31:29'!AB91)</f>
        <v>0</v>
      </c>
      <c r="AC91" s="14">
        <f>+SUM('31:29'!AC91)</f>
        <v>0</v>
      </c>
    </row>
    <row r="92" spans="1:29" ht="21.95" customHeight="1">
      <c r="A92" s="141">
        <v>300250</v>
      </c>
      <c r="B92" s="135" t="s">
        <v>87</v>
      </c>
      <c r="C92" s="219" t="s">
        <v>101</v>
      </c>
      <c r="D92" s="219" t="s">
        <v>95</v>
      </c>
      <c r="E92" s="147" t="s">
        <v>35</v>
      </c>
      <c r="F92" s="13"/>
      <c r="G92" s="14">
        <f>+SUM('31:29'!G92)</f>
        <v>0</v>
      </c>
      <c r="H92" s="14">
        <f>+SUM('31:29'!H92)</f>
        <v>0</v>
      </c>
      <c r="I92" s="14">
        <f>+SUM('31:29'!I92)</f>
        <v>0</v>
      </c>
      <c r="J92" s="14">
        <f>+SUM('31:29'!J92)</f>
        <v>0</v>
      </c>
      <c r="K92" s="145">
        <f t="shared" si="7"/>
        <v>0</v>
      </c>
      <c r="L92" s="145">
        <f t="shared" si="8"/>
        <v>0</v>
      </c>
      <c r="M92" s="145">
        <v>412.5</v>
      </c>
      <c r="N92" s="145">
        <f>+M92*1000/(84*1*110*60)*T92</f>
        <v>5.2083333333333339</v>
      </c>
      <c r="O92" s="14">
        <f>+SUM('31:29'!O92)</f>
        <v>0</v>
      </c>
      <c r="P92" s="145">
        <f t="shared" si="9"/>
        <v>0</v>
      </c>
      <c r="Q92" s="14">
        <f>+SUM('31:29'!Q92)</f>
        <v>0</v>
      </c>
      <c r="R92" s="19">
        <f t="shared" si="10"/>
        <v>0</v>
      </c>
      <c r="S92" s="145">
        <f t="shared" si="11"/>
        <v>0</v>
      </c>
      <c r="T92" s="20">
        <v>7</v>
      </c>
      <c r="U92" s="14">
        <f>+SUM('31:29'!U92)</f>
        <v>0</v>
      </c>
      <c r="V92" s="142" t="str">
        <f t="array" ref="V92">IF(ISERROR(L92/K92),"",L92/K92)</f>
        <v/>
      </c>
      <c r="W92" s="14">
        <f>+SUM('31:29'!W92)</f>
        <v>0</v>
      </c>
      <c r="X92" s="14">
        <f>+SUM('31:29'!X92)</f>
        <v>0</v>
      </c>
      <c r="Y92" s="14">
        <f>+SUM('31:29'!Y92)</f>
        <v>0</v>
      </c>
      <c r="Z92" s="14">
        <f>+SUM('31:29'!Z92)</f>
        <v>0</v>
      </c>
      <c r="AA92" s="14">
        <f>+SUM('31:29'!AA92)</f>
        <v>0</v>
      </c>
      <c r="AB92" s="14">
        <f>+SUM('31:29'!AB92)</f>
        <v>0</v>
      </c>
      <c r="AC92" s="14">
        <f>+SUM('31:29'!AC92)</f>
        <v>0</v>
      </c>
    </row>
    <row r="93" spans="1:29" ht="21.95" customHeight="1">
      <c r="A93" s="141">
        <v>300251</v>
      </c>
      <c r="B93" s="135" t="s">
        <v>87</v>
      </c>
      <c r="C93" s="219" t="s">
        <v>101</v>
      </c>
      <c r="D93" s="219" t="s">
        <v>95</v>
      </c>
      <c r="E93" s="147" t="s">
        <v>99</v>
      </c>
      <c r="F93" s="13"/>
      <c r="G93" s="14">
        <f>+SUM('31:29'!G93)</f>
        <v>0</v>
      </c>
      <c r="H93" s="14">
        <f>+SUM('31:29'!H93)</f>
        <v>0</v>
      </c>
      <c r="I93" s="14">
        <f>+SUM('31:29'!I93)</f>
        <v>0</v>
      </c>
      <c r="J93" s="14">
        <f>+SUM('31:29'!J93)</f>
        <v>0</v>
      </c>
      <c r="K93" s="145">
        <f t="shared" si="7"/>
        <v>0</v>
      </c>
      <c r="L93" s="145">
        <f t="shared" si="8"/>
        <v>0</v>
      </c>
      <c r="M93" s="145">
        <v>412.5</v>
      </c>
      <c r="N93" s="145">
        <f>+M93*1000/(84*1*110*60)*T93</f>
        <v>5.2083333333333339</v>
      </c>
      <c r="O93" s="14">
        <f>+SUM('31:29'!O93)</f>
        <v>0</v>
      </c>
      <c r="P93" s="145">
        <f t="shared" si="9"/>
        <v>0</v>
      </c>
      <c r="Q93" s="14">
        <f>+SUM('31:29'!Q93)</f>
        <v>0</v>
      </c>
      <c r="R93" s="19">
        <f t="shared" si="10"/>
        <v>0</v>
      </c>
      <c r="S93" s="145">
        <f t="shared" si="11"/>
        <v>0</v>
      </c>
      <c r="T93" s="20">
        <v>7</v>
      </c>
      <c r="U93" s="14">
        <f>+SUM('31:29'!U93)</f>
        <v>0</v>
      </c>
      <c r="V93" s="142" t="str">
        <f t="array" ref="V93">IF(ISERROR(L93/K93),"",L93/K93)</f>
        <v/>
      </c>
      <c r="W93" s="14">
        <f>+SUM('31:29'!W93)</f>
        <v>0</v>
      </c>
      <c r="X93" s="14">
        <f>+SUM('31:29'!X93)</f>
        <v>0</v>
      </c>
      <c r="Y93" s="14">
        <f>+SUM('31:29'!Y93)</f>
        <v>0</v>
      </c>
      <c r="Z93" s="14">
        <f>+SUM('31:29'!Z93)</f>
        <v>0</v>
      </c>
      <c r="AA93" s="14">
        <f>+SUM('31:29'!AA93)</f>
        <v>0</v>
      </c>
      <c r="AB93" s="14">
        <f>+SUM('31:29'!AB93)</f>
        <v>0</v>
      </c>
      <c r="AC93" s="14">
        <f>+SUM('31:29'!AC93)</f>
        <v>0</v>
      </c>
    </row>
    <row r="94" spans="1:29" ht="21.95" customHeight="1">
      <c r="A94" s="141">
        <v>300254</v>
      </c>
      <c r="B94" s="135" t="s">
        <v>87</v>
      </c>
      <c r="C94" s="219" t="s">
        <v>101</v>
      </c>
      <c r="D94" s="219" t="s">
        <v>95</v>
      </c>
      <c r="E94" s="147" t="s">
        <v>41</v>
      </c>
      <c r="F94" s="13"/>
      <c r="G94" s="14">
        <f>+SUM('31:29'!G94)</f>
        <v>0</v>
      </c>
      <c r="H94" s="14">
        <f>+SUM('31:29'!H94)</f>
        <v>0</v>
      </c>
      <c r="I94" s="14">
        <f>+SUM('31:29'!I94)</f>
        <v>0</v>
      </c>
      <c r="J94" s="14">
        <f>+SUM('31:29'!J94)</f>
        <v>0</v>
      </c>
      <c r="K94" s="145">
        <f t="shared" si="7"/>
        <v>0</v>
      </c>
      <c r="L94" s="145">
        <f t="shared" si="8"/>
        <v>0</v>
      </c>
      <c r="M94" s="145">
        <v>412.5</v>
      </c>
      <c r="N94" s="145">
        <f>+M94*1000/(84*1*110*60)*T94</f>
        <v>5.2083333333333339</v>
      </c>
      <c r="O94" s="14">
        <f>+SUM('31:29'!O94)</f>
        <v>0</v>
      </c>
      <c r="P94" s="145">
        <f t="shared" si="9"/>
        <v>0</v>
      </c>
      <c r="Q94" s="14">
        <f>+SUM('31:29'!Q94)</f>
        <v>0</v>
      </c>
      <c r="R94" s="19">
        <f t="shared" si="10"/>
        <v>0</v>
      </c>
      <c r="S94" s="145">
        <f t="shared" si="11"/>
        <v>0</v>
      </c>
      <c r="T94" s="20">
        <v>7</v>
      </c>
      <c r="U94" s="14">
        <f>+SUM('31:29'!U94)</f>
        <v>0</v>
      </c>
      <c r="V94" s="142" t="str">
        <f t="array" ref="V94">IF(ISERROR(L94/K94),"",L94/K94)</f>
        <v/>
      </c>
      <c r="W94" s="14">
        <f>+SUM('31:29'!W94)</f>
        <v>0</v>
      </c>
      <c r="X94" s="14">
        <f>+SUM('31:29'!X94)</f>
        <v>0</v>
      </c>
      <c r="Y94" s="14">
        <f>+SUM('31:29'!Y94)</f>
        <v>0</v>
      </c>
      <c r="Z94" s="14">
        <f>+SUM('31:29'!Z94)</f>
        <v>0</v>
      </c>
      <c r="AA94" s="14">
        <f>+SUM('31:29'!AA94)</f>
        <v>0</v>
      </c>
      <c r="AB94" s="14">
        <f>+SUM('31:29'!AB94)</f>
        <v>0</v>
      </c>
      <c r="AC94" s="14">
        <f>+SUM('31:29'!AC94)</f>
        <v>0</v>
      </c>
    </row>
    <row r="95" spans="1:29" ht="21.95" customHeight="1">
      <c r="A95" s="141">
        <v>300253</v>
      </c>
      <c r="B95" s="135" t="s">
        <v>87</v>
      </c>
      <c r="C95" s="219" t="s">
        <v>101</v>
      </c>
      <c r="D95" s="219" t="s">
        <v>95</v>
      </c>
      <c r="E95" s="147" t="s">
        <v>66</v>
      </c>
      <c r="F95" s="13"/>
      <c r="G95" s="14">
        <f>+SUM('31:29'!G95)</f>
        <v>0</v>
      </c>
      <c r="H95" s="14">
        <f>+SUM('31:29'!H95)</f>
        <v>0</v>
      </c>
      <c r="I95" s="14">
        <f>+SUM('31:29'!I95)</f>
        <v>0</v>
      </c>
      <c r="J95" s="14">
        <f>+SUM('31:29'!J95)</f>
        <v>0</v>
      </c>
      <c r="K95" s="145">
        <f t="shared" si="7"/>
        <v>0</v>
      </c>
      <c r="L95" s="145">
        <f t="shared" si="8"/>
        <v>0</v>
      </c>
      <c r="M95" s="145">
        <v>412.5</v>
      </c>
      <c r="N95" s="145">
        <f>+M95*1000/(84*1*110*60)*T95</f>
        <v>5.2083333333333339</v>
      </c>
      <c r="O95" s="14">
        <f>+SUM('31:29'!O95)</f>
        <v>0</v>
      </c>
      <c r="P95" s="145">
        <f t="shared" si="9"/>
        <v>0</v>
      </c>
      <c r="Q95" s="14">
        <f>+SUM('31:29'!Q95)</f>
        <v>0</v>
      </c>
      <c r="R95" s="19">
        <f t="shared" si="10"/>
        <v>0</v>
      </c>
      <c r="S95" s="145">
        <f t="shared" si="11"/>
        <v>0</v>
      </c>
      <c r="T95" s="20">
        <v>7</v>
      </c>
      <c r="U95" s="14">
        <f>+SUM('31:29'!U95)</f>
        <v>0</v>
      </c>
      <c r="V95" s="142" t="str">
        <f t="array" ref="V95">IF(ISERROR(L95/K95),"",L95/K95)</f>
        <v/>
      </c>
      <c r="W95" s="14">
        <f>+SUM('31:29'!W95)</f>
        <v>0</v>
      </c>
      <c r="X95" s="14">
        <f>+SUM('31:29'!X95)</f>
        <v>0</v>
      </c>
      <c r="Y95" s="14">
        <f>+SUM('31:29'!Y95)</f>
        <v>0</v>
      </c>
      <c r="Z95" s="14">
        <f>+SUM('31:29'!Z95)</f>
        <v>0</v>
      </c>
      <c r="AA95" s="14">
        <f>+SUM('31:29'!AA95)</f>
        <v>0</v>
      </c>
      <c r="AB95" s="14">
        <f>+SUM('31:29'!AB95)</f>
        <v>0</v>
      </c>
      <c r="AC95" s="14">
        <f>+SUM('31:29'!AC95)</f>
        <v>0</v>
      </c>
    </row>
    <row r="96" spans="1:29" ht="23.25" customHeight="1">
      <c r="A96" s="141">
        <v>300255</v>
      </c>
      <c r="B96" s="135" t="s">
        <v>87</v>
      </c>
      <c r="C96" s="219" t="s">
        <v>101</v>
      </c>
      <c r="D96" s="219" t="s">
        <v>95</v>
      </c>
      <c r="E96" s="147" t="s">
        <v>102</v>
      </c>
      <c r="F96" s="13"/>
      <c r="G96" s="14">
        <f>+SUM('31:29'!G96)</f>
        <v>0</v>
      </c>
      <c r="H96" s="14">
        <f>+SUM('31:29'!H96)</f>
        <v>0</v>
      </c>
      <c r="I96" s="14">
        <f>+SUM('31:29'!I96)</f>
        <v>0</v>
      </c>
      <c r="J96" s="14">
        <f>+SUM('31:29'!J96)</f>
        <v>0</v>
      </c>
      <c r="K96" s="145">
        <f t="shared" si="7"/>
        <v>0</v>
      </c>
      <c r="L96" s="145">
        <f t="shared" si="8"/>
        <v>0</v>
      </c>
      <c r="M96" s="145">
        <v>412.5</v>
      </c>
      <c r="N96" s="145">
        <f>+M96*1000/(84*1*110*60)*T96</f>
        <v>5.2083333333333339</v>
      </c>
      <c r="O96" s="14">
        <f>+SUM('31:29'!O96)</f>
        <v>0</v>
      </c>
      <c r="P96" s="145">
        <f t="shared" si="9"/>
        <v>0</v>
      </c>
      <c r="Q96" s="14">
        <f>+SUM('31:29'!Q96)</f>
        <v>0</v>
      </c>
      <c r="R96" s="19">
        <f t="shared" si="10"/>
        <v>0</v>
      </c>
      <c r="S96" s="145">
        <f t="shared" si="11"/>
        <v>0</v>
      </c>
      <c r="T96" s="20">
        <v>7</v>
      </c>
      <c r="U96" s="14">
        <f>+SUM('31:29'!U96)</f>
        <v>0</v>
      </c>
      <c r="V96" s="142" t="str">
        <f t="array" ref="V96">IF(ISERROR(L96/K96),"",L96/K96)</f>
        <v/>
      </c>
      <c r="W96" s="14">
        <f>+SUM('31:29'!W96)</f>
        <v>0</v>
      </c>
      <c r="X96" s="14">
        <f>+SUM('31:29'!X96)</f>
        <v>0</v>
      </c>
      <c r="Y96" s="14">
        <f>+SUM('31:29'!Y96)</f>
        <v>0</v>
      </c>
      <c r="Z96" s="14">
        <f>+SUM('31:29'!Z96)</f>
        <v>0</v>
      </c>
      <c r="AA96" s="14">
        <f>+SUM('31:29'!AA96)</f>
        <v>0</v>
      </c>
      <c r="AB96" s="14">
        <f>+SUM('31:29'!AB96)</f>
        <v>0</v>
      </c>
      <c r="AC96" s="14">
        <f>+SUM('31:29'!AC96)</f>
        <v>0</v>
      </c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4">
        <f>+SUM('31:29'!G97)</f>
        <v>0</v>
      </c>
      <c r="H97" s="14">
        <f>+SUM('31:29'!H97)</f>
        <v>0</v>
      </c>
      <c r="I97" s="14">
        <f>+SUM('31:29'!I97)</f>
        <v>0</v>
      </c>
      <c r="J97" s="14">
        <f>+SUM('31:29'!J97)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+SUM('31:29'!O97)</f>
        <v>0</v>
      </c>
      <c r="P97" s="28">
        <f t="shared" si="9"/>
        <v>0</v>
      </c>
      <c r="Q97" s="14">
        <f>+SUM('31:29'!Q97)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14">
        <f>+SUM('31:29'!U97)</f>
        <v>0</v>
      </c>
      <c r="V97" s="112" t="str">
        <f t="array" ref="V97">IF(ISERROR(L97/K97),"",L97/K97)</f>
        <v/>
      </c>
      <c r="W97" s="14">
        <f>+SUM('31:29'!W97)</f>
        <v>0</v>
      </c>
      <c r="X97" s="14">
        <f>+SUM('31:29'!X97)</f>
        <v>0</v>
      </c>
      <c r="Y97" s="14">
        <f>+SUM('31:29'!Y97)</f>
        <v>0</v>
      </c>
      <c r="Z97" s="14">
        <f>+SUM('31:29'!Z97)</f>
        <v>0</v>
      </c>
      <c r="AA97" s="14">
        <f>+SUM('31:29'!AA97)</f>
        <v>0</v>
      </c>
      <c r="AB97" s="14">
        <f>+SUM('31:29'!AB97)</f>
        <v>0</v>
      </c>
      <c r="AC97" s="14">
        <f>+SUM('31:29'!AC97)</f>
        <v>0</v>
      </c>
    </row>
    <row r="98" spans="1:29" ht="21.95" customHeight="1">
      <c r="A98" s="141">
        <v>300088</v>
      </c>
      <c r="B98" s="135" t="s">
        <v>87</v>
      </c>
      <c r="C98" s="219" t="s">
        <v>310</v>
      </c>
      <c r="D98" s="219" t="s">
        <v>91</v>
      </c>
      <c r="E98" s="147" t="s">
        <v>39</v>
      </c>
      <c r="F98" s="13"/>
      <c r="G98" s="14">
        <f>+SUM('31:29'!G98)</f>
        <v>0</v>
      </c>
      <c r="H98" s="14">
        <f>+SUM('31:29'!H98)</f>
        <v>0</v>
      </c>
      <c r="I98" s="14">
        <f>+SUM('31:29'!I98)</f>
        <v>0</v>
      </c>
      <c r="J98" s="14">
        <f>+SUM('31:29'!J98)</f>
        <v>0</v>
      </c>
      <c r="K98" s="145">
        <f t="shared" si="7"/>
        <v>0</v>
      </c>
      <c r="L98" s="145">
        <f t="shared" si="8"/>
        <v>0</v>
      </c>
      <c r="M98" s="145">
        <v>617.79999999999995</v>
      </c>
      <c r="N98" s="145">
        <f>+M98*1000/(123*1*80*60)*T98</f>
        <v>3.1392276422764223</v>
      </c>
      <c r="O98" s="14">
        <f>+SUM('31:29'!O98)</f>
        <v>0</v>
      </c>
      <c r="P98" s="145">
        <f t="shared" si="9"/>
        <v>0</v>
      </c>
      <c r="Q98" s="14">
        <f>+SUM('31:29'!Q98)</f>
        <v>0</v>
      </c>
      <c r="R98" s="19">
        <f t="shared" si="10"/>
        <v>0</v>
      </c>
      <c r="S98" s="145">
        <f t="shared" si="11"/>
        <v>0</v>
      </c>
      <c r="T98" s="20">
        <v>3</v>
      </c>
      <c r="U98" s="14">
        <f>+SUM('31:29'!U98)</f>
        <v>0</v>
      </c>
      <c r="V98" s="142" t="str">
        <f t="array" ref="V98">IF(ISERROR(L98/K98),"",L98/K98)</f>
        <v/>
      </c>
      <c r="W98" s="14">
        <f>+SUM('31:29'!W98)</f>
        <v>0</v>
      </c>
      <c r="X98" s="14">
        <f>+SUM('31:29'!X98)</f>
        <v>0</v>
      </c>
      <c r="Y98" s="14">
        <f>+SUM('31:29'!Y98)</f>
        <v>0</v>
      </c>
      <c r="Z98" s="14">
        <f>+SUM('31:29'!Z98)</f>
        <v>0</v>
      </c>
      <c r="AA98" s="14">
        <f>+SUM('31:29'!AA98)</f>
        <v>0</v>
      </c>
      <c r="AB98" s="14">
        <f>+SUM('31:29'!AB98)</f>
        <v>0</v>
      </c>
      <c r="AC98" s="14">
        <f>+SUM('31:29'!AC98)</f>
        <v>0</v>
      </c>
    </row>
    <row r="99" spans="1:29" ht="21.95" customHeight="1">
      <c r="A99" s="141">
        <v>300089</v>
      </c>
      <c r="B99" s="135" t="s">
        <v>87</v>
      </c>
      <c r="C99" s="219" t="s">
        <v>310</v>
      </c>
      <c r="D99" s="219" t="s">
        <v>91</v>
      </c>
      <c r="E99" s="147" t="s">
        <v>42</v>
      </c>
      <c r="F99" s="13"/>
      <c r="G99" s="14">
        <f>+SUM('31:29'!G99)</f>
        <v>0</v>
      </c>
      <c r="H99" s="14">
        <f>+SUM('31:29'!H99)</f>
        <v>0</v>
      </c>
      <c r="I99" s="14">
        <f>+SUM('31:29'!I99)</f>
        <v>0</v>
      </c>
      <c r="J99" s="14">
        <f>+SUM('31:29'!J99)</f>
        <v>0</v>
      </c>
      <c r="K99" s="145">
        <f t="shared" si="7"/>
        <v>0</v>
      </c>
      <c r="L99" s="145">
        <f t="shared" si="8"/>
        <v>0</v>
      </c>
      <c r="M99" s="145">
        <v>618.6</v>
      </c>
      <c r="N99" s="145">
        <f>+M99*1000/(124*1*80*60)*T99</f>
        <v>3.117943548387097</v>
      </c>
      <c r="O99" s="14">
        <f>+SUM('31:29'!O99)</f>
        <v>0</v>
      </c>
      <c r="P99" s="145">
        <f t="shared" si="9"/>
        <v>0</v>
      </c>
      <c r="Q99" s="14">
        <f>+SUM('31:29'!Q99)</f>
        <v>0</v>
      </c>
      <c r="R99" s="19">
        <f t="shared" si="10"/>
        <v>0</v>
      </c>
      <c r="S99" s="145">
        <f t="shared" si="11"/>
        <v>0</v>
      </c>
      <c r="T99" s="20">
        <v>3</v>
      </c>
      <c r="U99" s="14">
        <f>+SUM('31:29'!U99)</f>
        <v>0</v>
      </c>
      <c r="V99" s="142" t="str">
        <f t="array" ref="V99">IF(ISERROR(L99/K99),"",L99/K99)</f>
        <v/>
      </c>
      <c r="W99" s="14">
        <f>+SUM('31:29'!W99)</f>
        <v>0</v>
      </c>
      <c r="X99" s="14">
        <f>+SUM('31:29'!X99)</f>
        <v>0</v>
      </c>
      <c r="Y99" s="14">
        <f>+SUM('31:29'!Y99)</f>
        <v>0</v>
      </c>
      <c r="Z99" s="14">
        <f>+SUM('31:29'!Z99)</f>
        <v>0</v>
      </c>
      <c r="AA99" s="14">
        <f>+SUM('31:29'!AA99)</f>
        <v>0</v>
      </c>
      <c r="AB99" s="14">
        <f>+SUM('31:29'!AB99)</f>
        <v>0</v>
      </c>
      <c r="AC99" s="14">
        <f>+SUM('31:29'!AC99)</f>
        <v>0</v>
      </c>
    </row>
    <row r="100" spans="1:29" ht="22.5" customHeight="1">
      <c r="A100" s="141">
        <v>300128</v>
      </c>
      <c r="B100" s="135" t="s">
        <v>87</v>
      </c>
      <c r="C100" s="219" t="s">
        <v>104</v>
      </c>
      <c r="D100" s="219" t="s">
        <v>105</v>
      </c>
      <c r="E100" s="147" t="s">
        <v>35</v>
      </c>
      <c r="F100" s="13"/>
      <c r="G100" s="14">
        <f>+SUM('31:29'!G100)</f>
        <v>0</v>
      </c>
      <c r="H100" s="14">
        <f>+SUM('31:29'!H100)</f>
        <v>0</v>
      </c>
      <c r="I100" s="14">
        <f>+SUM('31:29'!I100)</f>
        <v>0</v>
      </c>
      <c r="J100" s="14">
        <f>+SUM('31:29'!J100)</f>
        <v>0</v>
      </c>
      <c r="K100" s="145">
        <f t="shared" si="7"/>
        <v>0</v>
      </c>
      <c r="L100" s="145">
        <f t="shared" si="8"/>
        <v>0</v>
      </c>
      <c r="M100" s="145">
        <v>621.29999999999995</v>
      </c>
      <c r="N100" s="145">
        <f t="shared" ref="N100:N105" si="12">+M100*1000/(130.5*1*80*60)*T100</f>
        <v>3.9674329501915708</v>
      </c>
      <c r="O100" s="14">
        <f>+SUM('31:29'!O100)</f>
        <v>0</v>
      </c>
      <c r="P100" s="145">
        <f t="shared" si="9"/>
        <v>0</v>
      </c>
      <c r="Q100" s="14">
        <f>+SUM('31:29'!Q100)</f>
        <v>0</v>
      </c>
      <c r="R100" s="19">
        <f t="shared" si="10"/>
        <v>0</v>
      </c>
      <c r="S100" s="145">
        <f t="shared" si="11"/>
        <v>0</v>
      </c>
      <c r="T100" s="20">
        <v>4</v>
      </c>
      <c r="U100" s="14">
        <f>+SUM('31:29'!U100)</f>
        <v>0</v>
      </c>
      <c r="V100" s="142" t="str">
        <f t="array" ref="V100">IF(ISERROR(L100/K100),"",L100/K100)</f>
        <v/>
      </c>
      <c r="W100" s="14">
        <f>+SUM('31:29'!W100)</f>
        <v>0</v>
      </c>
      <c r="X100" s="14">
        <f>+SUM('31:29'!X100)</f>
        <v>0</v>
      </c>
      <c r="Y100" s="14">
        <f>+SUM('31:29'!Y100)</f>
        <v>0</v>
      </c>
      <c r="Z100" s="14">
        <f>+SUM('31:29'!Z100)</f>
        <v>0</v>
      </c>
      <c r="AA100" s="14">
        <f>+SUM('31:29'!AA100)</f>
        <v>0</v>
      </c>
      <c r="AB100" s="14">
        <f>+SUM('31:29'!AB100)</f>
        <v>0</v>
      </c>
      <c r="AC100" s="14">
        <f>+SUM('31:29'!AC100)</f>
        <v>0</v>
      </c>
    </row>
    <row r="101" spans="1:29" ht="21.95" customHeight="1">
      <c r="A101" s="141">
        <v>300129</v>
      </c>
      <c r="B101" s="135" t="s">
        <v>87</v>
      </c>
      <c r="C101" s="219" t="s">
        <v>104</v>
      </c>
      <c r="D101" s="219" t="s">
        <v>105</v>
      </c>
      <c r="E101" s="147" t="s">
        <v>41</v>
      </c>
      <c r="F101" s="13"/>
      <c r="G101" s="14">
        <f>+SUM('31:29'!G101)</f>
        <v>0</v>
      </c>
      <c r="H101" s="14">
        <f>+SUM('31:29'!H101)</f>
        <v>0</v>
      </c>
      <c r="I101" s="14">
        <f>+SUM('31:29'!I101)</f>
        <v>0</v>
      </c>
      <c r="J101" s="14">
        <f>+SUM('31:29'!J101)</f>
        <v>0</v>
      </c>
      <c r="K101" s="145">
        <f t="shared" si="7"/>
        <v>0</v>
      </c>
      <c r="L101" s="145">
        <f t="shared" si="8"/>
        <v>0</v>
      </c>
      <c r="M101" s="145">
        <v>621.29999999999995</v>
      </c>
      <c r="N101" s="145">
        <f t="shared" si="12"/>
        <v>3.9674329501915708</v>
      </c>
      <c r="O101" s="14">
        <f>+SUM('31:29'!O101)</f>
        <v>0</v>
      </c>
      <c r="P101" s="145">
        <f t="shared" si="9"/>
        <v>0</v>
      </c>
      <c r="Q101" s="14">
        <f>+SUM('31:29'!Q101)</f>
        <v>0</v>
      </c>
      <c r="R101" s="19">
        <f t="shared" si="10"/>
        <v>0</v>
      </c>
      <c r="S101" s="145">
        <f t="shared" si="11"/>
        <v>0</v>
      </c>
      <c r="T101" s="20">
        <v>4</v>
      </c>
      <c r="U101" s="14">
        <f>+SUM('31:29'!U101)</f>
        <v>0</v>
      </c>
      <c r="V101" s="142" t="str">
        <f t="array" ref="V101">IF(ISERROR(L101/K101),"",L101/K101)</f>
        <v/>
      </c>
      <c r="W101" s="14">
        <f>+SUM('31:29'!W101)</f>
        <v>0</v>
      </c>
      <c r="X101" s="14">
        <f>+SUM('31:29'!X101)</f>
        <v>0</v>
      </c>
      <c r="Y101" s="14">
        <f>+SUM('31:29'!Y101)</f>
        <v>0</v>
      </c>
      <c r="Z101" s="14">
        <f>+SUM('31:29'!Z101)</f>
        <v>0</v>
      </c>
      <c r="AA101" s="14">
        <f>+SUM('31:29'!AA101)</f>
        <v>0</v>
      </c>
      <c r="AB101" s="14">
        <f>+SUM('31:29'!AB101)</f>
        <v>0</v>
      </c>
      <c r="AC101" s="14">
        <f>+SUM('31:29'!AC101)</f>
        <v>0</v>
      </c>
    </row>
    <row r="102" spans="1:29" ht="21.95" customHeight="1">
      <c r="A102" s="141">
        <v>300130</v>
      </c>
      <c r="B102" s="135" t="s">
        <v>87</v>
      </c>
      <c r="C102" s="219" t="s">
        <v>104</v>
      </c>
      <c r="D102" s="219" t="s">
        <v>105</v>
      </c>
      <c r="E102" s="147" t="s">
        <v>37</v>
      </c>
      <c r="F102" s="13"/>
      <c r="G102" s="14">
        <f>+SUM('31:29'!G102)</f>
        <v>0</v>
      </c>
      <c r="H102" s="14">
        <f>+SUM('31:29'!H102)</f>
        <v>0</v>
      </c>
      <c r="I102" s="14">
        <f>+SUM('31:29'!I102)</f>
        <v>0</v>
      </c>
      <c r="J102" s="14">
        <f>+SUM('31:29'!J102)</f>
        <v>0</v>
      </c>
      <c r="K102" s="145">
        <f t="shared" si="7"/>
        <v>0</v>
      </c>
      <c r="L102" s="145">
        <f t="shared" si="8"/>
        <v>0</v>
      </c>
      <c r="M102" s="145">
        <v>621.29999999999995</v>
      </c>
      <c r="N102" s="145">
        <f t="shared" si="12"/>
        <v>3.9674329501915708</v>
      </c>
      <c r="O102" s="14">
        <f>+SUM('31:29'!O102)</f>
        <v>0</v>
      </c>
      <c r="P102" s="145">
        <f t="shared" si="9"/>
        <v>0</v>
      </c>
      <c r="Q102" s="14">
        <f>+SUM('31:29'!Q102)</f>
        <v>0</v>
      </c>
      <c r="R102" s="19">
        <f t="shared" si="10"/>
        <v>0</v>
      </c>
      <c r="S102" s="145">
        <f t="shared" si="11"/>
        <v>0</v>
      </c>
      <c r="T102" s="20">
        <v>4</v>
      </c>
      <c r="U102" s="14">
        <f>+SUM('31:29'!U102)</f>
        <v>0</v>
      </c>
      <c r="V102" s="142" t="str">
        <f t="array" ref="V102">IF(ISERROR(L102/K102),"",L102/K102)</f>
        <v/>
      </c>
      <c r="W102" s="14">
        <f>+SUM('31:29'!W102)</f>
        <v>0</v>
      </c>
      <c r="X102" s="14">
        <f>+SUM('31:29'!X102)</f>
        <v>0</v>
      </c>
      <c r="Y102" s="14">
        <f>+SUM('31:29'!Y102)</f>
        <v>0</v>
      </c>
      <c r="Z102" s="14">
        <f>+SUM('31:29'!Z102)</f>
        <v>0</v>
      </c>
      <c r="AA102" s="14">
        <f>+SUM('31:29'!AA102)</f>
        <v>0</v>
      </c>
      <c r="AB102" s="14">
        <f>+SUM('31:29'!AB102)</f>
        <v>0</v>
      </c>
      <c r="AC102" s="14">
        <f>+SUM('31:29'!AC102)</f>
        <v>0</v>
      </c>
    </row>
    <row r="103" spans="1:29" ht="21.95" customHeight="1">
      <c r="A103" s="141">
        <v>300423</v>
      </c>
      <c r="B103" s="135" t="s">
        <v>292</v>
      </c>
      <c r="C103" s="230" t="s">
        <v>288</v>
      </c>
      <c r="D103" s="231"/>
      <c r="E103" s="147" t="s">
        <v>289</v>
      </c>
      <c r="F103" s="13"/>
      <c r="G103" s="14">
        <f>+SUM('31:29'!G103)</f>
        <v>0</v>
      </c>
      <c r="H103" s="14">
        <f>+SUM('31:29'!H103)</f>
        <v>0</v>
      </c>
      <c r="I103" s="14">
        <f>+SUM('31:29'!I103)</f>
        <v>0</v>
      </c>
      <c r="J103" s="14">
        <f>+SUM('31:29'!J103)</f>
        <v>0</v>
      </c>
      <c r="K103" s="145">
        <f t="shared" si="7"/>
        <v>0</v>
      </c>
      <c r="L103" s="145">
        <f t="shared" si="8"/>
        <v>0</v>
      </c>
      <c r="M103" s="145">
        <v>524.1</v>
      </c>
      <c r="N103" s="145">
        <f t="shared" si="12"/>
        <v>3.3467432950191571</v>
      </c>
      <c r="O103" s="14">
        <f>+SUM('31:29'!O103)</f>
        <v>0</v>
      </c>
      <c r="P103" s="145">
        <f t="shared" si="9"/>
        <v>0</v>
      </c>
      <c r="Q103" s="14">
        <f>+SUM('31:29'!Q103)</f>
        <v>0</v>
      </c>
      <c r="R103" s="19">
        <f t="shared" si="10"/>
        <v>0</v>
      </c>
      <c r="S103" s="145">
        <f t="shared" si="11"/>
        <v>0</v>
      </c>
      <c r="T103" s="20">
        <v>4</v>
      </c>
      <c r="U103" s="14">
        <f>+SUM('31:29'!U103)</f>
        <v>0</v>
      </c>
      <c r="V103" s="142"/>
      <c r="W103" s="14">
        <f>+SUM('31:29'!W103)</f>
        <v>0</v>
      </c>
      <c r="X103" s="14">
        <f>+SUM('31:29'!X103)</f>
        <v>0</v>
      </c>
      <c r="Y103" s="14">
        <f>+SUM('31:29'!Y103)</f>
        <v>0</v>
      </c>
      <c r="Z103" s="14">
        <f>+SUM('31:29'!Z103)</f>
        <v>0</v>
      </c>
      <c r="AA103" s="14">
        <f>+SUM('31:29'!AA103)</f>
        <v>0</v>
      </c>
      <c r="AB103" s="14">
        <f>+SUM('31:29'!AB103)</f>
        <v>0</v>
      </c>
      <c r="AC103" s="14">
        <f>+SUM('31:29'!AC103)</f>
        <v>0</v>
      </c>
    </row>
    <row r="104" spans="1:29" ht="21.95" customHeight="1">
      <c r="A104" s="141">
        <v>300424</v>
      </c>
      <c r="B104" s="135" t="s">
        <v>292</v>
      </c>
      <c r="C104" s="230" t="s">
        <v>288</v>
      </c>
      <c r="D104" s="231"/>
      <c r="E104" s="147" t="s">
        <v>290</v>
      </c>
      <c r="F104" s="13"/>
      <c r="G104" s="14">
        <f>+SUM('31:29'!G104)</f>
        <v>0</v>
      </c>
      <c r="H104" s="14">
        <f>+SUM('31:29'!H104)</f>
        <v>0</v>
      </c>
      <c r="I104" s="14">
        <f>+SUM('31:29'!I104)</f>
        <v>0</v>
      </c>
      <c r="J104" s="14">
        <f>+SUM('31:29'!J104)</f>
        <v>0</v>
      </c>
      <c r="K104" s="145">
        <f t="shared" si="7"/>
        <v>0</v>
      </c>
      <c r="L104" s="145">
        <f t="shared" si="8"/>
        <v>0</v>
      </c>
      <c r="M104" s="145">
        <v>524.1</v>
      </c>
      <c r="N104" s="145">
        <f t="shared" si="12"/>
        <v>3.3467432950191571</v>
      </c>
      <c r="O104" s="14">
        <f>+SUM('31:29'!O104)</f>
        <v>0</v>
      </c>
      <c r="P104" s="145">
        <f t="shared" si="9"/>
        <v>0</v>
      </c>
      <c r="Q104" s="14">
        <f>+SUM('31:29'!Q104)</f>
        <v>0</v>
      </c>
      <c r="R104" s="19">
        <f t="shared" si="10"/>
        <v>0</v>
      </c>
      <c r="S104" s="145">
        <f t="shared" si="11"/>
        <v>0</v>
      </c>
      <c r="T104" s="20">
        <v>4</v>
      </c>
      <c r="U104" s="14">
        <f>+SUM('31:29'!U104)</f>
        <v>0</v>
      </c>
      <c r="V104" s="142"/>
      <c r="W104" s="14">
        <f>+SUM('31:29'!W104)</f>
        <v>0</v>
      </c>
      <c r="X104" s="14">
        <f>+SUM('31:29'!X104)</f>
        <v>0</v>
      </c>
      <c r="Y104" s="14">
        <f>+SUM('31:29'!Y104)</f>
        <v>0</v>
      </c>
      <c r="Z104" s="14">
        <f>+SUM('31:29'!Z104)</f>
        <v>0</v>
      </c>
      <c r="AA104" s="14">
        <f>+SUM('31:29'!AA104)</f>
        <v>0</v>
      </c>
      <c r="AB104" s="14">
        <f>+SUM('31:29'!AB104)</f>
        <v>0</v>
      </c>
      <c r="AC104" s="14">
        <f>+SUM('31:29'!AC104)</f>
        <v>0</v>
      </c>
    </row>
    <row r="105" spans="1:29" ht="21.95" customHeight="1">
      <c r="A105" s="141">
        <v>300425</v>
      </c>
      <c r="B105" s="135" t="s">
        <v>292</v>
      </c>
      <c r="C105" s="230" t="s">
        <v>288</v>
      </c>
      <c r="D105" s="231"/>
      <c r="E105" s="147" t="s">
        <v>291</v>
      </c>
      <c r="F105" s="13"/>
      <c r="G105" s="14">
        <f>+SUM('31:29'!G105)</f>
        <v>5.7</v>
      </c>
      <c r="H105" s="14">
        <f>+SUM('31:29'!H105)</f>
        <v>0.7</v>
      </c>
      <c r="I105" s="14">
        <f>+SUM('31:29'!I105)</f>
        <v>5.7</v>
      </c>
      <c r="J105" s="14">
        <f>+SUM('31:29'!J105)</f>
        <v>0</v>
      </c>
      <c r="K105" s="145">
        <f t="shared" si="7"/>
        <v>2987.3700000000003</v>
      </c>
      <c r="L105" s="145">
        <f t="shared" si="8"/>
        <v>2987.3700000000003</v>
      </c>
      <c r="M105" s="145">
        <v>524.1</v>
      </c>
      <c r="N105" s="145">
        <f t="shared" si="12"/>
        <v>3.3467432950191571</v>
      </c>
      <c r="O105" s="14">
        <f>+SUM('31:29'!O105)</f>
        <v>0</v>
      </c>
      <c r="P105" s="145">
        <f t="shared" si="9"/>
        <v>19.076436781609196</v>
      </c>
      <c r="Q105" s="14">
        <f>+SUM('31:29'!Q105)</f>
        <v>6</v>
      </c>
      <c r="R105" s="19">
        <f t="shared" si="10"/>
        <v>30</v>
      </c>
      <c r="S105" s="145">
        <f t="shared" si="11"/>
        <v>10.923563218390804</v>
      </c>
      <c r="T105" s="20">
        <v>4</v>
      </c>
      <c r="U105" s="14">
        <f>+SUM('31:29'!U105)</f>
        <v>5</v>
      </c>
      <c r="V105" s="142"/>
      <c r="W105" s="14">
        <f>+SUM('31:29'!W105)</f>
        <v>0</v>
      </c>
      <c r="X105" s="14">
        <f>+SUM('31:29'!X105)</f>
        <v>0</v>
      </c>
      <c r="Y105" s="14">
        <f>+SUM('31:29'!Y105)</f>
        <v>0</v>
      </c>
      <c r="Z105" s="14">
        <f>+SUM('31:29'!Z105)</f>
        <v>0</v>
      </c>
      <c r="AA105" s="14">
        <f>+SUM('31:29'!AA105)</f>
        <v>0</v>
      </c>
      <c r="AB105" s="14">
        <f>+SUM('31:29'!AB105)</f>
        <v>0</v>
      </c>
      <c r="AC105" s="14">
        <f>+SUM('31:29'!AC105)</f>
        <v>0</v>
      </c>
    </row>
    <row r="106" spans="1:29" s="3" customFormat="1" ht="21.95" customHeight="1">
      <c r="A106" s="23">
        <v>300390</v>
      </c>
      <c r="B106" s="135" t="s">
        <v>292</v>
      </c>
      <c r="C106" s="233" t="s">
        <v>106</v>
      </c>
      <c r="D106" s="234"/>
      <c r="E106" s="24" t="s">
        <v>107</v>
      </c>
      <c r="F106" s="25"/>
      <c r="G106" s="14">
        <f>+SUM('31:29'!G106)</f>
        <v>0</v>
      </c>
      <c r="H106" s="14">
        <f>+SUM('31:29'!H106)</f>
        <v>0</v>
      </c>
      <c r="I106" s="14">
        <f>+SUM('31:29'!I106)</f>
        <v>0</v>
      </c>
      <c r="J106" s="14">
        <f>+SUM('31:29'!J106)</f>
        <v>0</v>
      </c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14">
        <f>+SUM('31:29'!O106)</f>
        <v>0</v>
      </c>
      <c r="P106" s="28">
        <f t="shared" si="9"/>
        <v>0</v>
      </c>
      <c r="Q106" s="14">
        <f>+SUM('31:29'!Q106)</f>
        <v>0</v>
      </c>
      <c r="R106" s="29">
        <f t="shared" si="10"/>
        <v>0</v>
      </c>
      <c r="S106" s="28">
        <f t="shared" si="11"/>
        <v>0</v>
      </c>
      <c r="T106" s="30">
        <v>4</v>
      </c>
      <c r="U106" s="14">
        <f>+SUM('31:29'!U106)</f>
        <v>0</v>
      </c>
      <c r="V106" s="112" t="str">
        <f t="array" ref="V106">IF(ISERROR(L106/K106),"",L106/K106)</f>
        <v/>
      </c>
      <c r="W106" s="14">
        <f>+SUM('31:29'!W106)</f>
        <v>0</v>
      </c>
      <c r="X106" s="14">
        <f>+SUM('31:29'!X106)</f>
        <v>0</v>
      </c>
      <c r="Y106" s="14">
        <f>+SUM('31:29'!Y106)</f>
        <v>0</v>
      </c>
      <c r="Z106" s="14">
        <f>+SUM('31:29'!Z106)</f>
        <v>0</v>
      </c>
      <c r="AA106" s="14">
        <f>+SUM('31:29'!AA106)</f>
        <v>0</v>
      </c>
      <c r="AB106" s="14">
        <f>+SUM('31:29'!AB106)</f>
        <v>0</v>
      </c>
      <c r="AC106" s="14">
        <f>+SUM('31:29'!AC106)</f>
        <v>0</v>
      </c>
    </row>
    <row r="107" spans="1:29" s="3" customFormat="1" ht="21.95" customHeight="1">
      <c r="A107" s="23">
        <v>300391</v>
      </c>
      <c r="B107" s="135" t="s">
        <v>292</v>
      </c>
      <c r="C107" s="233" t="s">
        <v>106</v>
      </c>
      <c r="D107" s="234"/>
      <c r="E107" s="24" t="s">
        <v>109</v>
      </c>
      <c r="F107" s="25"/>
      <c r="G107" s="14">
        <f>+SUM('31:29'!G107)</f>
        <v>6</v>
      </c>
      <c r="H107" s="14">
        <f>+SUM('31:29'!H107)</f>
        <v>0</v>
      </c>
      <c r="I107" s="14">
        <f>+SUM('31:29'!I107)</f>
        <v>5.875</v>
      </c>
      <c r="J107" s="14">
        <f>+SUM('31:29'!J107)</f>
        <v>50</v>
      </c>
      <c r="K107" s="28">
        <f t="shared" si="7"/>
        <v>2504.3999999999996</v>
      </c>
      <c r="L107" s="28">
        <f t="shared" si="8"/>
        <v>2452.2249999999999</v>
      </c>
      <c r="M107" s="28">
        <v>417.4</v>
      </c>
      <c r="N107" s="28">
        <f>+M107*1000/(87*1*80*60)*T107</f>
        <v>3.9980842911877397</v>
      </c>
      <c r="O107" s="14">
        <f>+SUM('31:29'!O107)</f>
        <v>0.5</v>
      </c>
      <c r="P107" s="28">
        <f t="shared" si="9"/>
        <v>26.48874521072797</v>
      </c>
      <c r="Q107" s="14">
        <f>+SUM('31:29'!Q107)</f>
        <v>4.5</v>
      </c>
      <c r="R107" s="29">
        <f t="shared" si="10"/>
        <v>27</v>
      </c>
      <c r="S107" s="28">
        <f t="shared" si="11"/>
        <v>0.51125478927203005</v>
      </c>
      <c r="T107" s="30">
        <v>4</v>
      </c>
      <c r="U107" s="14">
        <f>+SUM('31:29'!U107)</f>
        <v>6</v>
      </c>
      <c r="V107" s="112">
        <f t="array" ref="V107">IF(ISERROR(L107/K107),"",L107/K107)</f>
        <v>0.97916666666666674</v>
      </c>
      <c r="W107" s="14">
        <f>+SUM('31:29'!W107)</f>
        <v>0</v>
      </c>
      <c r="X107" s="14">
        <f>+SUM('31:29'!X107)</f>
        <v>0</v>
      </c>
      <c r="Y107" s="14">
        <f>+SUM('31:29'!Y107)</f>
        <v>0</v>
      </c>
      <c r="Z107" s="14">
        <f>+SUM('31:29'!Z107)</f>
        <v>0</v>
      </c>
      <c r="AA107" s="14">
        <f>+SUM('31:29'!AA107)</f>
        <v>0</v>
      </c>
      <c r="AB107" s="14">
        <f>+SUM('31:29'!AB107)</f>
        <v>0</v>
      </c>
      <c r="AC107" s="14">
        <f>+SUM('31:29'!AC107)</f>
        <v>0</v>
      </c>
    </row>
    <row r="108" spans="1:29" s="3" customFormat="1" ht="21.95" customHeight="1">
      <c r="A108" s="23">
        <v>300431</v>
      </c>
      <c r="B108" s="135" t="s">
        <v>292</v>
      </c>
      <c r="C108" s="233" t="s">
        <v>297</v>
      </c>
      <c r="D108" s="234"/>
      <c r="E108" s="24" t="s">
        <v>298</v>
      </c>
      <c r="F108" s="25"/>
      <c r="G108" s="14">
        <f>+SUM('31:29'!G108)</f>
        <v>4.67</v>
      </c>
      <c r="H108" s="14">
        <f>+SUM('31:29'!H108)</f>
        <v>0.66666666666666663</v>
      </c>
      <c r="I108" s="14">
        <f>+SUM('31:29'!I108)</f>
        <v>4.666666666666667</v>
      </c>
      <c r="J108" s="14">
        <f>+SUM('31:29'!J108)</f>
        <v>0</v>
      </c>
      <c r="K108" s="28">
        <f t="shared" si="7"/>
        <v>2936.4959999999996</v>
      </c>
      <c r="L108" s="28">
        <f t="shared" si="8"/>
        <v>2934.4</v>
      </c>
      <c r="M108" s="28">
        <v>628.79999999999995</v>
      </c>
      <c r="N108" s="28">
        <f>+M108*1000/(87*1*80*60)*T108</f>
        <v>6.0229885057471266</v>
      </c>
      <c r="O108" s="14">
        <f>+SUM('31:29'!O108)</f>
        <v>0</v>
      </c>
      <c r="P108" s="28">
        <f t="shared" si="9"/>
        <v>28.107279693486593</v>
      </c>
      <c r="Q108" s="14">
        <f>+SUM('31:29'!Q108)</f>
        <v>7.5</v>
      </c>
      <c r="R108" s="29">
        <f t="shared" si="10"/>
        <v>37.5</v>
      </c>
      <c r="S108" s="28">
        <f t="shared" si="11"/>
        <v>9.3927203065134073</v>
      </c>
      <c r="T108" s="30">
        <v>4</v>
      </c>
      <c r="U108" s="14">
        <f>+SUM('31:29'!U108)</f>
        <v>5</v>
      </c>
      <c r="V108" s="112"/>
      <c r="W108" s="14">
        <f>+SUM('31:29'!W108)</f>
        <v>0</v>
      </c>
      <c r="X108" s="14">
        <f>+SUM('31:29'!X108)</f>
        <v>0</v>
      </c>
      <c r="Y108" s="14">
        <f>+SUM('31:29'!Y108)</f>
        <v>0</v>
      </c>
      <c r="Z108" s="14">
        <f>+SUM('31:29'!Z108)</f>
        <v>0</v>
      </c>
      <c r="AA108" s="14">
        <f>+SUM('31:29'!AA108)</f>
        <v>0</v>
      </c>
      <c r="AB108" s="14">
        <f>+SUM('31:29'!AB108)</f>
        <v>0</v>
      </c>
      <c r="AC108" s="14">
        <f>+SUM('31:29'!AC108)</f>
        <v>0</v>
      </c>
    </row>
    <row r="109" spans="1:29" s="3" customFormat="1" ht="21.95" customHeight="1">
      <c r="A109" s="23">
        <v>300432</v>
      </c>
      <c r="B109" s="135" t="s">
        <v>292</v>
      </c>
      <c r="C109" s="233" t="s">
        <v>297</v>
      </c>
      <c r="D109" s="234"/>
      <c r="E109" s="24" t="s">
        <v>299</v>
      </c>
      <c r="F109" s="25"/>
      <c r="G109" s="14">
        <f>+SUM('31:29'!G109)</f>
        <v>0</v>
      </c>
      <c r="H109" s="14">
        <f>+SUM('31:29'!H109)</f>
        <v>0</v>
      </c>
      <c r="I109" s="14">
        <f>+SUM('31:29'!I109)</f>
        <v>0</v>
      </c>
      <c r="J109" s="14">
        <f>+SUM('31:29'!J109)</f>
        <v>0</v>
      </c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14">
        <f>+SUM('31:29'!O109)</f>
        <v>0</v>
      </c>
      <c r="P109" s="28">
        <f t="shared" si="9"/>
        <v>0</v>
      </c>
      <c r="Q109" s="14">
        <f>+SUM('31:29'!Q109)</f>
        <v>0</v>
      </c>
      <c r="R109" s="29">
        <f t="shared" si="10"/>
        <v>0</v>
      </c>
      <c r="S109" s="28">
        <f t="shared" si="11"/>
        <v>0</v>
      </c>
      <c r="T109" s="30">
        <v>4</v>
      </c>
      <c r="U109" s="14">
        <f>+SUM('31:29'!U109)</f>
        <v>0</v>
      </c>
      <c r="V109" s="112"/>
      <c r="W109" s="14">
        <f>+SUM('31:29'!W109)</f>
        <v>0</v>
      </c>
      <c r="X109" s="14">
        <f>+SUM('31:29'!X109)</f>
        <v>0</v>
      </c>
      <c r="Y109" s="14">
        <f>+SUM('31:29'!Y109)</f>
        <v>0</v>
      </c>
      <c r="Z109" s="14">
        <f>+SUM('31:29'!Z109)</f>
        <v>0</v>
      </c>
      <c r="AA109" s="14">
        <f>+SUM('31:29'!AA109)</f>
        <v>0</v>
      </c>
      <c r="AB109" s="14">
        <f>+SUM('31:29'!AB109)</f>
        <v>0</v>
      </c>
      <c r="AC109" s="14">
        <f>+SUM('31:29'!AC109)</f>
        <v>0</v>
      </c>
    </row>
    <row r="110" spans="1:29" s="3" customFormat="1" ht="21.95" customHeight="1">
      <c r="A110" s="23">
        <v>300433</v>
      </c>
      <c r="B110" s="135" t="s">
        <v>292</v>
      </c>
      <c r="C110" s="233" t="s">
        <v>297</v>
      </c>
      <c r="D110" s="234"/>
      <c r="E110" s="125" t="s">
        <v>300</v>
      </c>
      <c r="F110" s="25"/>
      <c r="G110" s="14">
        <f>+SUM('31:29'!G110)</f>
        <v>3</v>
      </c>
      <c r="H110" s="14">
        <f>+SUM('31:29'!H110)</f>
        <v>0</v>
      </c>
      <c r="I110" s="14">
        <f>+SUM('31:29'!I110)</f>
        <v>2.5833333333333335</v>
      </c>
      <c r="J110" s="14">
        <f>+SUM('31:29'!J110)</f>
        <v>250</v>
      </c>
      <c r="K110" s="28">
        <f t="shared" si="7"/>
        <v>1886.3999999999999</v>
      </c>
      <c r="L110" s="28">
        <f t="shared" si="8"/>
        <v>1624.3999999999999</v>
      </c>
      <c r="M110" s="28">
        <v>628.79999999999995</v>
      </c>
      <c r="N110" s="28">
        <f>+M110*1000/(87*1*80*60)*T110</f>
        <v>6.0229885057471266</v>
      </c>
      <c r="O110" s="14">
        <f>+SUM('31:29'!O110)</f>
        <v>1</v>
      </c>
      <c r="P110" s="28">
        <f t="shared" si="9"/>
        <v>25.559386973180079</v>
      </c>
      <c r="Q110" s="14">
        <f>+SUM('31:29'!Q110)</f>
        <v>4.5</v>
      </c>
      <c r="R110" s="29">
        <f t="shared" si="10"/>
        <v>45</v>
      </c>
      <c r="S110" s="28">
        <f t="shared" si="11"/>
        <v>19.440613026819921</v>
      </c>
      <c r="T110" s="30">
        <v>4</v>
      </c>
      <c r="U110" s="14">
        <f>+SUM('31:29'!U110)</f>
        <v>10</v>
      </c>
      <c r="V110" s="112"/>
      <c r="W110" s="14">
        <f>+SUM('31:29'!W110)</f>
        <v>0</v>
      </c>
      <c r="X110" s="14">
        <f>+SUM('31:29'!X110)</f>
        <v>0</v>
      </c>
      <c r="Y110" s="14">
        <f>+SUM('31:29'!Y110)</f>
        <v>0</v>
      </c>
      <c r="Z110" s="14">
        <f>+SUM('31:29'!Z110)</f>
        <v>0</v>
      </c>
      <c r="AA110" s="14">
        <f>+SUM('31:29'!AA110)</f>
        <v>0</v>
      </c>
      <c r="AB110" s="14">
        <f>+SUM('31:29'!AB110)</f>
        <v>0</v>
      </c>
      <c r="AC110" s="14">
        <f>+SUM('31:29'!AC110)</f>
        <v>0</v>
      </c>
    </row>
    <row r="111" spans="1:29" ht="21.95" customHeight="1">
      <c r="A111" s="141">
        <v>300074</v>
      </c>
      <c r="B111" s="135" t="s">
        <v>110</v>
      </c>
      <c r="C111" s="219" t="s">
        <v>111</v>
      </c>
      <c r="D111" s="219" t="s">
        <v>112</v>
      </c>
      <c r="E111" s="147" t="s">
        <v>54</v>
      </c>
      <c r="F111" s="13"/>
      <c r="G111" s="14">
        <f>+SUM('31:29'!G111)</f>
        <v>11.15</v>
      </c>
      <c r="H111" s="14">
        <f>+SUM('31:29'!H111)</f>
        <v>0.4</v>
      </c>
      <c r="I111" s="14">
        <f>+SUM('31:29'!I111)</f>
        <v>11.15</v>
      </c>
      <c r="J111" s="14">
        <f>+SUM('31:29'!J111)</f>
        <v>50</v>
      </c>
      <c r="K111" s="145">
        <f t="shared" si="7"/>
        <v>3242.42</v>
      </c>
      <c r="L111" s="145">
        <f t="shared" si="8"/>
        <v>3242.42</v>
      </c>
      <c r="M111" s="145">
        <v>290.8</v>
      </c>
      <c r="N111" s="145">
        <f>+M111*1000/(88*4*13*60)*T111</f>
        <v>3.1774475524475525</v>
      </c>
      <c r="O111" s="14">
        <f>+SUM('31:29'!O111)</f>
        <v>0</v>
      </c>
      <c r="P111" s="145">
        <f t="shared" si="9"/>
        <v>35.428540209790214</v>
      </c>
      <c r="Q111" s="14">
        <f>+SUM('31:29'!Q111)</f>
        <v>11</v>
      </c>
      <c r="R111" s="19">
        <f t="shared" si="10"/>
        <v>22</v>
      </c>
      <c r="S111" s="145">
        <f t="shared" si="11"/>
        <v>-13.428540209790214</v>
      </c>
      <c r="T111" s="20">
        <v>3</v>
      </c>
      <c r="U111" s="14">
        <f>+SUM('31:29'!U111)</f>
        <v>2</v>
      </c>
      <c r="V111" s="142">
        <f t="array" ref="V111">IF(ISERROR(L111/K111),"",L111/K111)</f>
        <v>1</v>
      </c>
      <c r="W111" s="14">
        <f>+SUM('31:29'!W111)</f>
        <v>0</v>
      </c>
      <c r="X111" s="14">
        <f>+SUM('31:29'!X111)</f>
        <v>0</v>
      </c>
      <c r="Y111" s="14">
        <f>+SUM('31:29'!Y111)</f>
        <v>0</v>
      </c>
      <c r="Z111" s="14">
        <f>+SUM('31:29'!Z111)</f>
        <v>0</v>
      </c>
      <c r="AA111" s="14">
        <f>+SUM('31:29'!AA111)</f>
        <v>0</v>
      </c>
      <c r="AB111" s="14">
        <f>+SUM('31:29'!AB111)</f>
        <v>0</v>
      </c>
      <c r="AC111" s="14">
        <f>+SUM('31:29'!AC111)</f>
        <v>0</v>
      </c>
    </row>
    <row r="112" spans="1:29" ht="21.95" customHeight="1">
      <c r="A112" s="141">
        <v>300076</v>
      </c>
      <c r="B112" s="135" t="s">
        <v>110</v>
      </c>
      <c r="C112" s="219" t="s">
        <v>111</v>
      </c>
      <c r="D112" s="219" t="s">
        <v>112</v>
      </c>
      <c r="E112" s="147" t="s">
        <v>35</v>
      </c>
      <c r="F112" s="13"/>
      <c r="G112" s="14">
        <f>+SUM('31:29'!G112)</f>
        <v>11</v>
      </c>
      <c r="H112" s="14">
        <f>+SUM('31:29'!H112)</f>
        <v>0.4</v>
      </c>
      <c r="I112" s="14">
        <f>+SUM('31:29'!I112)</f>
        <v>10.9</v>
      </c>
      <c r="J112" s="14">
        <f>+SUM('31:29'!J112)</f>
        <v>100</v>
      </c>
      <c r="K112" s="145">
        <f t="shared" si="7"/>
        <v>3334.1000000000004</v>
      </c>
      <c r="L112" s="145">
        <f t="shared" si="8"/>
        <v>3303.7900000000004</v>
      </c>
      <c r="M112" s="145">
        <v>303.10000000000002</v>
      </c>
      <c r="N112" s="145">
        <f>+M112*1000/(88*4*12*60)*T112</f>
        <v>4.7837752525252526</v>
      </c>
      <c r="O112" s="14">
        <f>+SUM('31:29'!O112)</f>
        <v>0</v>
      </c>
      <c r="P112" s="145">
        <f t="shared" si="9"/>
        <v>52.143150252525253</v>
      </c>
      <c r="Q112" s="14">
        <f>+SUM('31:29'!Q112)</f>
        <v>11</v>
      </c>
      <c r="R112" s="19">
        <f t="shared" si="10"/>
        <v>44</v>
      </c>
      <c r="S112" s="145">
        <f t="shared" si="11"/>
        <v>-8.1431502525252526</v>
      </c>
      <c r="T112" s="20">
        <v>4</v>
      </c>
      <c r="U112" s="14">
        <f>+SUM('31:29'!U112)</f>
        <v>4</v>
      </c>
      <c r="V112" s="142">
        <f t="array" ref="V112">IF(ISERROR(L112/K112),"",L112/K112)</f>
        <v>0.99090909090909096</v>
      </c>
      <c r="W112" s="14">
        <f>+SUM('31:29'!W112)</f>
        <v>0</v>
      </c>
      <c r="X112" s="14">
        <f>+SUM('31:29'!X112)</f>
        <v>0</v>
      </c>
      <c r="Y112" s="14">
        <f>+SUM('31:29'!Y112)</f>
        <v>0</v>
      </c>
      <c r="Z112" s="14">
        <f>+SUM('31:29'!Z112)</f>
        <v>0</v>
      </c>
      <c r="AA112" s="14">
        <f>+SUM('31:29'!AA112)</f>
        <v>0</v>
      </c>
      <c r="AB112" s="14">
        <f>+SUM('31:29'!AB112)</f>
        <v>0</v>
      </c>
      <c r="AC112" s="14">
        <f>+SUM('31:29'!AC112)</f>
        <v>0</v>
      </c>
    </row>
    <row r="113" spans="1:29" ht="21.95" customHeight="1">
      <c r="A113" s="141">
        <v>300096</v>
      </c>
      <c r="B113" s="135" t="s">
        <v>110</v>
      </c>
      <c r="C113" s="219" t="s">
        <v>113</v>
      </c>
      <c r="D113" s="219" t="s">
        <v>114</v>
      </c>
      <c r="E113" s="147" t="s">
        <v>37</v>
      </c>
      <c r="F113" s="13"/>
      <c r="G113" s="14">
        <f>+SUM('31:29'!G113)</f>
        <v>10.23</v>
      </c>
      <c r="H113" s="14">
        <f>+SUM('31:29'!H113)</f>
        <v>0.1</v>
      </c>
      <c r="I113" s="14">
        <f>+SUM('31:29'!I113)</f>
        <v>10.233333333333333</v>
      </c>
      <c r="J113" s="14">
        <f>+SUM('31:29'!J113)</f>
        <v>260</v>
      </c>
      <c r="K113" s="145">
        <f t="shared" si="7"/>
        <v>4911.7299000000003</v>
      </c>
      <c r="L113" s="145">
        <f t="shared" si="8"/>
        <v>4913.3303333333333</v>
      </c>
      <c r="M113" s="145">
        <v>480.13</v>
      </c>
      <c r="N113" s="145">
        <f>+M113*1000/(126.5*4*12*60)*T113</f>
        <v>2.6357597716293371</v>
      </c>
      <c r="O113" s="14">
        <f>+SUM('31:29'!O113)</f>
        <v>0</v>
      </c>
      <c r="P113" s="145">
        <f t="shared" si="9"/>
        <v>26.972608329673548</v>
      </c>
      <c r="Q113" s="14">
        <f>+SUM('31:29'!Q113)</f>
        <v>11</v>
      </c>
      <c r="R113" s="19">
        <f t="shared" si="10"/>
        <v>22</v>
      </c>
      <c r="S113" s="145">
        <f t="shared" si="11"/>
        <v>-4.9726083296735482</v>
      </c>
      <c r="T113" s="20">
        <v>2</v>
      </c>
      <c r="U113" s="14">
        <f>+SUM('31:29'!U113)</f>
        <v>2</v>
      </c>
      <c r="V113" s="142">
        <f t="array" ref="V113">IF(ISERROR(L113/K113),"",L113/K113)</f>
        <v>1.0003258390355163</v>
      </c>
      <c r="W113" s="14">
        <f>+SUM('31:29'!W113)</f>
        <v>0</v>
      </c>
      <c r="X113" s="14">
        <f>+SUM('31:29'!X113)</f>
        <v>0</v>
      </c>
      <c r="Y113" s="14">
        <f>+SUM('31:29'!Y113)</f>
        <v>0</v>
      </c>
      <c r="Z113" s="14">
        <f>+SUM('31:29'!Z113)</f>
        <v>0</v>
      </c>
      <c r="AA113" s="14">
        <f>+SUM('31:29'!AA113)</f>
        <v>0</v>
      </c>
      <c r="AB113" s="14">
        <f>+SUM('31:29'!AB113)</f>
        <v>0</v>
      </c>
      <c r="AC113" s="14">
        <f>+SUM('31:29'!AC113)</f>
        <v>0</v>
      </c>
    </row>
    <row r="114" spans="1:29" ht="21.95" customHeight="1">
      <c r="A114" s="141"/>
      <c r="B114" s="135" t="s">
        <v>110</v>
      </c>
      <c r="C114" s="219" t="s">
        <v>113</v>
      </c>
      <c r="D114" s="219" t="s">
        <v>114</v>
      </c>
      <c r="E114" s="147" t="s">
        <v>35</v>
      </c>
      <c r="F114" s="13"/>
      <c r="G114" s="14">
        <f>+SUM('31:29'!G114)</f>
        <v>0</v>
      </c>
      <c r="H114" s="14">
        <f>+SUM('31:29'!H114)</f>
        <v>0</v>
      </c>
      <c r="I114" s="14">
        <f>+SUM('31:29'!I114)</f>
        <v>0</v>
      </c>
      <c r="J114" s="14">
        <f>+SUM('31:29'!J114)</f>
        <v>0</v>
      </c>
      <c r="K114" s="145">
        <f t="shared" si="7"/>
        <v>0</v>
      </c>
      <c r="L114" s="145">
        <f t="shared" si="8"/>
        <v>0</v>
      </c>
      <c r="M114" s="145">
        <v>480.13</v>
      </c>
      <c r="N114" s="145">
        <f>+M114*1000/(126.5*4*12*60)*T114</f>
        <v>2.6357597716293371</v>
      </c>
      <c r="O114" s="14">
        <f>+SUM('31:29'!O114)</f>
        <v>0</v>
      </c>
      <c r="P114" s="145">
        <f t="shared" si="9"/>
        <v>0</v>
      </c>
      <c r="Q114" s="14">
        <f>+SUM('31:29'!Q114)</f>
        <v>0</v>
      </c>
      <c r="R114" s="19">
        <f t="shared" si="10"/>
        <v>0</v>
      </c>
      <c r="S114" s="145">
        <f t="shared" si="11"/>
        <v>0</v>
      </c>
      <c r="T114" s="20">
        <v>2</v>
      </c>
      <c r="U114" s="14">
        <f>+SUM('31:29'!U114)</f>
        <v>0</v>
      </c>
      <c r="V114" s="142" t="str">
        <f t="array" ref="V114">IF(ISERROR(L114/K114),"",L114/K114)</f>
        <v/>
      </c>
      <c r="W114" s="14">
        <f>+SUM('31:29'!W114)</f>
        <v>0</v>
      </c>
      <c r="X114" s="14">
        <f>+SUM('31:29'!X114)</f>
        <v>0</v>
      </c>
      <c r="Y114" s="14">
        <f>+SUM('31:29'!Y114)</f>
        <v>0</v>
      </c>
      <c r="Z114" s="14">
        <f>+SUM('31:29'!Z114)</f>
        <v>0</v>
      </c>
      <c r="AA114" s="14">
        <f>+SUM('31:29'!AA114)</f>
        <v>0</v>
      </c>
      <c r="AB114" s="14">
        <f>+SUM('31:29'!AB114)</f>
        <v>0</v>
      </c>
      <c r="AC114" s="14">
        <f>+SUM('31:29'!AC114)</f>
        <v>0</v>
      </c>
    </row>
    <row r="115" spans="1:29" ht="22.5" customHeight="1">
      <c r="A115" s="141">
        <v>300097</v>
      </c>
      <c r="B115" s="135" t="s">
        <v>110</v>
      </c>
      <c r="C115" s="219" t="s">
        <v>113</v>
      </c>
      <c r="D115" s="219" t="s">
        <v>114</v>
      </c>
      <c r="E115" s="147" t="s">
        <v>63</v>
      </c>
      <c r="F115" s="13"/>
      <c r="G115" s="14">
        <f>+SUM('31:29'!G115)</f>
        <v>10</v>
      </c>
      <c r="H115" s="14">
        <f>+SUM('31:29'!H115)</f>
        <v>0</v>
      </c>
      <c r="I115" s="14">
        <f>+SUM('31:29'!I115)</f>
        <v>9.6</v>
      </c>
      <c r="J115" s="14">
        <f>+SUM('31:29'!J115)</f>
        <v>120</v>
      </c>
      <c r="K115" s="145">
        <f t="shared" si="7"/>
        <v>4801.3</v>
      </c>
      <c r="L115" s="145">
        <f t="shared" si="8"/>
        <v>4609.2479999999996</v>
      </c>
      <c r="M115" s="145">
        <v>480.13</v>
      </c>
      <c r="N115" s="145">
        <f>+M115*1000/(126.5*4*12*60)*T115</f>
        <v>2.6357597716293371</v>
      </c>
      <c r="O115" s="14">
        <f>+SUM('31:29'!O115)</f>
        <v>0</v>
      </c>
      <c r="P115" s="145">
        <f t="shared" si="9"/>
        <v>25.303293807641634</v>
      </c>
      <c r="Q115" s="14">
        <f>+SUM('31:29'!Q115)</f>
        <v>11</v>
      </c>
      <c r="R115" s="19">
        <f t="shared" si="10"/>
        <v>22</v>
      </c>
      <c r="S115" s="145">
        <f t="shared" si="11"/>
        <v>-3.3032938076416336</v>
      </c>
      <c r="T115" s="20">
        <v>2</v>
      </c>
      <c r="U115" s="14">
        <f>+SUM('31:29'!U115)</f>
        <v>2</v>
      </c>
      <c r="V115" s="142">
        <f t="array" ref="V115">IF(ISERROR(L115/K115),"",L115/K115)</f>
        <v>0.95999999999999985</v>
      </c>
      <c r="W115" s="14">
        <f>+SUM('31:29'!W115)</f>
        <v>0</v>
      </c>
      <c r="X115" s="14">
        <f>+SUM('31:29'!X115)</f>
        <v>0</v>
      </c>
      <c r="Y115" s="14">
        <f>+SUM('31:29'!Y115)</f>
        <v>0</v>
      </c>
      <c r="Z115" s="14">
        <f>+SUM('31:29'!Z115)</f>
        <v>0</v>
      </c>
      <c r="AA115" s="14">
        <f>+SUM('31:29'!AA115)</f>
        <v>0</v>
      </c>
      <c r="AB115" s="14">
        <f>+SUM('31:29'!AB115)</f>
        <v>0</v>
      </c>
      <c r="AC115" s="14">
        <f>+SUM('31:29'!AC115)</f>
        <v>0</v>
      </c>
    </row>
    <row r="116" spans="1:29" s="2" customFormat="1" ht="21.95" customHeight="1">
      <c r="A116" s="135">
        <v>300294</v>
      </c>
      <c r="B116" s="135" t="s">
        <v>110</v>
      </c>
      <c r="C116" s="219" t="s">
        <v>115</v>
      </c>
      <c r="D116" s="219"/>
      <c r="E116" s="147" t="s">
        <v>41</v>
      </c>
      <c r="F116" s="27"/>
      <c r="G116" s="14">
        <f>+SUM('31:29'!G116)</f>
        <v>0</v>
      </c>
      <c r="H116" s="14">
        <f>+SUM('31:29'!H116)</f>
        <v>0</v>
      </c>
      <c r="I116" s="14">
        <f>+SUM('31:29'!I116)</f>
        <v>0</v>
      </c>
      <c r="J116" s="14">
        <f>+SUM('31:29'!J116)</f>
        <v>0</v>
      </c>
      <c r="K116" s="145">
        <f t="shared" si="7"/>
        <v>0</v>
      </c>
      <c r="L116" s="145">
        <f t="shared" si="8"/>
        <v>0</v>
      </c>
      <c r="M116" s="145">
        <v>373.14</v>
      </c>
      <c r="N116" s="145">
        <f t="shared" ref="N116:N125" si="13">+M116*1000/(90*4*14*60)*T116</f>
        <v>3.7017857142857142</v>
      </c>
      <c r="O116" s="14">
        <f>+SUM('31:29'!O116)</f>
        <v>0</v>
      </c>
      <c r="P116" s="145">
        <f t="shared" si="9"/>
        <v>0</v>
      </c>
      <c r="Q116" s="14">
        <f>+SUM('31:29'!Q116)</f>
        <v>0</v>
      </c>
      <c r="R116" s="19">
        <f t="shared" si="10"/>
        <v>0</v>
      </c>
      <c r="S116" s="145">
        <f t="shared" si="11"/>
        <v>0</v>
      </c>
      <c r="T116" s="20">
        <v>3</v>
      </c>
      <c r="U116" s="14">
        <f>+SUM('31:29'!U116)</f>
        <v>0</v>
      </c>
      <c r="V116" s="142" t="str">
        <f t="array" ref="V116">IF(ISERROR(L116/K116),"",L116/K116)</f>
        <v/>
      </c>
      <c r="W116" s="14">
        <f>+SUM('31:29'!W116)</f>
        <v>0</v>
      </c>
      <c r="X116" s="14">
        <f>+SUM('31:29'!X116)</f>
        <v>0</v>
      </c>
      <c r="Y116" s="14">
        <f>+SUM('31:29'!Y116)</f>
        <v>0</v>
      </c>
      <c r="Z116" s="14">
        <f>+SUM('31:29'!Z116)</f>
        <v>0</v>
      </c>
      <c r="AA116" s="14">
        <f>+SUM('31:29'!AA116)</f>
        <v>0</v>
      </c>
      <c r="AB116" s="14">
        <f>+SUM('31:29'!AB116)</f>
        <v>0</v>
      </c>
      <c r="AC116" s="14">
        <f>+SUM('31:29'!AC116)</f>
        <v>0</v>
      </c>
    </row>
    <row r="117" spans="1:29" s="2" customFormat="1" ht="21.95" customHeight="1">
      <c r="A117" s="135">
        <v>300295</v>
      </c>
      <c r="B117" s="135" t="s">
        <v>116</v>
      </c>
      <c r="C117" s="219" t="s">
        <v>117</v>
      </c>
      <c r="D117" s="219"/>
      <c r="E117" s="147" t="s">
        <v>118</v>
      </c>
      <c r="F117" s="27"/>
      <c r="G117" s="14">
        <f>+SUM('31:29'!G117)</f>
        <v>0</v>
      </c>
      <c r="H117" s="14">
        <f>+SUM('31:29'!H117)</f>
        <v>0</v>
      </c>
      <c r="I117" s="14">
        <f>+SUM('31:29'!I117)</f>
        <v>0</v>
      </c>
      <c r="J117" s="14">
        <f>+SUM('31:29'!J117)</f>
        <v>0</v>
      </c>
      <c r="K117" s="145">
        <f t="shared" si="7"/>
        <v>0</v>
      </c>
      <c r="L117" s="145">
        <f t="shared" si="8"/>
        <v>0</v>
      </c>
      <c r="M117" s="145">
        <v>373.14</v>
      </c>
      <c r="N117" s="145">
        <f t="shared" si="13"/>
        <v>3.7017857142857142</v>
      </c>
      <c r="O117" s="14">
        <f>+SUM('31:29'!O117)</f>
        <v>0</v>
      </c>
      <c r="P117" s="145">
        <f t="shared" si="9"/>
        <v>0</v>
      </c>
      <c r="Q117" s="14">
        <f>+SUM('31:29'!Q117)</f>
        <v>0</v>
      </c>
      <c r="R117" s="19">
        <f t="shared" si="10"/>
        <v>0</v>
      </c>
      <c r="S117" s="145">
        <f t="shared" si="11"/>
        <v>0</v>
      </c>
      <c r="T117" s="20">
        <v>3</v>
      </c>
      <c r="U117" s="14">
        <f>+SUM('31:29'!U117)</f>
        <v>0</v>
      </c>
      <c r="V117" s="142" t="str">
        <f t="array" ref="V117">IF(ISERROR(L117/K117),"",L117/K117)</f>
        <v/>
      </c>
      <c r="W117" s="14">
        <f>+SUM('31:29'!W117)</f>
        <v>0</v>
      </c>
      <c r="X117" s="14">
        <f>+SUM('31:29'!X117)</f>
        <v>0</v>
      </c>
      <c r="Y117" s="14">
        <f>+SUM('31:29'!Y117)</f>
        <v>0</v>
      </c>
      <c r="Z117" s="14">
        <f>+SUM('31:29'!Z117)</f>
        <v>0</v>
      </c>
      <c r="AA117" s="14">
        <f>+SUM('31:29'!AA117)</f>
        <v>0</v>
      </c>
      <c r="AB117" s="14">
        <f>+SUM('31:29'!AB117)</f>
        <v>0</v>
      </c>
      <c r="AC117" s="14">
        <f>+SUM('31:29'!AC117)</f>
        <v>0</v>
      </c>
    </row>
    <row r="118" spans="1:29" s="2" customFormat="1" ht="21.95" customHeight="1">
      <c r="A118" s="135">
        <v>300258</v>
      </c>
      <c r="B118" s="135" t="s">
        <v>110</v>
      </c>
      <c r="C118" s="219" t="s">
        <v>115</v>
      </c>
      <c r="D118" s="219"/>
      <c r="E118" s="147" t="s">
        <v>42</v>
      </c>
      <c r="F118" s="27"/>
      <c r="G118" s="14">
        <f>+SUM('31:29'!G118)</f>
        <v>0</v>
      </c>
      <c r="H118" s="14">
        <f>+SUM('31:29'!H118)</f>
        <v>0</v>
      </c>
      <c r="I118" s="14">
        <f>+SUM('31:29'!I118)</f>
        <v>0</v>
      </c>
      <c r="J118" s="14">
        <f>+SUM('31:29'!J118)</f>
        <v>0</v>
      </c>
      <c r="K118" s="145">
        <f t="shared" si="7"/>
        <v>0</v>
      </c>
      <c r="L118" s="145">
        <f t="shared" si="8"/>
        <v>0</v>
      </c>
      <c r="M118" s="145">
        <v>373.14</v>
      </c>
      <c r="N118" s="145">
        <f t="shared" si="13"/>
        <v>3.7017857142857142</v>
      </c>
      <c r="O118" s="14">
        <f>+SUM('31:29'!O118)</f>
        <v>0</v>
      </c>
      <c r="P118" s="145">
        <f t="shared" si="9"/>
        <v>0</v>
      </c>
      <c r="Q118" s="14">
        <f>+SUM('31:29'!Q118)</f>
        <v>0</v>
      </c>
      <c r="R118" s="19">
        <f t="shared" si="10"/>
        <v>0</v>
      </c>
      <c r="S118" s="145">
        <f t="shared" si="11"/>
        <v>0</v>
      </c>
      <c r="T118" s="20">
        <v>3</v>
      </c>
      <c r="U118" s="14">
        <f>+SUM('31:29'!U118)</f>
        <v>0</v>
      </c>
      <c r="V118" s="142" t="str">
        <f t="array" ref="V118">IF(ISERROR(L118/K118),"",L118/K118)</f>
        <v/>
      </c>
      <c r="W118" s="14">
        <f>+SUM('31:29'!W118)</f>
        <v>0</v>
      </c>
      <c r="X118" s="14">
        <f>+SUM('31:29'!X118)</f>
        <v>0</v>
      </c>
      <c r="Y118" s="14">
        <f>+SUM('31:29'!Y118)</f>
        <v>0</v>
      </c>
      <c r="Z118" s="14">
        <f>+SUM('31:29'!Z118)</f>
        <v>0</v>
      </c>
      <c r="AA118" s="14">
        <f>+SUM('31:29'!AA118)</f>
        <v>0</v>
      </c>
      <c r="AB118" s="14">
        <f>+SUM('31:29'!AB118)</f>
        <v>0</v>
      </c>
      <c r="AC118" s="14">
        <f>+SUM('31:29'!AC118)</f>
        <v>0</v>
      </c>
    </row>
    <row r="119" spans="1:29" s="2" customFormat="1" ht="21.95" customHeight="1">
      <c r="A119" s="135">
        <v>300256</v>
      </c>
      <c r="B119" s="135" t="s">
        <v>110</v>
      </c>
      <c r="C119" s="219" t="s">
        <v>115</v>
      </c>
      <c r="D119" s="219"/>
      <c r="E119" s="147" t="s">
        <v>74</v>
      </c>
      <c r="F119" s="27"/>
      <c r="G119" s="14">
        <f>+SUM('31:29'!G119)</f>
        <v>0</v>
      </c>
      <c r="H119" s="14">
        <f>+SUM('31:29'!H119)</f>
        <v>0</v>
      </c>
      <c r="I119" s="14">
        <f>+SUM('31:29'!I119)</f>
        <v>0</v>
      </c>
      <c r="J119" s="14">
        <f>+SUM('31:29'!J119)</f>
        <v>0</v>
      </c>
      <c r="K119" s="145">
        <f t="shared" si="7"/>
        <v>0</v>
      </c>
      <c r="L119" s="145">
        <f t="shared" si="8"/>
        <v>0</v>
      </c>
      <c r="M119" s="145">
        <v>373.14</v>
      </c>
      <c r="N119" s="145">
        <f t="shared" si="13"/>
        <v>3.7017857142857142</v>
      </c>
      <c r="O119" s="14">
        <f>+SUM('31:29'!O119)</f>
        <v>0</v>
      </c>
      <c r="P119" s="145">
        <f t="shared" si="9"/>
        <v>0</v>
      </c>
      <c r="Q119" s="14">
        <f>+SUM('31:29'!Q119)</f>
        <v>0</v>
      </c>
      <c r="R119" s="19">
        <f t="shared" si="10"/>
        <v>0</v>
      </c>
      <c r="S119" s="145">
        <f t="shared" si="11"/>
        <v>0</v>
      </c>
      <c r="T119" s="20">
        <v>3</v>
      </c>
      <c r="U119" s="14">
        <f>+SUM('31:29'!U119)</f>
        <v>0</v>
      </c>
      <c r="V119" s="142" t="str">
        <f t="array" ref="V119">IF(ISERROR(L119/K119),"",L119/K119)</f>
        <v/>
      </c>
      <c r="W119" s="14">
        <f>+SUM('31:29'!W119)</f>
        <v>0</v>
      </c>
      <c r="X119" s="14">
        <f>+SUM('31:29'!X119)</f>
        <v>0</v>
      </c>
      <c r="Y119" s="14">
        <f>+SUM('31:29'!Y119)</f>
        <v>0</v>
      </c>
      <c r="Z119" s="14">
        <f>+SUM('31:29'!Z119)</f>
        <v>0</v>
      </c>
      <c r="AA119" s="14">
        <f>+SUM('31:29'!AA119)</f>
        <v>0</v>
      </c>
      <c r="AB119" s="14">
        <f>+SUM('31:29'!AB119)</f>
        <v>0</v>
      </c>
      <c r="AC119" s="14">
        <f>+SUM('31:29'!AC119)</f>
        <v>0</v>
      </c>
    </row>
    <row r="120" spans="1:29" s="2" customFormat="1" ht="21.95" customHeight="1">
      <c r="A120" s="135">
        <v>300259</v>
      </c>
      <c r="B120" s="135" t="s">
        <v>110</v>
      </c>
      <c r="C120" s="219" t="s">
        <v>115</v>
      </c>
      <c r="D120" s="219"/>
      <c r="E120" s="147" t="s">
        <v>40</v>
      </c>
      <c r="F120" s="27"/>
      <c r="G120" s="14">
        <f>+SUM('31:29'!G120)</f>
        <v>0</v>
      </c>
      <c r="H120" s="14">
        <f>+SUM('31:29'!H120)</f>
        <v>0</v>
      </c>
      <c r="I120" s="14">
        <f>+SUM('31:29'!I120)</f>
        <v>0</v>
      </c>
      <c r="J120" s="14">
        <f>+SUM('31:29'!J120)</f>
        <v>0</v>
      </c>
      <c r="K120" s="145">
        <f t="shared" si="7"/>
        <v>0</v>
      </c>
      <c r="L120" s="145">
        <f t="shared" si="8"/>
        <v>0</v>
      </c>
      <c r="M120" s="145">
        <v>373.14</v>
      </c>
      <c r="N120" s="145">
        <f t="shared" si="13"/>
        <v>3.7017857142857142</v>
      </c>
      <c r="O120" s="14">
        <f>+SUM('31:29'!O120)</f>
        <v>0</v>
      </c>
      <c r="P120" s="145">
        <f t="shared" si="9"/>
        <v>0</v>
      </c>
      <c r="Q120" s="14">
        <f>+SUM('31:29'!Q120)</f>
        <v>0</v>
      </c>
      <c r="R120" s="19">
        <f t="shared" si="10"/>
        <v>0</v>
      </c>
      <c r="S120" s="145">
        <f t="shared" si="11"/>
        <v>0</v>
      </c>
      <c r="T120" s="20">
        <v>3</v>
      </c>
      <c r="U120" s="14">
        <f>+SUM('31:29'!U120)</f>
        <v>0</v>
      </c>
      <c r="V120" s="142" t="str">
        <f t="array" ref="V120">IF(ISERROR(L120/K120),"",L120/K120)</f>
        <v/>
      </c>
      <c r="W120" s="14">
        <f>+SUM('31:29'!W120)</f>
        <v>0</v>
      </c>
      <c r="X120" s="14">
        <f>+SUM('31:29'!X120)</f>
        <v>0</v>
      </c>
      <c r="Y120" s="14">
        <f>+SUM('31:29'!Y120)</f>
        <v>0</v>
      </c>
      <c r="Z120" s="14">
        <f>+SUM('31:29'!Z120)</f>
        <v>0</v>
      </c>
      <c r="AA120" s="14">
        <f>+SUM('31:29'!AA120)</f>
        <v>0</v>
      </c>
      <c r="AB120" s="14">
        <f>+SUM('31:29'!AB120)</f>
        <v>0</v>
      </c>
      <c r="AC120" s="14">
        <f>+SUM('31:29'!AC120)</f>
        <v>0</v>
      </c>
    </row>
    <row r="121" spans="1:29" s="2" customFormat="1" ht="21.95" customHeight="1">
      <c r="A121" s="135">
        <v>300345</v>
      </c>
      <c r="B121" s="135" t="s">
        <v>110</v>
      </c>
      <c r="C121" s="219" t="s">
        <v>119</v>
      </c>
      <c r="D121" s="219"/>
      <c r="E121" s="147" t="s">
        <v>74</v>
      </c>
      <c r="F121" s="27"/>
      <c r="G121" s="14">
        <f>+SUM('31:29'!G121)</f>
        <v>0</v>
      </c>
      <c r="H121" s="14">
        <f>+SUM('31:29'!H121)</f>
        <v>0</v>
      </c>
      <c r="I121" s="14">
        <f>+SUM('31:29'!I121)</f>
        <v>0</v>
      </c>
      <c r="J121" s="14">
        <f>+SUM('31:29'!J121)</f>
        <v>0</v>
      </c>
      <c r="K121" s="145">
        <f t="shared" si="7"/>
        <v>0</v>
      </c>
      <c r="L121" s="145">
        <f t="shared" si="8"/>
        <v>0</v>
      </c>
      <c r="M121" s="145">
        <v>373.14</v>
      </c>
      <c r="N121" s="145">
        <f t="shared" si="13"/>
        <v>3.7017857142857142</v>
      </c>
      <c r="O121" s="14">
        <f>+SUM('31:29'!O121)</f>
        <v>0</v>
      </c>
      <c r="P121" s="145">
        <f t="shared" si="9"/>
        <v>0</v>
      </c>
      <c r="Q121" s="14">
        <f>+SUM('31:29'!Q121)</f>
        <v>0</v>
      </c>
      <c r="R121" s="19">
        <f t="shared" si="10"/>
        <v>0</v>
      </c>
      <c r="S121" s="145">
        <f t="shared" si="11"/>
        <v>0</v>
      </c>
      <c r="T121" s="20">
        <v>3</v>
      </c>
      <c r="U121" s="14">
        <f>+SUM('31:29'!U121)</f>
        <v>0</v>
      </c>
      <c r="V121" s="142"/>
      <c r="W121" s="14">
        <f>+SUM('31:29'!W121)</f>
        <v>0</v>
      </c>
      <c r="X121" s="14">
        <f>+SUM('31:29'!X121)</f>
        <v>0</v>
      </c>
      <c r="Y121" s="14">
        <f>+SUM('31:29'!Y121)</f>
        <v>0</v>
      </c>
      <c r="Z121" s="14">
        <f>+SUM('31:29'!Z121)</f>
        <v>0</v>
      </c>
      <c r="AA121" s="14">
        <f>+SUM('31:29'!AA121)</f>
        <v>0</v>
      </c>
      <c r="AB121" s="14">
        <f>+SUM('31:29'!AB121)</f>
        <v>0</v>
      </c>
      <c r="AC121" s="14">
        <f>+SUM('31:29'!AC121)</f>
        <v>0</v>
      </c>
    </row>
    <row r="122" spans="1:29" s="2" customFormat="1" ht="21.95" customHeight="1">
      <c r="A122" s="135">
        <v>300346</v>
      </c>
      <c r="B122" s="135" t="s">
        <v>110</v>
      </c>
      <c r="C122" s="219" t="s">
        <v>119</v>
      </c>
      <c r="D122" s="219"/>
      <c r="E122" s="147" t="s">
        <v>42</v>
      </c>
      <c r="F122" s="27"/>
      <c r="G122" s="14">
        <f>+SUM('31:29'!G122)</f>
        <v>0</v>
      </c>
      <c r="H122" s="14">
        <f>+SUM('31:29'!H122)</f>
        <v>0</v>
      </c>
      <c r="I122" s="14">
        <f>+SUM('31:29'!I122)</f>
        <v>0</v>
      </c>
      <c r="J122" s="14">
        <f>+SUM('31:29'!J122)</f>
        <v>0</v>
      </c>
      <c r="K122" s="145">
        <f t="shared" si="7"/>
        <v>0</v>
      </c>
      <c r="L122" s="145">
        <f t="shared" si="8"/>
        <v>0</v>
      </c>
      <c r="M122" s="145">
        <v>373.14</v>
      </c>
      <c r="N122" s="145">
        <f t="shared" si="13"/>
        <v>3.7017857142857142</v>
      </c>
      <c r="O122" s="14">
        <f>+SUM('31:29'!O122)</f>
        <v>0</v>
      </c>
      <c r="P122" s="145">
        <f t="shared" si="9"/>
        <v>0</v>
      </c>
      <c r="Q122" s="14">
        <f>+SUM('31:29'!Q122)</f>
        <v>0</v>
      </c>
      <c r="R122" s="19">
        <f t="shared" si="10"/>
        <v>0</v>
      </c>
      <c r="S122" s="145">
        <f t="shared" si="11"/>
        <v>0</v>
      </c>
      <c r="T122" s="20">
        <v>3</v>
      </c>
      <c r="U122" s="14">
        <f>+SUM('31:29'!U122)</f>
        <v>0</v>
      </c>
      <c r="V122" s="142"/>
      <c r="W122" s="14">
        <f>+SUM('31:29'!W122)</f>
        <v>0</v>
      </c>
      <c r="X122" s="14">
        <f>+SUM('31:29'!X122)</f>
        <v>0</v>
      </c>
      <c r="Y122" s="14">
        <f>+SUM('31:29'!Y122)</f>
        <v>0</v>
      </c>
      <c r="Z122" s="14">
        <f>+SUM('31:29'!Z122)</f>
        <v>0</v>
      </c>
      <c r="AA122" s="14">
        <f>+SUM('31:29'!AA122)</f>
        <v>0</v>
      </c>
      <c r="AB122" s="14">
        <f>+SUM('31:29'!AB122)</f>
        <v>0</v>
      </c>
      <c r="AC122" s="14">
        <f>+SUM('31:29'!AC122)</f>
        <v>0</v>
      </c>
    </row>
    <row r="123" spans="1:29" s="2" customFormat="1" ht="21.95" customHeight="1">
      <c r="A123" s="135">
        <v>300347</v>
      </c>
      <c r="B123" s="135" t="s">
        <v>110</v>
      </c>
      <c r="C123" s="219" t="s">
        <v>119</v>
      </c>
      <c r="D123" s="219"/>
      <c r="E123" s="147" t="s">
        <v>41</v>
      </c>
      <c r="F123" s="27"/>
      <c r="G123" s="14">
        <f>+SUM('31:29'!G123)</f>
        <v>0</v>
      </c>
      <c r="H123" s="14">
        <f>+SUM('31:29'!H123)</f>
        <v>0</v>
      </c>
      <c r="I123" s="14">
        <f>+SUM('31:29'!I123)</f>
        <v>0</v>
      </c>
      <c r="J123" s="14">
        <f>+SUM('31:29'!J123)</f>
        <v>0</v>
      </c>
      <c r="K123" s="145">
        <f t="shared" si="7"/>
        <v>0</v>
      </c>
      <c r="L123" s="145">
        <f t="shared" si="8"/>
        <v>0</v>
      </c>
      <c r="M123" s="145">
        <v>373.14</v>
      </c>
      <c r="N123" s="145">
        <f t="shared" si="13"/>
        <v>3.7017857142857142</v>
      </c>
      <c r="O123" s="14">
        <f>+SUM('31:29'!O123)</f>
        <v>0</v>
      </c>
      <c r="P123" s="145">
        <f t="shared" si="9"/>
        <v>0</v>
      </c>
      <c r="Q123" s="14">
        <f>+SUM('31:29'!Q123)</f>
        <v>0</v>
      </c>
      <c r="R123" s="19">
        <f t="shared" si="10"/>
        <v>0</v>
      </c>
      <c r="S123" s="145">
        <f t="shared" si="11"/>
        <v>0</v>
      </c>
      <c r="T123" s="20">
        <v>3</v>
      </c>
      <c r="U123" s="14">
        <f>+SUM('31:29'!U123)</f>
        <v>0</v>
      </c>
      <c r="V123" s="142"/>
      <c r="W123" s="14">
        <f>+SUM('31:29'!W123)</f>
        <v>0</v>
      </c>
      <c r="X123" s="14">
        <f>+SUM('31:29'!X123)</f>
        <v>0</v>
      </c>
      <c r="Y123" s="14">
        <f>+SUM('31:29'!Y123)</f>
        <v>0</v>
      </c>
      <c r="Z123" s="14">
        <f>+SUM('31:29'!Z123)</f>
        <v>0</v>
      </c>
      <c r="AA123" s="14">
        <f>+SUM('31:29'!AA123)</f>
        <v>0</v>
      </c>
      <c r="AB123" s="14">
        <f>+SUM('31:29'!AB123)</f>
        <v>0</v>
      </c>
      <c r="AC123" s="14">
        <f>+SUM('31:29'!AC123)</f>
        <v>0</v>
      </c>
    </row>
    <row r="124" spans="1:29" s="2" customFormat="1" ht="21.95" customHeight="1">
      <c r="A124" s="135">
        <v>300348</v>
      </c>
      <c r="B124" s="135" t="s">
        <v>110</v>
      </c>
      <c r="C124" s="219" t="s">
        <v>119</v>
      </c>
      <c r="D124" s="219"/>
      <c r="E124" s="147" t="s">
        <v>118</v>
      </c>
      <c r="F124" s="27"/>
      <c r="G124" s="14">
        <f>+SUM('31:29'!G124)</f>
        <v>0</v>
      </c>
      <c r="H124" s="14">
        <f>+SUM('31:29'!H124)</f>
        <v>0</v>
      </c>
      <c r="I124" s="14">
        <f>+SUM('31:29'!I124)</f>
        <v>0</v>
      </c>
      <c r="J124" s="14">
        <f>+SUM('31:29'!J124)</f>
        <v>0</v>
      </c>
      <c r="K124" s="145">
        <f t="shared" si="7"/>
        <v>0</v>
      </c>
      <c r="L124" s="145">
        <f t="shared" si="8"/>
        <v>0</v>
      </c>
      <c r="M124" s="145">
        <v>373.14</v>
      </c>
      <c r="N124" s="145">
        <f t="shared" si="13"/>
        <v>3.7017857142857142</v>
      </c>
      <c r="O124" s="14">
        <f>+SUM('31:29'!O124)</f>
        <v>0</v>
      </c>
      <c r="P124" s="145">
        <f t="shared" si="9"/>
        <v>0</v>
      </c>
      <c r="Q124" s="14">
        <f>+SUM('31:29'!Q124)</f>
        <v>0</v>
      </c>
      <c r="R124" s="19">
        <f t="shared" si="10"/>
        <v>0</v>
      </c>
      <c r="S124" s="145">
        <f t="shared" si="11"/>
        <v>0</v>
      </c>
      <c r="T124" s="20">
        <v>3</v>
      </c>
      <c r="U124" s="14">
        <f>+SUM('31:29'!U124)</f>
        <v>0</v>
      </c>
      <c r="V124" s="142"/>
      <c r="W124" s="14">
        <f>+SUM('31:29'!W124)</f>
        <v>0</v>
      </c>
      <c r="X124" s="14">
        <f>+SUM('31:29'!X124)</f>
        <v>0</v>
      </c>
      <c r="Y124" s="14">
        <f>+SUM('31:29'!Y124)</f>
        <v>0</v>
      </c>
      <c r="Z124" s="14">
        <f>+SUM('31:29'!Z124)</f>
        <v>0</v>
      </c>
      <c r="AA124" s="14">
        <f>+SUM('31:29'!AA124)</f>
        <v>0</v>
      </c>
      <c r="AB124" s="14">
        <f>+SUM('31:29'!AB124)</f>
        <v>0</v>
      </c>
      <c r="AC124" s="14">
        <f>+SUM('31:29'!AC124)</f>
        <v>0</v>
      </c>
    </row>
    <row r="125" spans="1:29" s="2" customFormat="1" ht="21.95" customHeight="1">
      <c r="A125" s="135">
        <v>300349</v>
      </c>
      <c r="B125" s="135" t="s">
        <v>110</v>
      </c>
      <c r="C125" s="219" t="s">
        <v>119</v>
      </c>
      <c r="D125" s="219"/>
      <c r="E125" s="147" t="s">
        <v>40</v>
      </c>
      <c r="F125" s="27"/>
      <c r="G125" s="14">
        <f>+SUM('31:29'!G125)</f>
        <v>0</v>
      </c>
      <c r="H125" s="14">
        <f>+SUM('31:29'!H125)</f>
        <v>0</v>
      </c>
      <c r="I125" s="14">
        <f>+SUM('31:29'!I125)</f>
        <v>0</v>
      </c>
      <c r="J125" s="14">
        <f>+SUM('31:29'!J125)</f>
        <v>0</v>
      </c>
      <c r="K125" s="145">
        <f t="shared" si="7"/>
        <v>0</v>
      </c>
      <c r="L125" s="145">
        <f t="shared" si="8"/>
        <v>0</v>
      </c>
      <c r="M125" s="145">
        <v>373.14</v>
      </c>
      <c r="N125" s="145">
        <f t="shared" si="13"/>
        <v>3.7017857142857142</v>
      </c>
      <c r="O125" s="14">
        <f>+SUM('31:29'!O125)</f>
        <v>0</v>
      </c>
      <c r="P125" s="145">
        <f t="shared" si="9"/>
        <v>0</v>
      </c>
      <c r="Q125" s="14">
        <f>+SUM('31:29'!Q125)</f>
        <v>0</v>
      </c>
      <c r="R125" s="19">
        <f t="shared" si="10"/>
        <v>0</v>
      </c>
      <c r="S125" s="145">
        <f t="shared" si="11"/>
        <v>0</v>
      </c>
      <c r="T125" s="20">
        <v>3</v>
      </c>
      <c r="U125" s="14">
        <f>+SUM('31:29'!U125)</f>
        <v>0</v>
      </c>
      <c r="V125" s="142"/>
      <c r="W125" s="14">
        <f>+SUM('31:29'!W125)</f>
        <v>0</v>
      </c>
      <c r="X125" s="14">
        <f>+SUM('31:29'!X125)</f>
        <v>0</v>
      </c>
      <c r="Y125" s="14">
        <f>+SUM('31:29'!Y125)</f>
        <v>0</v>
      </c>
      <c r="Z125" s="14">
        <f>+SUM('31:29'!Z125)</f>
        <v>0</v>
      </c>
      <c r="AA125" s="14">
        <f>+SUM('31:29'!AA125)</f>
        <v>0</v>
      </c>
      <c r="AB125" s="14">
        <f>+SUM('31:29'!AB125)</f>
        <v>0</v>
      </c>
      <c r="AC125" s="14">
        <f>+SUM('31:29'!AC125)</f>
        <v>0</v>
      </c>
    </row>
    <row r="126" spans="1:29" s="2" customFormat="1" ht="21.95" customHeight="1">
      <c r="A126" s="135">
        <v>300298</v>
      </c>
      <c r="B126" s="135" t="s">
        <v>110</v>
      </c>
      <c r="C126" s="219" t="s">
        <v>120</v>
      </c>
      <c r="D126" s="219"/>
      <c r="E126" s="147" t="s">
        <v>54</v>
      </c>
      <c r="F126" s="27"/>
      <c r="G126" s="14">
        <f>+SUM('31:29'!G126)</f>
        <v>0</v>
      </c>
      <c r="H126" s="14">
        <f>+SUM('31:29'!H126)</f>
        <v>0</v>
      </c>
      <c r="I126" s="14">
        <f>+SUM('31:29'!I126)</f>
        <v>0</v>
      </c>
      <c r="J126" s="14">
        <f>+SUM('31:29'!J126)</f>
        <v>0</v>
      </c>
      <c r="K126" s="145">
        <f t="shared" si="7"/>
        <v>0</v>
      </c>
      <c r="L126" s="145">
        <f t="shared" si="8"/>
        <v>0</v>
      </c>
      <c r="M126" s="145">
        <v>380.63</v>
      </c>
      <c r="N126" s="145">
        <f t="shared" ref="N126:N131" si="14">+M126*1000/(94.7*4*15*60)*T126</f>
        <v>4.4659157573624313</v>
      </c>
      <c r="O126" s="14">
        <f>+SUM('31:29'!O126)</f>
        <v>0</v>
      </c>
      <c r="P126" s="145">
        <f t="shared" si="9"/>
        <v>0</v>
      </c>
      <c r="Q126" s="14">
        <f>+SUM('31:29'!Q126)</f>
        <v>0</v>
      </c>
      <c r="R126" s="19">
        <f t="shared" si="10"/>
        <v>0</v>
      </c>
      <c r="S126" s="145">
        <f t="shared" si="11"/>
        <v>0</v>
      </c>
      <c r="T126" s="20">
        <v>4</v>
      </c>
      <c r="U126" s="14">
        <f>+SUM('31:29'!U126)</f>
        <v>0</v>
      </c>
      <c r="V126" s="142" t="str">
        <f t="array" ref="V126">IF(ISERROR(L126/K126),"",L126/K126)</f>
        <v/>
      </c>
      <c r="W126" s="14">
        <f>+SUM('31:29'!W126)</f>
        <v>0</v>
      </c>
      <c r="X126" s="14">
        <f>+SUM('31:29'!X126)</f>
        <v>0</v>
      </c>
      <c r="Y126" s="14">
        <f>+SUM('31:29'!Y126)</f>
        <v>0</v>
      </c>
      <c r="Z126" s="14">
        <f>+SUM('31:29'!Z126)</f>
        <v>0</v>
      </c>
      <c r="AA126" s="14">
        <f>+SUM('31:29'!AA126)</f>
        <v>0</v>
      </c>
      <c r="AB126" s="14">
        <f>+SUM('31:29'!AB126)</f>
        <v>0</v>
      </c>
      <c r="AC126" s="14">
        <f>+SUM('31:29'!AC126)</f>
        <v>0</v>
      </c>
    </row>
    <row r="127" spans="1:29" s="2" customFormat="1" ht="21.95" customHeight="1">
      <c r="A127" s="135">
        <v>300299</v>
      </c>
      <c r="B127" s="135" t="s">
        <v>110</v>
      </c>
      <c r="C127" s="219" t="s">
        <v>120</v>
      </c>
      <c r="D127" s="219"/>
      <c r="E127" s="147" t="s">
        <v>39</v>
      </c>
      <c r="F127" s="27"/>
      <c r="G127" s="14">
        <f>+SUM('31:29'!G127)</f>
        <v>0</v>
      </c>
      <c r="H127" s="14">
        <f>+SUM('31:29'!H127)</f>
        <v>0</v>
      </c>
      <c r="I127" s="14">
        <f>+SUM('31:29'!I127)</f>
        <v>0</v>
      </c>
      <c r="J127" s="14">
        <f>+SUM('31:29'!J127)</f>
        <v>0</v>
      </c>
      <c r="K127" s="145">
        <f t="shared" si="7"/>
        <v>0</v>
      </c>
      <c r="L127" s="145">
        <f t="shared" si="8"/>
        <v>0</v>
      </c>
      <c r="M127" s="145">
        <v>380.63</v>
      </c>
      <c r="N127" s="145">
        <f t="shared" si="14"/>
        <v>4.4659157573624313</v>
      </c>
      <c r="O127" s="14">
        <f>+SUM('31:29'!O127)</f>
        <v>0</v>
      </c>
      <c r="P127" s="145">
        <f t="shared" si="9"/>
        <v>0</v>
      </c>
      <c r="Q127" s="14">
        <f>+SUM('31:29'!Q127)</f>
        <v>0</v>
      </c>
      <c r="R127" s="19">
        <f t="shared" si="10"/>
        <v>0</v>
      </c>
      <c r="S127" s="145">
        <f t="shared" si="11"/>
        <v>0</v>
      </c>
      <c r="T127" s="20">
        <v>4</v>
      </c>
      <c r="U127" s="14">
        <f>+SUM('31:29'!U127)</f>
        <v>0</v>
      </c>
      <c r="V127" s="142" t="str">
        <f t="array" ref="V127">IF(ISERROR(L127/K127),"",L127/K127)</f>
        <v/>
      </c>
      <c r="W127" s="14">
        <f>+SUM('31:29'!W127)</f>
        <v>0</v>
      </c>
      <c r="X127" s="14">
        <f>+SUM('31:29'!X127)</f>
        <v>0</v>
      </c>
      <c r="Y127" s="14">
        <f>+SUM('31:29'!Y127)</f>
        <v>0</v>
      </c>
      <c r="Z127" s="14">
        <f>+SUM('31:29'!Z127)</f>
        <v>0</v>
      </c>
      <c r="AA127" s="14">
        <f>+SUM('31:29'!AA127)</f>
        <v>0</v>
      </c>
      <c r="AB127" s="14">
        <f>+SUM('31:29'!AB127)</f>
        <v>0</v>
      </c>
      <c r="AC127" s="14">
        <f>+SUM('31:29'!AC127)</f>
        <v>0</v>
      </c>
    </row>
    <row r="128" spans="1:29" s="2" customFormat="1" ht="21.95" customHeight="1">
      <c r="A128" s="135">
        <v>300296</v>
      </c>
      <c r="B128" s="135" t="s">
        <v>110</v>
      </c>
      <c r="C128" s="219" t="s">
        <v>120</v>
      </c>
      <c r="D128" s="219"/>
      <c r="E128" s="147" t="s">
        <v>41</v>
      </c>
      <c r="F128" s="27"/>
      <c r="G128" s="14">
        <f>+SUM('31:29'!G128)</f>
        <v>0</v>
      </c>
      <c r="H128" s="14">
        <f>+SUM('31:29'!H128)</f>
        <v>0</v>
      </c>
      <c r="I128" s="14">
        <f>+SUM('31:29'!I128)</f>
        <v>0</v>
      </c>
      <c r="J128" s="14">
        <f>+SUM('31:29'!J128)</f>
        <v>0</v>
      </c>
      <c r="K128" s="145">
        <f t="shared" si="7"/>
        <v>0</v>
      </c>
      <c r="L128" s="145">
        <f t="shared" si="8"/>
        <v>0</v>
      </c>
      <c r="M128" s="145">
        <v>380.63</v>
      </c>
      <c r="N128" s="145">
        <f t="shared" si="14"/>
        <v>4.4659157573624313</v>
      </c>
      <c r="O128" s="14">
        <f>+SUM('31:29'!O128)</f>
        <v>0</v>
      </c>
      <c r="P128" s="145">
        <f t="shared" si="9"/>
        <v>0</v>
      </c>
      <c r="Q128" s="14">
        <f>+SUM('31:29'!Q128)</f>
        <v>0</v>
      </c>
      <c r="R128" s="19">
        <f t="shared" si="10"/>
        <v>0</v>
      </c>
      <c r="S128" s="145">
        <f t="shared" si="11"/>
        <v>0</v>
      </c>
      <c r="T128" s="20">
        <v>4</v>
      </c>
      <c r="U128" s="14">
        <f>+SUM('31:29'!U128)</f>
        <v>0</v>
      </c>
      <c r="V128" s="142" t="str">
        <f t="array" ref="V128">IF(ISERROR(L128/K128),"",L128/K128)</f>
        <v/>
      </c>
      <c r="W128" s="14">
        <f>+SUM('31:29'!W128)</f>
        <v>0</v>
      </c>
      <c r="X128" s="14">
        <f>+SUM('31:29'!X128)</f>
        <v>0</v>
      </c>
      <c r="Y128" s="14">
        <f>+SUM('31:29'!Y128)</f>
        <v>0</v>
      </c>
      <c r="Z128" s="14">
        <f>+SUM('31:29'!Z128)</f>
        <v>0</v>
      </c>
      <c r="AA128" s="14">
        <f>+SUM('31:29'!AA128)</f>
        <v>0</v>
      </c>
      <c r="AB128" s="14">
        <f>+SUM('31:29'!AB128)</f>
        <v>0</v>
      </c>
      <c r="AC128" s="14">
        <f>+SUM('31:29'!AC128)</f>
        <v>0</v>
      </c>
    </row>
    <row r="129" spans="1:29" s="2" customFormat="1" ht="21.95" customHeight="1">
      <c r="A129" s="135">
        <v>300297</v>
      </c>
      <c r="B129" s="135" t="s">
        <v>110</v>
      </c>
      <c r="C129" s="219" t="s">
        <v>120</v>
      </c>
      <c r="D129" s="219"/>
      <c r="E129" s="147" t="s">
        <v>37</v>
      </c>
      <c r="F129" s="27"/>
      <c r="G129" s="14">
        <f>+SUM('31:29'!G129)</f>
        <v>0</v>
      </c>
      <c r="H129" s="14">
        <f>+SUM('31:29'!H129)</f>
        <v>0</v>
      </c>
      <c r="I129" s="14">
        <f>+SUM('31:29'!I129)</f>
        <v>0</v>
      </c>
      <c r="J129" s="14">
        <f>+SUM('31:29'!J129)</f>
        <v>0</v>
      </c>
      <c r="K129" s="145">
        <f t="shared" si="7"/>
        <v>0</v>
      </c>
      <c r="L129" s="145">
        <f t="shared" si="8"/>
        <v>0</v>
      </c>
      <c r="M129" s="145">
        <v>380.63</v>
      </c>
      <c r="N129" s="145">
        <f t="shared" si="14"/>
        <v>4.4659157573624313</v>
      </c>
      <c r="O129" s="14">
        <f>+SUM('31:29'!O129)</f>
        <v>0</v>
      </c>
      <c r="P129" s="145">
        <f t="shared" si="9"/>
        <v>0</v>
      </c>
      <c r="Q129" s="14">
        <f>+SUM('31:29'!Q129)</f>
        <v>0</v>
      </c>
      <c r="R129" s="19">
        <f t="shared" si="10"/>
        <v>0</v>
      </c>
      <c r="S129" s="145">
        <f t="shared" si="11"/>
        <v>0</v>
      </c>
      <c r="T129" s="20">
        <v>4</v>
      </c>
      <c r="U129" s="14">
        <f>+SUM('31:29'!U129)</f>
        <v>0</v>
      </c>
      <c r="V129" s="142" t="str">
        <f t="array" ref="V129">IF(ISERROR(L129/K129),"",L129/K129)</f>
        <v/>
      </c>
      <c r="W129" s="14">
        <f>+SUM('31:29'!W129)</f>
        <v>0</v>
      </c>
      <c r="X129" s="14">
        <f>+SUM('31:29'!X129)</f>
        <v>0</v>
      </c>
      <c r="Y129" s="14">
        <f>+SUM('31:29'!Y129)</f>
        <v>0</v>
      </c>
      <c r="Z129" s="14">
        <f>+SUM('31:29'!Z129)</f>
        <v>0</v>
      </c>
      <c r="AA129" s="14">
        <f>+SUM('31:29'!AA129)</f>
        <v>0</v>
      </c>
      <c r="AB129" s="14">
        <f>+SUM('31:29'!AB129)</f>
        <v>0</v>
      </c>
      <c r="AC129" s="14">
        <f>+SUM('31:29'!AC129)</f>
        <v>0</v>
      </c>
    </row>
    <row r="130" spans="1:29" s="2" customFormat="1" ht="21.95" customHeight="1">
      <c r="A130" s="135">
        <v>300340</v>
      </c>
      <c r="B130" s="135" t="s">
        <v>110</v>
      </c>
      <c r="C130" s="230" t="s">
        <v>121</v>
      </c>
      <c r="D130" s="231"/>
      <c r="E130" s="147" t="s">
        <v>41</v>
      </c>
      <c r="F130" s="27"/>
      <c r="G130" s="14">
        <f>+SUM('31:29'!G130)</f>
        <v>0</v>
      </c>
      <c r="H130" s="14">
        <f>+SUM('31:29'!H130)</f>
        <v>0</v>
      </c>
      <c r="I130" s="14">
        <f>+SUM('31:29'!I130)</f>
        <v>0</v>
      </c>
      <c r="J130" s="14">
        <f>+SUM('31:29'!J130)</f>
        <v>0</v>
      </c>
      <c r="K130" s="145">
        <f t="shared" si="7"/>
        <v>0</v>
      </c>
      <c r="L130" s="145">
        <f t="shared" si="8"/>
        <v>0</v>
      </c>
      <c r="M130" s="145">
        <v>325.60000000000002</v>
      </c>
      <c r="N130" s="145">
        <f t="shared" si="14"/>
        <v>3.8202510852986036</v>
      </c>
      <c r="O130" s="14">
        <f>+SUM('31:29'!O130)</f>
        <v>0</v>
      </c>
      <c r="P130" s="145">
        <f t="shared" si="9"/>
        <v>0</v>
      </c>
      <c r="Q130" s="14">
        <f>+SUM('31:29'!Q130)</f>
        <v>0</v>
      </c>
      <c r="R130" s="19">
        <f t="shared" si="10"/>
        <v>0</v>
      </c>
      <c r="S130" s="145">
        <f t="shared" si="11"/>
        <v>0</v>
      </c>
      <c r="T130" s="20">
        <v>4</v>
      </c>
      <c r="U130" s="14">
        <f>+SUM('31:29'!U130)</f>
        <v>0</v>
      </c>
      <c r="V130" s="142"/>
      <c r="W130" s="14">
        <f>+SUM('31:29'!W130)</f>
        <v>0</v>
      </c>
      <c r="X130" s="14">
        <f>+SUM('31:29'!X130)</f>
        <v>0</v>
      </c>
      <c r="Y130" s="14">
        <f>+SUM('31:29'!Y130)</f>
        <v>0</v>
      </c>
      <c r="Z130" s="14">
        <f>+SUM('31:29'!Z130)</f>
        <v>0</v>
      </c>
      <c r="AA130" s="14">
        <f>+SUM('31:29'!AA130)</f>
        <v>0</v>
      </c>
      <c r="AB130" s="14">
        <f>+SUM('31:29'!AB130)</f>
        <v>0</v>
      </c>
      <c r="AC130" s="14">
        <f>+SUM('31:29'!AC130)</f>
        <v>0</v>
      </c>
    </row>
    <row r="131" spans="1:29" s="2" customFormat="1" ht="21.95" customHeight="1">
      <c r="A131" s="135">
        <v>300339</v>
      </c>
      <c r="B131" s="135" t="s">
        <v>110</v>
      </c>
      <c r="C131" s="230" t="s">
        <v>121</v>
      </c>
      <c r="D131" s="231"/>
      <c r="E131" s="147" t="s">
        <v>39</v>
      </c>
      <c r="F131" s="27"/>
      <c r="G131" s="14">
        <f>+SUM('31:29'!G131)</f>
        <v>0</v>
      </c>
      <c r="H131" s="14">
        <f>+SUM('31:29'!H131)</f>
        <v>0</v>
      </c>
      <c r="I131" s="14">
        <f>+SUM('31:29'!I131)</f>
        <v>0</v>
      </c>
      <c r="J131" s="14">
        <f>+SUM('31:29'!J131)</f>
        <v>0</v>
      </c>
      <c r="K131" s="145">
        <f t="shared" si="7"/>
        <v>0</v>
      </c>
      <c r="L131" s="145">
        <f t="shared" si="8"/>
        <v>0</v>
      </c>
      <c r="M131" s="145">
        <v>325.60000000000002</v>
      </c>
      <c r="N131" s="145">
        <f t="shared" si="14"/>
        <v>3.8202510852986036</v>
      </c>
      <c r="O131" s="14">
        <f>+SUM('31:29'!O131)</f>
        <v>0</v>
      </c>
      <c r="P131" s="145">
        <f t="shared" si="9"/>
        <v>0</v>
      </c>
      <c r="Q131" s="14">
        <f>+SUM('31:29'!Q131)</f>
        <v>0</v>
      </c>
      <c r="R131" s="19">
        <f t="shared" si="10"/>
        <v>0</v>
      </c>
      <c r="S131" s="145">
        <f t="shared" si="11"/>
        <v>0</v>
      </c>
      <c r="T131" s="20">
        <v>4</v>
      </c>
      <c r="U131" s="14">
        <f>+SUM('31:29'!U131)</f>
        <v>0</v>
      </c>
      <c r="V131" s="142"/>
      <c r="W131" s="14">
        <f>+SUM('31:29'!W131)</f>
        <v>0</v>
      </c>
      <c r="X131" s="14">
        <f>+SUM('31:29'!X131)</f>
        <v>0</v>
      </c>
      <c r="Y131" s="14">
        <f>+SUM('31:29'!Y131)</f>
        <v>0</v>
      </c>
      <c r="Z131" s="14">
        <f>+SUM('31:29'!Z131)</f>
        <v>0</v>
      </c>
      <c r="AA131" s="14">
        <f>+SUM('31:29'!AA131)</f>
        <v>0</v>
      </c>
      <c r="AB131" s="14">
        <f>+SUM('31:29'!AB131)</f>
        <v>0</v>
      </c>
      <c r="AC131" s="14">
        <f>+SUM('31:29'!AC131)</f>
        <v>0</v>
      </c>
    </row>
    <row r="132" spans="1:29" s="2" customFormat="1" ht="21.95" customHeight="1">
      <c r="A132" s="135">
        <v>300303</v>
      </c>
      <c r="B132" s="135" t="s">
        <v>110</v>
      </c>
      <c r="C132" s="219" t="s">
        <v>122</v>
      </c>
      <c r="D132" s="219" t="s">
        <v>123</v>
      </c>
      <c r="E132" s="147" t="s">
        <v>57</v>
      </c>
      <c r="F132" s="27"/>
      <c r="G132" s="14">
        <f>+SUM('31:29'!G132)</f>
        <v>0</v>
      </c>
      <c r="H132" s="14">
        <f>+SUM('31:29'!H132)</f>
        <v>0</v>
      </c>
      <c r="I132" s="14">
        <f>+SUM('31:29'!I132)</f>
        <v>0</v>
      </c>
      <c r="J132" s="14">
        <f>+SUM('31:29'!J132)</f>
        <v>0</v>
      </c>
      <c r="K132" s="145">
        <f t="shared" si="7"/>
        <v>0</v>
      </c>
      <c r="L132" s="145">
        <f t="shared" si="8"/>
        <v>0</v>
      </c>
      <c r="M132" s="145">
        <v>396.92</v>
      </c>
      <c r="N132" s="145">
        <f>+M132*1000/(113.8*4*15*60)*T132</f>
        <v>4.8442686975200155</v>
      </c>
      <c r="O132" s="14">
        <f>+SUM('31:29'!O132)</f>
        <v>0</v>
      </c>
      <c r="P132" s="145">
        <f t="shared" si="9"/>
        <v>0</v>
      </c>
      <c r="Q132" s="14">
        <f>+SUM('31:29'!Q132)</f>
        <v>0</v>
      </c>
      <c r="R132" s="19">
        <f t="shared" si="10"/>
        <v>0</v>
      </c>
      <c r="S132" s="145">
        <f t="shared" si="11"/>
        <v>0</v>
      </c>
      <c r="T132" s="20">
        <v>5</v>
      </c>
      <c r="U132" s="14">
        <f>+SUM('31:29'!U132)</f>
        <v>0</v>
      </c>
      <c r="V132" s="142" t="str">
        <f t="array" ref="V132">IF(ISERROR(L132/K132),"",L132/K132)</f>
        <v/>
      </c>
      <c r="W132" s="14">
        <f>+SUM('31:29'!W132)</f>
        <v>0</v>
      </c>
      <c r="X132" s="14">
        <f>+SUM('31:29'!X132)</f>
        <v>0</v>
      </c>
      <c r="Y132" s="14">
        <f>+SUM('31:29'!Y132)</f>
        <v>0</v>
      </c>
      <c r="Z132" s="14">
        <f>+SUM('31:29'!Z132)</f>
        <v>0</v>
      </c>
      <c r="AA132" s="14">
        <f>+SUM('31:29'!AA132)</f>
        <v>0</v>
      </c>
      <c r="AB132" s="14">
        <f>+SUM('31:29'!AB132)</f>
        <v>0</v>
      </c>
      <c r="AC132" s="14">
        <f>+SUM('31:29'!AC132)</f>
        <v>0</v>
      </c>
    </row>
    <row r="133" spans="1:29" s="2" customFormat="1" ht="21.95" customHeight="1">
      <c r="A133" s="135">
        <v>300302</v>
      </c>
      <c r="B133" s="135" t="s">
        <v>110</v>
      </c>
      <c r="C133" s="219" t="s">
        <v>122</v>
      </c>
      <c r="D133" s="219" t="s">
        <v>123</v>
      </c>
      <c r="E133" s="147" t="s">
        <v>109</v>
      </c>
      <c r="F133" s="27"/>
      <c r="G133" s="14">
        <f>+SUM('31:29'!G133)</f>
        <v>0</v>
      </c>
      <c r="H133" s="14">
        <f>+SUM('31:29'!H133)</f>
        <v>0</v>
      </c>
      <c r="I133" s="14">
        <f>+SUM('31:29'!I133)</f>
        <v>0</v>
      </c>
      <c r="J133" s="14">
        <f>+SUM('31:29'!J133)</f>
        <v>0</v>
      </c>
      <c r="K133" s="145">
        <f t="shared" si="7"/>
        <v>0</v>
      </c>
      <c r="L133" s="145">
        <f t="shared" si="8"/>
        <v>0</v>
      </c>
      <c r="M133" s="145">
        <v>396.06</v>
      </c>
      <c r="N133" s="145">
        <f>+M133*1000/(113.8*4*15*60)*T133</f>
        <v>4.8337727006444053</v>
      </c>
      <c r="O133" s="14">
        <f>+SUM('31:29'!O133)</f>
        <v>0</v>
      </c>
      <c r="P133" s="145">
        <f t="shared" si="9"/>
        <v>0</v>
      </c>
      <c r="Q133" s="14">
        <f>+SUM('31:29'!Q133)</f>
        <v>0</v>
      </c>
      <c r="R133" s="19">
        <f t="shared" si="10"/>
        <v>0</v>
      </c>
      <c r="S133" s="145">
        <f t="shared" si="11"/>
        <v>0</v>
      </c>
      <c r="T133" s="20">
        <v>5</v>
      </c>
      <c r="U133" s="14">
        <f>+SUM('31:29'!U133)</f>
        <v>0</v>
      </c>
      <c r="V133" s="142" t="str">
        <f t="array" ref="V133">IF(ISERROR(L133/K133),"",L133/K133)</f>
        <v/>
      </c>
      <c r="W133" s="14">
        <f>+SUM('31:29'!W133)</f>
        <v>0</v>
      </c>
      <c r="X133" s="14">
        <f>+SUM('31:29'!X133)</f>
        <v>0</v>
      </c>
      <c r="Y133" s="14">
        <f>+SUM('31:29'!Y133)</f>
        <v>0</v>
      </c>
      <c r="Z133" s="14">
        <f>+SUM('31:29'!Z133)</f>
        <v>0</v>
      </c>
      <c r="AA133" s="14">
        <f>+SUM('31:29'!AA133)</f>
        <v>0</v>
      </c>
      <c r="AB133" s="14">
        <f>+SUM('31:29'!AB133)</f>
        <v>0</v>
      </c>
      <c r="AC133" s="14">
        <f>+SUM('31:29'!AC133)</f>
        <v>0</v>
      </c>
    </row>
    <row r="134" spans="1:29" s="2" customFormat="1" ht="21.95" customHeight="1">
      <c r="A134" s="135">
        <v>300301</v>
      </c>
      <c r="B134" s="135" t="s">
        <v>110</v>
      </c>
      <c r="C134" s="219" t="s">
        <v>122</v>
      </c>
      <c r="D134" s="219" t="s">
        <v>123</v>
      </c>
      <c r="E134" s="147" t="s">
        <v>124</v>
      </c>
      <c r="F134" s="27"/>
      <c r="G134" s="14">
        <f>+SUM('31:29'!G134)</f>
        <v>0</v>
      </c>
      <c r="H134" s="14">
        <f>+SUM('31:29'!H134)</f>
        <v>0</v>
      </c>
      <c r="I134" s="14">
        <f>+SUM('31:29'!I134)</f>
        <v>0</v>
      </c>
      <c r="J134" s="14">
        <f>+SUM('31:29'!J134)</f>
        <v>0</v>
      </c>
      <c r="K134" s="145">
        <f t="shared" si="7"/>
        <v>0</v>
      </c>
      <c r="L134" s="145">
        <f t="shared" si="8"/>
        <v>0</v>
      </c>
      <c r="M134" s="145">
        <v>401.25</v>
      </c>
      <c r="N134" s="145">
        <f>+M134*1000/(113.8*4*15*60)*T134</f>
        <v>4.8971148213239601</v>
      </c>
      <c r="O134" s="14">
        <f>+SUM('31:29'!O134)</f>
        <v>0</v>
      </c>
      <c r="P134" s="145">
        <f t="shared" si="9"/>
        <v>0</v>
      </c>
      <c r="Q134" s="14">
        <f>+SUM('31:29'!Q134)</f>
        <v>0</v>
      </c>
      <c r="R134" s="19">
        <f t="shared" si="10"/>
        <v>0</v>
      </c>
      <c r="S134" s="145">
        <f t="shared" si="11"/>
        <v>0</v>
      </c>
      <c r="T134" s="20">
        <v>5</v>
      </c>
      <c r="U134" s="14">
        <f>+SUM('31:29'!U134)</f>
        <v>0</v>
      </c>
      <c r="V134" s="142" t="str">
        <f t="array" ref="V134">IF(ISERROR(L134/K134),"",L134/K134)</f>
        <v/>
      </c>
      <c r="W134" s="14">
        <f>+SUM('31:29'!W134)</f>
        <v>0</v>
      </c>
      <c r="X134" s="14">
        <f>+SUM('31:29'!X134)</f>
        <v>0</v>
      </c>
      <c r="Y134" s="14">
        <f>+SUM('31:29'!Y134)</f>
        <v>0</v>
      </c>
      <c r="Z134" s="14">
        <f>+SUM('31:29'!Z134)</f>
        <v>0</v>
      </c>
      <c r="AA134" s="14">
        <f>+SUM('31:29'!AA134)</f>
        <v>0</v>
      </c>
      <c r="AB134" s="14">
        <f>+SUM('31:29'!AB134)</f>
        <v>0</v>
      </c>
      <c r="AC134" s="14">
        <f>+SUM('31:29'!AC134)</f>
        <v>0</v>
      </c>
    </row>
    <row r="135" spans="1:29" s="2" customFormat="1" ht="21.95" customHeight="1">
      <c r="A135" s="141">
        <v>300304</v>
      </c>
      <c r="B135" s="135" t="s">
        <v>110</v>
      </c>
      <c r="C135" s="219" t="s">
        <v>122</v>
      </c>
      <c r="D135" s="219"/>
      <c r="E135" s="147" t="s">
        <v>125</v>
      </c>
      <c r="F135" s="27"/>
      <c r="G135" s="14">
        <f>+SUM('31:29'!G135)</f>
        <v>0</v>
      </c>
      <c r="H135" s="14">
        <f>+SUM('31:29'!H135)</f>
        <v>0</v>
      </c>
      <c r="I135" s="14">
        <f>+SUM('31:29'!I135)</f>
        <v>0</v>
      </c>
      <c r="J135" s="14">
        <f>+SUM('31:29'!J135)</f>
        <v>0</v>
      </c>
      <c r="K135" s="145">
        <f t="shared" si="7"/>
        <v>0</v>
      </c>
      <c r="L135" s="145">
        <f t="shared" si="8"/>
        <v>0</v>
      </c>
      <c r="M135" s="145">
        <v>401.25</v>
      </c>
      <c r="N135" s="145">
        <f>+M135*1000/(113.8*4*15*60)*T135</f>
        <v>4.8971148213239601</v>
      </c>
      <c r="O135" s="14">
        <f>+SUM('31:29'!O135)</f>
        <v>0</v>
      </c>
      <c r="P135" s="145">
        <f t="shared" si="9"/>
        <v>0</v>
      </c>
      <c r="Q135" s="14">
        <f>+SUM('31:29'!Q135)</f>
        <v>0</v>
      </c>
      <c r="R135" s="19">
        <f t="shared" si="10"/>
        <v>0</v>
      </c>
      <c r="S135" s="145">
        <f t="shared" si="11"/>
        <v>0</v>
      </c>
      <c r="T135" s="20">
        <v>5</v>
      </c>
      <c r="U135" s="14">
        <f>+SUM('31:29'!U135)</f>
        <v>0</v>
      </c>
      <c r="V135" s="142" t="str">
        <f t="array" ref="V135">IF(ISERROR(L135/K135),"",L135/K135)</f>
        <v/>
      </c>
      <c r="W135" s="14">
        <f>+SUM('31:29'!W135)</f>
        <v>0</v>
      </c>
      <c r="X135" s="14">
        <f>+SUM('31:29'!X135)</f>
        <v>0</v>
      </c>
      <c r="Y135" s="14">
        <f>+SUM('31:29'!Y135)</f>
        <v>0</v>
      </c>
      <c r="Z135" s="14">
        <f>+SUM('31:29'!Z135)</f>
        <v>0</v>
      </c>
      <c r="AA135" s="14">
        <f>+SUM('31:29'!AA135)</f>
        <v>0</v>
      </c>
      <c r="AB135" s="14">
        <f>+SUM('31:29'!AB135)</f>
        <v>0</v>
      </c>
      <c r="AC135" s="14">
        <f>+SUM('31:29'!AC135)</f>
        <v>0</v>
      </c>
    </row>
    <row r="136" spans="1:29" s="2" customFormat="1" ht="21.95" customHeight="1">
      <c r="A136" s="141">
        <v>300300</v>
      </c>
      <c r="B136" s="135" t="s">
        <v>110</v>
      </c>
      <c r="C136" s="219" t="s">
        <v>122</v>
      </c>
      <c r="D136" s="219" t="s">
        <v>123</v>
      </c>
      <c r="E136" s="147" t="s">
        <v>54</v>
      </c>
      <c r="F136" s="27"/>
      <c r="G136" s="14">
        <f>+SUM('31:29'!G136)</f>
        <v>0</v>
      </c>
      <c r="H136" s="14">
        <f>+SUM('31:29'!H136)</f>
        <v>0</v>
      </c>
      <c r="I136" s="14">
        <f>+SUM('31:29'!I136)</f>
        <v>0</v>
      </c>
      <c r="J136" s="14">
        <f>+SUM('31:29'!J136)</f>
        <v>0</v>
      </c>
      <c r="K136" s="145">
        <f t="shared" si="7"/>
        <v>0</v>
      </c>
      <c r="L136" s="145">
        <f t="shared" si="8"/>
        <v>0</v>
      </c>
      <c r="M136" s="145">
        <v>399.07</v>
      </c>
      <c r="N136" s="145">
        <f>+M136*1000/(113.8*4*15*60)*T136</f>
        <v>4.8705086897090411</v>
      </c>
      <c r="O136" s="14">
        <f>+SUM('31:29'!O136)</f>
        <v>0</v>
      </c>
      <c r="P136" s="145">
        <f t="shared" si="9"/>
        <v>0</v>
      </c>
      <c r="Q136" s="14">
        <f>+SUM('31:29'!Q136)</f>
        <v>0</v>
      </c>
      <c r="R136" s="19">
        <f t="shared" si="10"/>
        <v>0</v>
      </c>
      <c r="S136" s="145">
        <f t="shared" si="11"/>
        <v>0</v>
      </c>
      <c r="T136" s="20">
        <v>5</v>
      </c>
      <c r="U136" s="14">
        <f>+SUM('31:29'!U136)</f>
        <v>0</v>
      </c>
      <c r="V136" s="142" t="str">
        <f t="array" ref="V136">IF(ISERROR(L136/K136),"",L136/K136)</f>
        <v/>
      </c>
      <c r="W136" s="14">
        <f>+SUM('31:29'!W136)</f>
        <v>0</v>
      </c>
      <c r="X136" s="14">
        <f>+SUM('31:29'!X136)</f>
        <v>0</v>
      </c>
      <c r="Y136" s="14">
        <f>+SUM('31:29'!Y136)</f>
        <v>0</v>
      </c>
      <c r="Z136" s="14">
        <f>+SUM('31:29'!Z136)</f>
        <v>0</v>
      </c>
      <c r="AA136" s="14">
        <f>+SUM('31:29'!AA136)</f>
        <v>0</v>
      </c>
      <c r="AB136" s="14">
        <f>+SUM('31:29'!AB136)</f>
        <v>0</v>
      </c>
      <c r="AC136" s="14">
        <f>+SUM('31:29'!AC136)</f>
        <v>0</v>
      </c>
    </row>
    <row r="137" spans="1:29" s="2" customFormat="1" ht="21.95" customHeight="1">
      <c r="A137" s="141">
        <v>300085</v>
      </c>
      <c r="B137" s="135">
        <v>6503</v>
      </c>
      <c r="C137" s="219" t="s">
        <v>126</v>
      </c>
      <c r="D137" s="219" t="s">
        <v>123</v>
      </c>
      <c r="E137" s="147" t="s">
        <v>127</v>
      </c>
      <c r="F137" s="27"/>
      <c r="G137" s="14">
        <f>+SUM('31:29'!G137)</f>
        <v>8</v>
      </c>
      <c r="H137" s="14">
        <f>+SUM('31:29'!H137)</f>
        <v>0</v>
      </c>
      <c r="I137" s="14">
        <f>+SUM('31:29'!I137)</f>
        <v>7.333333333333333</v>
      </c>
      <c r="J137" s="14">
        <f>+SUM('31:29'!J137)</f>
        <v>200</v>
      </c>
      <c r="K137" s="145">
        <f t="shared" si="7"/>
        <v>3154.4</v>
      </c>
      <c r="L137" s="145">
        <f t="shared" si="8"/>
        <v>2891.5333333333333</v>
      </c>
      <c r="M137" s="145">
        <v>394.3</v>
      </c>
      <c r="N137" s="145">
        <f>+M137*1000/(104.2*4*15*60)*T137</f>
        <v>6.3067818298144598</v>
      </c>
      <c r="O137" s="14">
        <f>+SUM('31:29'!O137)</f>
        <v>0</v>
      </c>
      <c r="P137" s="145">
        <f t="shared" si="9"/>
        <v>46.249733418639373</v>
      </c>
      <c r="Q137" s="14">
        <f>+SUM('31:29'!Q137)</f>
        <v>6</v>
      </c>
      <c r="R137" s="19">
        <f t="shared" si="10"/>
        <v>36</v>
      </c>
      <c r="S137" s="145">
        <f t="shared" si="11"/>
        <v>-10.249733418639373</v>
      </c>
      <c r="T137" s="20">
        <v>6</v>
      </c>
      <c r="U137" s="14">
        <f>+SUM('31:29'!U137)</f>
        <v>6</v>
      </c>
      <c r="V137" s="142">
        <f t="array" ref="V137">IF(ISERROR(L137/K137),"",L137/K137)</f>
        <v>0.91666666666666663</v>
      </c>
      <c r="W137" s="14">
        <f>+SUM('31:29'!W137)</f>
        <v>0</v>
      </c>
      <c r="X137" s="14">
        <f>+SUM('31:29'!X137)</f>
        <v>0</v>
      </c>
      <c r="Y137" s="14">
        <f>+SUM('31:29'!Y137)</f>
        <v>0</v>
      </c>
      <c r="Z137" s="14">
        <f>+SUM('31:29'!Z137)</f>
        <v>0</v>
      </c>
      <c r="AA137" s="14">
        <f>+SUM('31:29'!AA137)</f>
        <v>2</v>
      </c>
      <c r="AB137" s="14">
        <f>+SUM('31:29'!AB137)</f>
        <v>0</v>
      </c>
      <c r="AC137" s="14">
        <f>+SUM('31:29'!AC137)</f>
        <v>0</v>
      </c>
    </row>
    <row r="138" spans="1:29" s="2" customFormat="1" ht="21.95" customHeight="1">
      <c r="A138" s="141">
        <v>300087</v>
      </c>
      <c r="B138" s="135" t="s">
        <v>110</v>
      </c>
      <c r="C138" s="219" t="s">
        <v>126</v>
      </c>
      <c r="D138" s="219" t="s">
        <v>123</v>
      </c>
      <c r="E138" s="147" t="s">
        <v>80</v>
      </c>
      <c r="F138" s="27"/>
      <c r="G138" s="14">
        <f>+SUM('31:29'!G138)</f>
        <v>8</v>
      </c>
      <c r="H138" s="14">
        <f>+SUM('31:29'!H138)</f>
        <v>0</v>
      </c>
      <c r="I138" s="14">
        <f>+SUM('31:29'!I138)</f>
        <v>7.5</v>
      </c>
      <c r="J138" s="14">
        <f>+SUM('31:29'!J138)</f>
        <v>150</v>
      </c>
      <c r="K138" s="145">
        <f t="shared" si="7"/>
        <v>3040.8</v>
      </c>
      <c r="L138" s="145">
        <f t="shared" si="8"/>
        <v>2850.75</v>
      </c>
      <c r="M138" s="145">
        <v>380.1</v>
      </c>
      <c r="N138" s="145">
        <f>+M138*1000/(104.2*4*16*60)*T138</f>
        <v>4.7497300863723604</v>
      </c>
      <c r="O138" s="14">
        <f>+SUM('31:29'!O138)</f>
        <v>0.5</v>
      </c>
      <c r="P138" s="145">
        <f t="shared" si="9"/>
        <v>37.6229756477927</v>
      </c>
      <c r="Q138" s="14">
        <f>+SUM('31:29'!Q138)</f>
        <v>10</v>
      </c>
      <c r="R138" s="19">
        <f t="shared" si="10"/>
        <v>40</v>
      </c>
      <c r="S138" s="145">
        <f t="shared" si="11"/>
        <v>2.3770243522073002</v>
      </c>
      <c r="T138" s="20">
        <v>5</v>
      </c>
      <c r="U138" s="14">
        <f>+SUM('31:29'!U138)</f>
        <v>4</v>
      </c>
      <c r="V138" s="142">
        <f t="array" ref="V138">IF(ISERROR(L138/K138),"",L138/K138)</f>
        <v>0.93749999999999989</v>
      </c>
      <c r="W138" s="14">
        <f>+SUM('31:29'!W138)</f>
        <v>0</v>
      </c>
      <c r="X138" s="14">
        <f>+SUM('31:29'!X138)</f>
        <v>0</v>
      </c>
      <c r="Y138" s="14">
        <f>+SUM('31:29'!Y138)</f>
        <v>0</v>
      </c>
      <c r="Z138" s="14">
        <f>+SUM('31:29'!Z138)</f>
        <v>0</v>
      </c>
      <c r="AA138" s="14">
        <f>+SUM('31:29'!AA138)</f>
        <v>0</v>
      </c>
      <c r="AB138" s="14">
        <f>+SUM('31:29'!AB138)</f>
        <v>0</v>
      </c>
      <c r="AC138" s="14">
        <f>+SUM('31:29'!AC138)</f>
        <v>0</v>
      </c>
    </row>
    <row r="139" spans="1:29" s="2" customFormat="1" ht="21" customHeight="1">
      <c r="A139" s="141">
        <v>300387</v>
      </c>
      <c r="B139" s="135" t="s">
        <v>128</v>
      </c>
      <c r="C139" s="230" t="s">
        <v>129</v>
      </c>
      <c r="D139" s="231"/>
      <c r="E139" s="147" t="s">
        <v>57</v>
      </c>
      <c r="F139" s="27"/>
      <c r="G139" s="14">
        <f>+SUM('31:29'!G139)</f>
        <v>0</v>
      </c>
      <c r="H139" s="14">
        <f>+SUM('31:29'!H139)</f>
        <v>0</v>
      </c>
      <c r="I139" s="14">
        <f>+SUM('31:29'!I139)</f>
        <v>0</v>
      </c>
      <c r="J139" s="14">
        <f>+SUM('31:29'!J139)</f>
        <v>0</v>
      </c>
      <c r="K139" s="145">
        <f t="shared" si="7"/>
        <v>0</v>
      </c>
      <c r="L139" s="145">
        <f t="shared" si="8"/>
        <v>0</v>
      </c>
      <c r="M139" s="145">
        <v>352.29</v>
      </c>
      <c r="N139" s="145">
        <f>+M139*1000/(104.2*4*16*60)*T139</f>
        <v>4.4022162907869484</v>
      </c>
      <c r="O139" s="14">
        <f>+SUM('31:29'!O139)</f>
        <v>0</v>
      </c>
      <c r="P139" s="145">
        <f t="shared" si="9"/>
        <v>0</v>
      </c>
      <c r="Q139" s="14">
        <f>+SUM('31:29'!Q139)</f>
        <v>0</v>
      </c>
      <c r="R139" s="19">
        <f t="shared" si="10"/>
        <v>0</v>
      </c>
      <c r="S139" s="145">
        <f t="shared" si="11"/>
        <v>0</v>
      </c>
      <c r="T139" s="20">
        <v>5</v>
      </c>
      <c r="U139" s="14">
        <f>+SUM('31:29'!U139)</f>
        <v>0</v>
      </c>
      <c r="V139" s="142" t="str">
        <f t="array" ref="V139">IF(ISERROR(L139/K139),"",L139/K139)</f>
        <v/>
      </c>
      <c r="W139" s="14">
        <f>+SUM('31:29'!W139)</f>
        <v>0</v>
      </c>
      <c r="X139" s="14">
        <f>+SUM('31:29'!X139)</f>
        <v>0</v>
      </c>
      <c r="Y139" s="14">
        <f>+SUM('31:29'!Y139)</f>
        <v>0</v>
      </c>
      <c r="Z139" s="14">
        <f>+SUM('31:29'!Z139)</f>
        <v>0</v>
      </c>
      <c r="AA139" s="14">
        <f>+SUM('31:29'!AA139)</f>
        <v>0</v>
      </c>
      <c r="AB139" s="14">
        <f>+SUM('31:29'!AB139)</f>
        <v>0</v>
      </c>
      <c r="AC139" s="14">
        <f>+SUM('31:29'!AC139)</f>
        <v>0</v>
      </c>
    </row>
    <row r="140" spans="1:29" s="2" customFormat="1" ht="21.95" customHeight="1">
      <c r="A140" s="141">
        <v>300388</v>
      </c>
      <c r="B140" s="135" t="s">
        <v>130</v>
      </c>
      <c r="C140" s="230" t="s">
        <v>129</v>
      </c>
      <c r="D140" s="231"/>
      <c r="E140" s="147" t="s">
        <v>109</v>
      </c>
      <c r="F140" s="27"/>
      <c r="G140" s="14">
        <f>+SUM('31:29'!G140)</f>
        <v>0</v>
      </c>
      <c r="H140" s="14">
        <f>+SUM('31:29'!H140)</f>
        <v>0</v>
      </c>
      <c r="I140" s="14">
        <f>+SUM('31:29'!I140)</f>
        <v>0</v>
      </c>
      <c r="J140" s="14">
        <f>+SUM('31:29'!J140)</f>
        <v>0</v>
      </c>
      <c r="K140" s="145">
        <f t="shared" si="7"/>
        <v>0</v>
      </c>
      <c r="L140" s="145">
        <f t="shared" si="8"/>
        <v>0</v>
      </c>
      <c r="M140" s="145">
        <v>352.29</v>
      </c>
      <c r="N140" s="145">
        <f>+M140*1000/(104.2*4*16*60)*T140</f>
        <v>4.4022162907869484</v>
      </c>
      <c r="O140" s="14">
        <f>+SUM('31:29'!O140)</f>
        <v>0</v>
      </c>
      <c r="P140" s="145">
        <f t="shared" si="9"/>
        <v>0</v>
      </c>
      <c r="Q140" s="14">
        <f>+SUM('31:29'!Q140)</f>
        <v>0</v>
      </c>
      <c r="R140" s="19">
        <f t="shared" si="10"/>
        <v>0</v>
      </c>
      <c r="S140" s="145">
        <f t="shared" si="11"/>
        <v>0</v>
      </c>
      <c r="T140" s="20">
        <v>5</v>
      </c>
      <c r="U140" s="14">
        <f>+SUM('31:29'!U140)</f>
        <v>0</v>
      </c>
      <c r="V140" s="142" t="str">
        <f t="array" ref="V140">IF(ISERROR(L140/K140),"",L140/K140)</f>
        <v/>
      </c>
      <c r="W140" s="14">
        <f>+SUM('31:29'!W140)</f>
        <v>0</v>
      </c>
      <c r="X140" s="14">
        <f>+SUM('31:29'!X140)</f>
        <v>0</v>
      </c>
      <c r="Y140" s="14">
        <f>+SUM('31:29'!Y140)</f>
        <v>0</v>
      </c>
      <c r="Z140" s="14">
        <f>+SUM('31:29'!Z140)</f>
        <v>0</v>
      </c>
      <c r="AA140" s="14">
        <f>+SUM('31:29'!AA140)</f>
        <v>0</v>
      </c>
      <c r="AB140" s="14">
        <f>+SUM('31:29'!AB140)</f>
        <v>0</v>
      </c>
      <c r="AC140" s="14">
        <f>+SUM('31:29'!AC140)</f>
        <v>0</v>
      </c>
    </row>
    <row r="141" spans="1:29" s="2" customFormat="1" ht="21.95" customHeight="1">
      <c r="A141" s="141">
        <v>300123</v>
      </c>
      <c r="B141" s="135" t="s">
        <v>110</v>
      </c>
      <c r="C141" s="219" t="s">
        <v>131</v>
      </c>
      <c r="D141" s="219" t="s">
        <v>132</v>
      </c>
      <c r="E141" s="147" t="s">
        <v>127</v>
      </c>
      <c r="F141" s="27"/>
      <c r="G141" s="14">
        <f>+SUM('31:29'!G141)</f>
        <v>7.6499999999999995</v>
      </c>
      <c r="H141" s="14">
        <f>+SUM('31:29'!H141)</f>
        <v>0.72499999999999998</v>
      </c>
      <c r="I141" s="14">
        <f>+SUM('31:29'!I141)</f>
        <v>7.6499999999999995</v>
      </c>
      <c r="J141" s="14">
        <f>+SUM('31:29'!J141)</f>
        <v>30</v>
      </c>
      <c r="K141" s="145">
        <f t="shared" si="7"/>
        <v>4261.0499999999993</v>
      </c>
      <c r="L141" s="145">
        <f t="shared" si="8"/>
        <v>4261.0499999999993</v>
      </c>
      <c r="M141" s="145">
        <v>557</v>
      </c>
      <c r="N141" s="145">
        <f>+M141*1000/(126.5*4*15*60)*T141</f>
        <v>6.1155028546332888</v>
      </c>
      <c r="O141" s="14">
        <f>+SUM('31:29'!O141)</f>
        <v>0</v>
      </c>
      <c r="P141" s="145">
        <f t="shared" si="9"/>
        <v>46.783596837944657</v>
      </c>
      <c r="Q141" s="14">
        <f>+SUM('31:29'!Q141)</f>
        <v>12</v>
      </c>
      <c r="R141" s="19">
        <f t="shared" si="10"/>
        <v>120</v>
      </c>
      <c r="S141" s="145">
        <f t="shared" si="11"/>
        <v>73.216403162055343</v>
      </c>
      <c r="T141" s="20">
        <v>5</v>
      </c>
      <c r="U141" s="14">
        <f>+SUM('31:29'!U141)</f>
        <v>10</v>
      </c>
      <c r="V141" s="142">
        <f t="array" ref="V141">IF(ISERROR(L141/K141),"",L141/K141)</f>
        <v>1</v>
      </c>
      <c r="W141" s="14">
        <f>+SUM('31:29'!W141)</f>
        <v>0</v>
      </c>
      <c r="X141" s="14">
        <f>+SUM('31:29'!X141)</f>
        <v>0</v>
      </c>
      <c r="Y141" s="14">
        <f>+SUM('31:29'!Y141)</f>
        <v>0</v>
      </c>
      <c r="Z141" s="14">
        <f>+SUM('31:29'!Z141)</f>
        <v>0</v>
      </c>
      <c r="AA141" s="14">
        <f>+SUM('31:29'!AA141)</f>
        <v>0</v>
      </c>
      <c r="AB141" s="14">
        <f>+SUM('31:29'!AB141)</f>
        <v>0</v>
      </c>
      <c r="AC141" s="14">
        <f>+SUM('31:29'!AC141)</f>
        <v>0</v>
      </c>
    </row>
    <row r="142" spans="1:29" s="2" customFormat="1" ht="21.95" customHeight="1">
      <c r="A142" s="141">
        <v>300270</v>
      </c>
      <c r="B142" s="135" t="s">
        <v>110</v>
      </c>
      <c r="C142" s="219" t="s">
        <v>133</v>
      </c>
      <c r="D142" s="219"/>
      <c r="E142" s="147" t="s">
        <v>134</v>
      </c>
      <c r="F142" s="27"/>
      <c r="G142" s="14">
        <f>+SUM('31:29'!G142)</f>
        <v>0</v>
      </c>
      <c r="H142" s="14">
        <f>+SUM('31:29'!H142)</f>
        <v>0</v>
      </c>
      <c r="I142" s="14">
        <f>+SUM('31:29'!I142)</f>
        <v>0</v>
      </c>
      <c r="J142" s="14">
        <f>+SUM('31:29'!J142)</f>
        <v>0</v>
      </c>
      <c r="K142" s="145">
        <f t="shared" si="7"/>
        <v>0</v>
      </c>
      <c r="L142" s="145">
        <f t="shared" si="8"/>
        <v>0</v>
      </c>
      <c r="M142" s="145">
        <v>485.7</v>
      </c>
      <c r="N142" s="145">
        <f>+M142*1000/(126.5*4*15*60)*T142</f>
        <v>4.2661396574440049</v>
      </c>
      <c r="O142" s="14">
        <f>+SUM('31:29'!O142)</f>
        <v>0</v>
      </c>
      <c r="P142" s="145">
        <f t="shared" si="9"/>
        <v>0</v>
      </c>
      <c r="Q142" s="14">
        <f>+SUM('31:29'!Q142)</f>
        <v>0</v>
      </c>
      <c r="R142" s="19">
        <f t="shared" si="10"/>
        <v>0</v>
      </c>
      <c r="S142" s="145">
        <f t="shared" si="11"/>
        <v>0</v>
      </c>
      <c r="T142" s="20">
        <v>4</v>
      </c>
      <c r="U142" s="14">
        <f>+SUM('31:29'!U142)</f>
        <v>0</v>
      </c>
      <c r="V142" s="142" t="str">
        <f t="array" ref="V142">IF(ISERROR(L142/K142),"",L142/K142)</f>
        <v/>
      </c>
      <c r="W142" s="14">
        <f>+SUM('31:29'!W142)</f>
        <v>0</v>
      </c>
      <c r="X142" s="14">
        <f>+SUM('31:29'!X142)</f>
        <v>0</v>
      </c>
      <c r="Y142" s="14">
        <f>+SUM('31:29'!Y142)</f>
        <v>0</v>
      </c>
      <c r="Z142" s="14">
        <f>+SUM('31:29'!Z142)</f>
        <v>0</v>
      </c>
      <c r="AA142" s="14">
        <f>+SUM('31:29'!AA142)</f>
        <v>0</v>
      </c>
      <c r="AB142" s="14">
        <f>+SUM('31:29'!AB142)</f>
        <v>0</v>
      </c>
      <c r="AC142" s="14">
        <f>+SUM('31:29'!AC142)</f>
        <v>0</v>
      </c>
    </row>
    <row r="143" spans="1:29" s="2" customFormat="1" ht="21.95" customHeight="1">
      <c r="A143" s="141">
        <v>300336</v>
      </c>
      <c r="B143" s="135" t="s">
        <v>128</v>
      </c>
      <c r="C143" s="219" t="s">
        <v>135</v>
      </c>
      <c r="D143" s="219"/>
      <c r="E143" s="147" t="s">
        <v>84</v>
      </c>
      <c r="F143" s="27"/>
      <c r="G143" s="14">
        <f>+SUM('31:29'!G143)</f>
        <v>0</v>
      </c>
      <c r="H143" s="14">
        <f>+SUM('31:29'!H143)</f>
        <v>0</v>
      </c>
      <c r="I143" s="14">
        <f>+SUM('31:29'!I143)</f>
        <v>0</v>
      </c>
      <c r="J143" s="14">
        <f>+SUM('31:29'!J143)</f>
        <v>0</v>
      </c>
      <c r="K143" s="145">
        <f t="shared" si="7"/>
        <v>0</v>
      </c>
      <c r="L143" s="145">
        <f t="shared" si="8"/>
        <v>0</v>
      </c>
      <c r="M143" s="145">
        <v>411.4</v>
      </c>
      <c r="N143" s="145">
        <f>+M143*1000/(104.2*4*16*60)*T143</f>
        <v>2.0563419705694179</v>
      </c>
      <c r="O143" s="14">
        <f>+SUM('31:29'!O143)</f>
        <v>0</v>
      </c>
      <c r="P143" s="145">
        <f t="shared" si="9"/>
        <v>0</v>
      </c>
      <c r="Q143" s="14">
        <f>+SUM('31:29'!Q143)</f>
        <v>0</v>
      </c>
      <c r="R143" s="19">
        <f t="shared" si="10"/>
        <v>0</v>
      </c>
      <c r="S143" s="145">
        <f t="shared" si="11"/>
        <v>0</v>
      </c>
      <c r="T143" s="20">
        <v>2</v>
      </c>
      <c r="U143" s="14">
        <f>+SUM('31:29'!U143)</f>
        <v>0</v>
      </c>
      <c r="V143" s="142" t="str">
        <f t="array" ref="V143">IF(ISERROR(L143/K143),"",L143/K143)</f>
        <v/>
      </c>
      <c r="W143" s="14">
        <f>+SUM('31:29'!W143)</f>
        <v>0</v>
      </c>
      <c r="X143" s="14">
        <f>+SUM('31:29'!X143)</f>
        <v>0</v>
      </c>
      <c r="Y143" s="14">
        <f>+SUM('31:29'!Y143)</f>
        <v>0</v>
      </c>
      <c r="Z143" s="14">
        <f>+SUM('31:29'!Z143)</f>
        <v>0</v>
      </c>
      <c r="AA143" s="14">
        <f>+SUM('31:29'!AA143)</f>
        <v>0</v>
      </c>
      <c r="AB143" s="14">
        <f>+SUM('31:29'!AB143)</f>
        <v>0</v>
      </c>
      <c r="AC143" s="14">
        <f>+SUM('31:29'!AC143)</f>
        <v>0</v>
      </c>
    </row>
    <row r="144" spans="1:29" s="2" customFormat="1" ht="21.95" customHeight="1">
      <c r="A144" s="141">
        <v>300337</v>
      </c>
      <c r="B144" s="135" t="s">
        <v>130</v>
      </c>
      <c r="C144" s="219" t="s">
        <v>135</v>
      </c>
      <c r="D144" s="219"/>
      <c r="E144" s="147" t="s">
        <v>49</v>
      </c>
      <c r="F144" s="27"/>
      <c r="G144" s="14">
        <f>+SUM('31:29'!G144)</f>
        <v>0</v>
      </c>
      <c r="H144" s="14">
        <f>+SUM('31:29'!H144)</f>
        <v>0</v>
      </c>
      <c r="I144" s="14">
        <f>+SUM('31:29'!I144)</f>
        <v>0</v>
      </c>
      <c r="J144" s="14">
        <f>+SUM('31:29'!J144)</f>
        <v>0</v>
      </c>
      <c r="K144" s="145">
        <f t="shared" si="7"/>
        <v>0</v>
      </c>
      <c r="L144" s="145">
        <f t="shared" si="8"/>
        <v>0</v>
      </c>
      <c r="M144" s="145">
        <v>411.4</v>
      </c>
      <c r="N144" s="145">
        <f>+M144*1000/(104.2*4*16*60)*T144</f>
        <v>2.0563419705694179</v>
      </c>
      <c r="O144" s="14">
        <f>+SUM('31:29'!O144)</f>
        <v>0</v>
      </c>
      <c r="P144" s="145">
        <f t="shared" si="9"/>
        <v>0</v>
      </c>
      <c r="Q144" s="14">
        <f>+SUM('31:29'!Q144)</f>
        <v>0</v>
      </c>
      <c r="R144" s="19">
        <f t="shared" si="10"/>
        <v>0</v>
      </c>
      <c r="S144" s="145">
        <f t="shared" si="11"/>
        <v>0</v>
      </c>
      <c r="T144" s="20">
        <v>2</v>
      </c>
      <c r="U144" s="14">
        <f>+SUM('31:29'!U144)</f>
        <v>0</v>
      </c>
      <c r="V144" s="142"/>
      <c r="W144" s="14">
        <f>+SUM('31:29'!W144)</f>
        <v>0</v>
      </c>
      <c r="X144" s="14">
        <f>+SUM('31:29'!X144)</f>
        <v>0</v>
      </c>
      <c r="Y144" s="14">
        <f>+SUM('31:29'!Y144)</f>
        <v>0</v>
      </c>
      <c r="Z144" s="14">
        <f>+SUM('31:29'!Z144)</f>
        <v>0</v>
      </c>
      <c r="AA144" s="14">
        <f>+SUM('31:29'!AA144)</f>
        <v>0</v>
      </c>
      <c r="AB144" s="14">
        <f>+SUM('31:29'!AB144)</f>
        <v>0</v>
      </c>
      <c r="AC144" s="14">
        <f>+SUM('31:29'!AC144)</f>
        <v>0</v>
      </c>
    </row>
    <row r="145" spans="1:29" s="2" customFormat="1" ht="21.95" customHeight="1">
      <c r="A145" s="141">
        <v>300338</v>
      </c>
      <c r="B145" s="135" t="s">
        <v>136</v>
      </c>
      <c r="C145" s="219" t="s">
        <v>135</v>
      </c>
      <c r="D145" s="219"/>
      <c r="E145" s="147" t="s">
        <v>85</v>
      </c>
      <c r="F145" s="27"/>
      <c r="G145" s="14">
        <f>+SUM('31:29'!G145)</f>
        <v>0</v>
      </c>
      <c r="H145" s="14">
        <f>+SUM('31:29'!H145)</f>
        <v>0</v>
      </c>
      <c r="I145" s="14">
        <f>+SUM('31:29'!I145)</f>
        <v>0</v>
      </c>
      <c r="J145" s="14">
        <f>+SUM('31:29'!J145)</f>
        <v>0</v>
      </c>
      <c r="K145" s="145">
        <f t="shared" si="7"/>
        <v>0</v>
      </c>
      <c r="L145" s="145">
        <f t="shared" si="8"/>
        <v>0</v>
      </c>
      <c r="M145" s="145">
        <v>411.4</v>
      </c>
      <c r="N145" s="145">
        <f>+M145*1000/(104.2*4*16*60)*T145</f>
        <v>2.0563419705694179</v>
      </c>
      <c r="O145" s="14">
        <f>+SUM('31:29'!O145)</f>
        <v>0</v>
      </c>
      <c r="P145" s="145">
        <f t="shared" si="9"/>
        <v>0</v>
      </c>
      <c r="Q145" s="14">
        <f>+SUM('31:29'!Q145)</f>
        <v>0</v>
      </c>
      <c r="R145" s="19">
        <f t="shared" si="10"/>
        <v>0</v>
      </c>
      <c r="S145" s="145">
        <f t="shared" si="11"/>
        <v>0</v>
      </c>
      <c r="T145" s="20">
        <v>2</v>
      </c>
      <c r="U145" s="14">
        <f>+SUM('31:29'!U145)</f>
        <v>0</v>
      </c>
      <c r="V145" s="142"/>
      <c r="W145" s="14">
        <f>+SUM('31:29'!W145)</f>
        <v>0</v>
      </c>
      <c r="X145" s="14">
        <f>+SUM('31:29'!X145)</f>
        <v>0</v>
      </c>
      <c r="Y145" s="14">
        <f>+SUM('31:29'!Y145)</f>
        <v>0</v>
      </c>
      <c r="Z145" s="14">
        <f>+SUM('31:29'!Z145)</f>
        <v>0</v>
      </c>
      <c r="AA145" s="14">
        <f>+SUM('31:29'!AA145)</f>
        <v>0</v>
      </c>
      <c r="AB145" s="14">
        <f>+SUM('31:29'!AB145)</f>
        <v>0</v>
      </c>
      <c r="AC145" s="14">
        <f>+SUM('31:29'!AC145)</f>
        <v>0</v>
      </c>
    </row>
    <row r="146" spans="1:29" s="2" customFormat="1" ht="21.95" customHeight="1">
      <c r="A146" s="141">
        <v>300309</v>
      </c>
      <c r="B146" s="135">
        <v>6504</v>
      </c>
      <c r="C146" s="219" t="s">
        <v>137</v>
      </c>
      <c r="D146" s="219"/>
      <c r="E146" s="147" t="s">
        <v>47</v>
      </c>
      <c r="F146" s="27"/>
      <c r="G146" s="14">
        <f>+SUM('31:29'!G146)</f>
        <v>0</v>
      </c>
      <c r="H146" s="14">
        <f>+SUM('31:29'!H146)</f>
        <v>0</v>
      </c>
      <c r="I146" s="14">
        <f>+SUM('31:29'!I146)</f>
        <v>0</v>
      </c>
      <c r="J146" s="14">
        <f>+SUM('31:29'!J146)</f>
        <v>0</v>
      </c>
      <c r="K146" s="145">
        <f t="shared" si="7"/>
        <v>0</v>
      </c>
      <c r="L146" s="145">
        <f t="shared" si="8"/>
        <v>0</v>
      </c>
      <c r="M146" s="145">
        <v>316.88</v>
      </c>
      <c r="N146" s="15">
        <f>+M146*1000/(75.2*4*16*60)*T146</f>
        <v>6.5841090425531918</v>
      </c>
      <c r="O146" s="14">
        <f>+SUM('31:29'!O146)</f>
        <v>0</v>
      </c>
      <c r="P146" s="145">
        <f t="shared" si="9"/>
        <v>0</v>
      </c>
      <c r="Q146" s="14">
        <f>+SUM('31:29'!Q146)</f>
        <v>0</v>
      </c>
      <c r="R146" s="19">
        <f t="shared" si="10"/>
        <v>0</v>
      </c>
      <c r="S146" s="145">
        <f t="shared" si="11"/>
        <v>0</v>
      </c>
      <c r="T146" s="20">
        <v>6</v>
      </c>
      <c r="U146" s="14">
        <f>+SUM('31:29'!U146)</f>
        <v>0</v>
      </c>
      <c r="V146" s="142" t="str">
        <f t="array" ref="V146">IF(ISERROR(L146/K146),"",L146/K146)</f>
        <v/>
      </c>
      <c r="W146" s="14">
        <f>+SUM('31:29'!W146)</f>
        <v>0</v>
      </c>
      <c r="X146" s="14">
        <f>+SUM('31:29'!X146)</f>
        <v>0</v>
      </c>
      <c r="Y146" s="14">
        <f>+SUM('31:29'!Y146)</f>
        <v>0</v>
      </c>
      <c r="Z146" s="14">
        <f>+SUM('31:29'!Z146)</f>
        <v>0</v>
      </c>
      <c r="AA146" s="14">
        <f>+SUM('31:29'!AA146)</f>
        <v>0</v>
      </c>
      <c r="AB146" s="14">
        <f>+SUM('31:29'!AB146)</f>
        <v>0</v>
      </c>
      <c r="AC146" s="14">
        <f>+SUM('31:29'!AC146)</f>
        <v>0</v>
      </c>
    </row>
    <row r="147" spans="1:29" s="2" customFormat="1" ht="21.95" customHeight="1">
      <c r="A147" s="141">
        <v>300310</v>
      </c>
      <c r="B147" s="135">
        <v>6504</v>
      </c>
      <c r="C147" s="219" t="s">
        <v>137</v>
      </c>
      <c r="D147" s="219"/>
      <c r="E147" s="147" t="s">
        <v>138</v>
      </c>
      <c r="F147" s="27"/>
      <c r="G147" s="14">
        <f>+SUM('31:29'!G147)</f>
        <v>0</v>
      </c>
      <c r="H147" s="14">
        <f>+SUM('31:29'!H147)</f>
        <v>0</v>
      </c>
      <c r="I147" s="14">
        <f>+SUM('31:29'!I147)</f>
        <v>0</v>
      </c>
      <c r="J147" s="14">
        <f>+SUM('31:29'!J147)</f>
        <v>0</v>
      </c>
      <c r="K147" s="145">
        <f t="shared" si="7"/>
        <v>0</v>
      </c>
      <c r="L147" s="145">
        <f t="shared" si="8"/>
        <v>0</v>
      </c>
      <c r="M147" s="145">
        <v>316.88</v>
      </c>
      <c r="N147" s="15">
        <f>+M147*1000/(75.2*4*16*60)*T147</f>
        <v>6.5841090425531918</v>
      </c>
      <c r="O147" s="14">
        <f>+SUM('31:29'!O147)</f>
        <v>0</v>
      </c>
      <c r="P147" s="145">
        <f t="shared" si="9"/>
        <v>0</v>
      </c>
      <c r="Q147" s="14">
        <f>+SUM('31:29'!Q147)</f>
        <v>0</v>
      </c>
      <c r="R147" s="19">
        <f t="shared" si="10"/>
        <v>0</v>
      </c>
      <c r="S147" s="145">
        <f t="shared" si="11"/>
        <v>0</v>
      </c>
      <c r="T147" s="20">
        <v>6</v>
      </c>
      <c r="U147" s="14">
        <f>+SUM('31:29'!U147)</f>
        <v>0</v>
      </c>
      <c r="V147" s="142" t="str">
        <f t="array" ref="V147">IF(ISERROR(L147/K147),"",L147/K147)</f>
        <v/>
      </c>
      <c r="W147" s="14">
        <f>+SUM('31:29'!W147)</f>
        <v>0</v>
      </c>
      <c r="X147" s="14">
        <f>+SUM('31:29'!X147)</f>
        <v>0</v>
      </c>
      <c r="Y147" s="14">
        <f>+SUM('31:29'!Y147)</f>
        <v>0</v>
      </c>
      <c r="Z147" s="14">
        <f>+SUM('31:29'!Z147)</f>
        <v>0</v>
      </c>
      <c r="AA147" s="14">
        <f>+SUM('31:29'!AA147)</f>
        <v>0</v>
      </c>
      <c r="AB147" s="14">
        <f>+SUM('31:29'!AB147)</f>
        <v>0</v>
      </c>
      <c r="AC147" s="14">
        <f>+SUM('31:29'!AC147)</f>
        <v>0</v>
      </c>
    </row>
    <row r="148" spans="1:29" s="2" customFormat="1" ht="21.95" customHeight="1">
      <c r="A148" s="141">
        <v>300312</v>
      </c>
      <c r="B148" s="135">
        <v>6504</v>
      </c>
      <c r="C148" s="219" t="s">
        <v>137</v>
      </c>
      <c r="D148" s="219"/>
      <c r="E148" s="147" t="s">
        <v>139</v>
      </c>
      <c r="F148" s="27"/>
      <c r="G148" s="14">
        <f>+SUM('31:29'!G148)</f>
        <v>0</v>
      </c>
      <c r="H148" s="14">
        <f>+SUM('31:29'!H148)</f>
        <v>0</v>
      </c>
      <c r="I148" s="14">
        <f>+SUM('31:29'!I148)</f>
        <v>0</v>
      </c>
      <c r="J148" s="14">
        <f>+SUM('31:29'!J148)</f>
        <v>0</v>
      </c>
      <c r="K148" s="145">
        <f t="shared" si="7"/>
        <v>0</v>
      </c>
      <c r="L148" s="145">
        <f t="shared" si="8"/>
        <v>0</v>
      </c>
      <c r="M148" s="145">
        <v>316.88</v>
      </c>
      <c r="N148" s="15">
        <f>+M148*1000/(75.2*4*16*60)*T148</f>
        <v>6.5841090425531918</v>
      </c>
      <c r="O148" s="14">
        <f>+SUM('31:29'!O148)</f>
        <v>0</v>
      </c>
      <c r="P148" s="145">
        <f t="shared" si="9"/>
        <v>0</v>
      </c>
      <c r="Q148" s="14">
        <f>+SUM('31:29'!Q148)</f>
        <v>0</v>
      </c>
      <c r="R148" s="19">
        <f t="shared" si="10"/>
        <v>0</v>
      </c>
      <c r="S148" s="145">
        <f t="shared" si="11"/>
        <v>0</v>
      </c>
      <c r="T148" s="20">
        <v>6</v>
      </c>
      <c r="U148" s="14">
        <f>+SUM('31:29'!U148)</f>
        <v>0</v>
      </c>
      <c r="V148" s="142" t="str">
        <f t="array" ref="V148">IF(ISERROR(L148/K148),"",L148/K148)</f>
        <v/>
      </c>
      <c r="W148" s="14">
        <f>+SUM('31:29'!W148)</f>
        <v>0</v>
      </c>
      <c r="X148" s="14">
        <f>+SUM('31:29'!X148)</f>
        <v>0</v>
      </c>
      <c r="Y148" s="14">
        <f>+SUM('31:29'!Y148)</f>
        <v>0</v>
      </c>
      <c r="Z148" s="14">
        <f>+SUM('31:29'!Z148)</f>
        <v>0</v>
      </c>
      <c r="AA148" s="14">
        <f>+SUM('31:29'!AA148)</f>
        <v>0</v>
      </c>
      <c r="AB148" s="14">
        <f>+SUM('31:29'!AB148)</f>
        <v>0</v>
      </c>
      <c r="AC148" s="14">
        <f>+SUM('31:29'!AC148)</f>
        <v>0</v>
      </c>
    </row>
    <row r="149" spans="1:29" s="2" customFormat="1" ht="21.95" customHeight="1">
      <c r="A149" s="141">
        <v>300311</v>
      </c>
      <c r="B149" s="135">
        <v>6504</v>
      </c>
      <c r="C149" s="230" t="s">
        <v>137</v>
      </c>
      <c r="D149" s="231"/>
      <c r="E149" s="147" t="s">
        <v>74</v>
      </c>
      <c r="F149" s="27"/>
      <c r="G149" s="14">
        <f>+SUM('31:29'!G149)</f>
        <v>0</v>
      </c>
      <c r="H149" s="14">
        <f>+SUM('31:29'!H149)</f>
        <v>0</v>
      </c>
      <c r="I149" s="14">
        <f>+SUM('31:29'!I149)</f>
        <v>0</v>
      </c>
      <c r="J149" s="14">
        <f>+SUM('31:29'!J149)</f>
        <v>0</v>
      </c>
      <c r="K149" s="145">
        <f t="shared" si="7"/>
        <v>0</v>
      </c>
      <c r="L149" s="145">
        <f t="shared" si="8"/>
        <v>0</v>
      </c>
      <c r="M149" s="145">
        <v>316.88</v>
      </c>
      <c r="N149" s="15">
        <f>+M149*1000/(75.2*4*16*60)*T149</f>
        <v>6.5841090425531918</v>
      </c>
      <c r="O149" s="14">
        <f>+SUM('31:29'!O149)</f>
        <v>0</v>
      </c>
      <c r="P149" s="145">
        <f t="shared" si="9"/>
        <v>0</v>
      </c>
      <c r="Q149" s="14">
        <f>+SUM('31:29'!Q149)</f>
        <v>0</v>
      </c>
      <c r="R149" s="19">
        <f t="shared" si="10"/>
        <v>0</v>
      </c>
      <c r="S149" s="145">
        <f t="shared" si="11"/>
        <v>0</v>
      </c>
      <c r="T149" s="20">
        <v>6</v>
      </c>
      <c r="U149" s="14">
        <f>+SUM('31:29'!U149)</f>
        <v>0</v>
      </c>
      <c r="V149" s="142" t="str">
        <f t="array" ref="V149">IF(ISERROR(L149/K149),"",L149/K149)</f>
        <v/>
      </c>
      <c r="W149" s="14">
        <f>+SUM('31:29'!W149)</f>
        <v>0</v>
      </c>
      <c r="X149" s="14">
        <f>+SUM('31:29'!X149)</f>
        <v>0</v>
      </c>
      <c r="Y149" s="14">
        <f>+SUM('31:29'!Y149)</f>
        <v>0</v>
      </c>
      <c r="Z149" s="14">
        <f>+SUM('31:29'!Z149)</f>
        <v>0</v>
      </c>
      <c r="AA149" s="14">
        <f>+SUM('31:29'!AA149)</f>
        <v>0</v>
      </c>
      <c r="AB149" s="14">
        <f>+SUM('31:29'!AB149)</f>
        <v>0</v>
      </c>
      <c r="AC149" s="14">
        <f>+SUM('31:29'!AC149)</f>
        <v>0</v>
      </c>
    </row>
    <row r="150" spans="1:29" s="2" customFormat="1" ht="21.95" customHeight="1">
      <c r="A150" s="141">
        <v>300399</v>
      </c>
      <c r="B150" s="135">
        <v>18501</v>
      </c>
      <c r="C150" s="235" t="s">
        <v>140</v>
      </c>
      <c r="D150" s="236"/>
      <c r="E150" s="32" t="s">
        <v>41</v>
      </c>
      <c r="F150" s="27"/>
      <c r="G150" s="14">
        <f>+SUM('31:29'!G150)</f>
        <v>0</v>
      </c>
      <c r="H150" s="14">
        <f>+SUM('31:29'!H150)</f>
        <v>0</v>
      </c>
      <c r="I150" s="14">
        <f>+SUM('31:29'!I150)</f>
        <v>0</v>
      </c>
      <c r="J150" s="14">
        <f>+SUM('31:29'!J150)</f>
        <v>0</v>
      </c>
      <c r="K150" s="145">
        <f t="shared" si="7"/>
        <v>0</v>
      </c>
      <c r="L150" s="145">
        <f t="shared" si="8"/>
        <v>0</v>
      </c>
      <c r="M150" s="145">
        <v>311.2</v>
      </c>
      <c r="N150" s="40">
        <f>+M150*1000/(100*4*16*60)*T150</f>
        <v>4.8624999999999998</v>
      </c>
      <c r="O150" s="14">
        <f>+SUM('31:29'!O150)</f>
        <v>0</v>
      </c>
      <c r="P150" s="145">
        <f t="shared" si="9"/>
        <v>0</v>
      </c>
      <c r="Q150" s="14">
        <f>+SUM('31:29'!Q150)</f>
        <v>0</v>
      </c>
      <c r="R150" s="19">
        <f t="shared" si="10"/>
        <v>0</v>
      </c>
      <c r="S150" s="145">
        <f t="shared" si="11"/>
        <v>0</v>
      </c>
      <c r="T150" s="43">
        <v>6</v>
      </c>
      <c r="U150" s="14">
        <f>+SUM('31:29'!U150)</f>
        <v>0</v>
      </c>
      <c r="V150" s="142"/>
      <c r="W150" s="14">
        <f>+SUM('31:29'!W150)</f>
        <v>0</v>
      </c>
      <c r="X150" s="14">
        <f>+SUM('31:29'!X150)</f>
        <v>0</v>
      </c>
      <c r="Y150" s="14">
        <f>+SUM('31:29'!Y150)</f>
        <v>0</v>
      </c>
      <c r="Z150" s="14">
        <f>+SUM('31:29'!Z150)</f>
        <v>0</v>
      </c>
      <c r="AA150" s="14">
        <f>+SUM('31:29'!AA150)</f>
        <v>0</v>
      </c>
      <c r="AB150" s="14">
        <f>+SUM('31:29'!AB150)</f>
        <v>0</v>
      </c>
      <c r="AC150" s="14">
        <f>+SUM('31:29'!AC150)</f>
        <v>0</v>
      </c>
    </row>
    <row r="151" spans="1:29" s="2" customFormat="1" ht="21.95" customHeight="1">
      <c r="A151" s="141">
        <v>300400</v>
      </c>
      <c r="B151" s="135">
        <v>18501</v>
      </c>
      <c r="C151" s="235" t="s">
        <v>140</v>
      </c>
      <c r="D151" s="236"/>
      <c r="E151" s="32" t="s">
        <v>66</v>
      </c>
      <c r="F151" s="27"/>
      <c r="G151" s="14">
        <f>+SUM('31:29'!G151)</f>
        <v>0</v>
      </c>
      <c r="H151" s="14">
        <f>+SUM('31:29'!H151)</f>
        <v>0</v>
      </c>
      <c r="I151" s="14">
        <f>+SUM('31:29'!I151)</f>
        <v>0</v>
      </c>
      <c r="J151" s="14">
        <f>+SUM('31:29'!J151)</f>
        <v>0</v>
      </c>
      <c r="K151" s="145">
        <f t="shared" si="7"/>
        <v>0</v>
      </c>
      <c r="L151" s="145">
        <f t="shared" si="8"/>
        <v>0</v>
      </c>
      <c r="M151" s="145">
        <v>311.2</v>
      </c>
      <c r="N151" s="40">
        <f>+M151*1000/(100*4*16*60)*T151</f>
        <v>4.8624999999999998</v>
      </c>
      <c r="O151" s="14">
        <f>+SUM('31:29'!O151)</f>
        <v>0</v>
      </c>
      <c r="P151" s="145">
        <f t="shared" si="9"/>
        <v>0</v>
      </c>
      <c r="Q151" s="14">
        <f>+SUM('31:29'!Q151)</f>
        <v>0</v>
      </c>
      <c r="R151" s="19">
        <f t="shared" si="10"/>
        <v>0</v>
      </c>
      <c r="S151" s="145">
        <f t="shared" si="11"/>
        <v>0</v>
      </c>
      <c r="T151" s="43">
        <v>6</v>
      </c>
      <c r="U151" s="14">
        <f>+SUM('31:29'!U151)</f>
        <v>0</v>
      </c>
      <c r="V151" s="142"/>
      <c r="W151" s="14">
        <f>+SUM('31:29'!W151)</f>
        <v>0</v>
      </c>
      <c r="X151" s="14">
        <f>+SUM('31:29'!X151)</f>
        <v>0</v>
      </c>
      <c r="Y151" s="14">
        <f>+SUM('31:29'!Y151)</f>
        <v>0</v>
      </c>
      <c r="Z151" s="14">
        <f>+SUM('31:29'!Z151)</f>
        <v>0</v>
      </c>
      <c r="AA151" s="14">
        <f>+SUM('31:29'!AA151)</f>
        <v>0</v>
      </c>
      <c r="AB151" s="14">
        <f>+SUM('31:29'!AB151)</f>
        <v>0</v>
      </c>
      <c r="AC151" s="14">
        <f>+SUM('31:29'!AC151)</f>
        <v>0</v>
      </c>
    </row>
    <row r="152" spans="1:29" s="2" customFormat="1" ht="21.95" customHeight="1">
      <c r="A152" s="141">
        <v>300401</v>
      </c>
      <c r="B152" s="135">
        <v>18501</v>
      </c>
      <c r="C152" s="235" t="s">
        <v>140</v>
      </c>
      <c r="D152" s="236"/>
      <c r="E152" s="32" t="s">
        <v>141</v>
      </c>
      <c r="F152" s="27"/>
      <c r="G152" s="14">
        <f>+SUM('31:29'!G152)</f>
        <v>0</v>
      </c>
      <c r="H152" s="14">
        <f>+SUM('31:29'!H152)</f>
        <v>0</v>
      </c>
      <c r="I152" s="14">
        <f>+SUM('31:29'!I152)</f>
        <v>0</v>
      </c>
      <c r="J152" s="14">
        <f>+SUM('31:29'!J152)</f>
        <v>0</v>
      </c>
      <c r="K152" s="145">
        <f t="shared" si="7"/>
        <v>0</v>
      </c>
      <c r="L152" s="145">
        <f t="shared" si="8"/>
        <v>0</v>
      </c>
      <c r="M152" s="145">
        <v>311.2</v>
      </c>
      <c r="N152" s="40">
        <f>+M152*1000/(100*4*16*60)*T152</f>
        <v>4.8624999999999998</v>
      </c>
      <c r="O152" s="14">
        <f>+SUM('31:29'!O152)</f>
        <v>0</v>
      </c>
      <c r="P152" s="145">
        <f t="shared" si="9"/>
        <v>0</v>
      </c>
      <c r="Q152" s="14">
        <f>+SUM('31:29'!Q152)</f>
        <v>0</v>
      </c>
      <c r="R152" s="19">
        <f t="shared" si="10"/>
        <v>0</v>
      </c>
      <c r="S152" s="145">
        <f t="shared" si="11"/>
        <v>0</v>
      </c>
      <c r="T152" s="43">
        <v>6</v>
      </c>
      <c r="U152" s="14">
        <f>+SUM('31:29'!U152)</f>
        <v>0</v>
      </c>
      <c r="V152" s="142"/>
      <c r="W152" s="14">
        <f>+SUM('31:29'!W152)</f>
        <v>0</v>
      </c>
      <c r="X152" s="14">
        <f>+SUM('31:29'!X152)</f>
        <v>0</v>
      </c>
      <c r="Y152" s="14">
        <f>+SUM('31:29'!Y152)</f>
        <v>0</v>
      </c>
      <c r="Z152" s="14">
        <f>+SUM('31:29'!Z152)</f>
        <v>0</v>
      </c>
      <c r="AA152" s="14">
        <f>+SUM('31:29'!AA152)</f>
        <v>0</v>
      </c>
      <c r="AB152" s="14">
        <f>+SUM('31:29'!AB152)</f>
        <v>0</v>
      </c>
      <c r="AC152" s="14">
        <f>+SUM('31:29'!AC152)</f>
        <v>0</v>
      </c>
    </row>
    <row r="153" spans="1:29" s="2" customFormat="1" ht="21.95" customHeight="1">
      <c r="A153" s="141">
        <v>300402</v>
      </c>
      <c r="B153" s="135">
        <v>18501</v>
      </c>
      <c r="C153" s="235" t="s">
        <v>142</v>
      </c>
      <c r="D153" s="236"/>
      <c r="E153" s="32" t="s">
        <v>143</v>
      </c>
      <c r="F153" s="27"/>
      <c r="G153" s="14">
        <f>+SUM('31:29'!G153)</f>
        <v>0</v>
      </c>
      <c r="H153" s="14">
        <f>+SUM('31:29'!H153)</f>
        <v>0</v>
      </c>
      <c r="I153" s="14">
        <f>+SUM('31:29'!I153)</f>
        <v>0</v>
      </c>
      <c r="J153" s="14">
        <f>+SUM('31:29'!J153)</f>
        <v>0</v>
      </c>
      <c r="K153" s="145">
        <f t="shared" si="7"/>
        <v>0</v>
      </c>
      <c r="L153" s="145">
        <f t="shared" si="8"/>
        <v>0</v>
      </c>
      <c r="M153" s="145">
        <v>465.3</v>
      </c>
      <c r="N153" s="40">
        <f>+M153*1000/(137*4*16*60)*T153</f>
        <v>5.3067974452554747</v>
      </c>
      <c r="O153" s="14">
        <f>+SUM('31:29'!O153)</f>
        <v>0</v>
      </c>
      <c r="P153" s="145">
        <f t="shared" si="9"/>
        <v>0</v>
      </c>
      <c r="Q153" s="14">
        <f>+SUM('31:29'!Q153)</f>
        <v>0</v>
      </c>
      <c r="R153" s="19">
        <f t="shared" si="10"/>
        <v>0</v>
      </c>
      <c r="S153" s="145">
        <f t="shared" si="11"/>
        <v>0</v>
      </c>
      <c r="T153" s="43">
        <v>6</v>
      </c>
      <c r="U153" s="14">
        <f>+SUM('31:29'!U153)</f>
        <v>0</v>
      </c>
      <c r="V153" s="142"/>
      <c r="W153" s="14">
        <f>+SUM('31:29'!W153)</f>
        <v>0</v>
      </c>
      <c r="X153" s="14">
        <f>+SUM('31:29'!X153)</f>
        <v>0</v>
      </c>
      <c r="Y153" s="14">
        <f>+SUM('31:29'!Y153)</f>
        <v>0</v>
      </c>
      <c r="Z153" s="14">
        <f>+SUM('31:29'!Z153)</f>
        <v>0</v>
      </c>
      <c r="AA153" s="14">
        <f>+SUM('31:29'!AA153)</f>
        <v>0</v>
      </c>
      <c r="AB153" s="14">
        <f>+SUM('31:29'!AB153)</f>
        <v>0</v>
      </c>
      <c r="AC153" s="14">
        <f>+SUM('31:29'!AC153)</f>
        <v>0</v>
      </c>
    </row>
    <row r="154" spans="1:29" s="2" customFormat="1" ht="21.95" customHeight="1">
      <c r="A154" s="141">
        <v>300403</v>
      </c>
      <c r="B154" s="135">
        <v>18501</v>
      </c>
      <c r="C154" s="235" t="s">
        <v>142</v>
      </c>
      <c r="D154" s="236"/>
      <c r="E154" s="32" t="s">
        <v>144</v>
      </c>
      <c r="F154" s="27"/>
      <c r="G154" s="14">
        <f>+SUM('31:29'!G154)</f>
        <v>0</v>
      </c>
      <c r="H154" s="14">
        <f>+SUM('31:29'!H154)</f>
        <v>0</v>
      </c>
      <c r="I154" s="14">
        <f>+SUM('31:29'!I154)</f>
        <v>0</v>
      </c>
      <c r="J154" s="14">
        <f>+SUM('31:29'!J154)</f>
        <v>0</v>
      </c>
      <c r="K154" s="145">
        <f t="shared" ref="K154:K190" si="15">G154*M154</f>
        <v>0</v>
      </c>
      <c r="L154" s="145">
        <f t="shared" ref="L154:L190" si="16">I154*M154</f>
        <v>0</v>
      </c>
      <c r="M154" s="145">
        <v>465.3</v>
      </c>
      <c r="N154" s="40">
        <f>+M154*1000/(137*4*16*60)*T154</f>
        <v>5.3067974452554747</v>
      </c>
      <c r="O154" s="14">
        <f>+SUM('31:29'!O154)</f>
        <v>0</v>
      </c>
      <c r="P154" s="145">
        <f t="shared" ref="P154:P190" si="17">N154*I154+O154*U154</f>
        <v>0</v>
      </c>
      <c r="Q154" s="14">
        <f>+SUM('31:29'!Q154)</f>
        <v>0</v>
      </c>
      <c r="R154" s="19">
        <f t="shared" ref="R154:R190" si="18">Q154*U154</f>
        <v>0</v>
      </c>
      <c r="S154" s="145">
        <f t="shared" ref="S154:S190" si="19">R154-P154</f>
        <v>0</v>
      </c>
      <c r="T154" s="43">
        <v>6</v>
      </c>
      <c r="U154" s="14">
        <f>+SUM('31:29'!U154)</f>
        <v>0</v>
      </c>
      <c r="V154" s="142"/>
      <c r="W154" s="14">
        <f>+SUM('31:29'!W154)</f>
        <v>0</v>
      </c>
      <c r="X154" s="14">
        <f>+SUM('31:29'!X154)</f>
        <v>0</v>
      </c>
      <c r="Y154" s="14">
        <f>+SUM('31:29'!Y154)</f>
        <v>0</v>
      </c>
      <c r="Z154" s="14">
        <f>+SUM('31:29'!Z154)</f>
        <v>0</v>
      </c>
      <c r="AA154" s="14">
        <f>+SUM('31:29'!AA154)</f>
        <v>0</v>
      </c>
      <c r="AB154" s="14">
        <f>+SUM('31:29'!AB154)</f>
        <v>0</v>
      </c>
      <c r="AC154" s="14">
        <f>+SUM('31:29'!AC154)</f>
        <v>0</v>
      </c>
    </row>
    <row r="155" spans="1:29" s="2" customFormat="1" ht="21.95" customHeight="1">
      <c r="A155" s="141">
        <v>300404</v>
      </c>
      <c r="B155" s="135">
        <v>18501</v>
      </c>
      <c r="C155" s="235" t="s">
        <v>142</v>
      </c>
      <c r="D155" s="236"/>
      <c r="E155" s="32" t="s">
        <v>70</v>
      </c>
      <c r="F155" s="27"/>
      <c r="G155" s="14">
        <f>+SUM('31:29'!G155)</f>
        <v>0</v>
      </c>
      <c r="H155" s="14">
        <f>+SUM('31:29'!H155)</f>
        <v>0</v>
      </c>
      <c r="I155" s="14">
        <f>+SUM('31:29'!I155)</f>
        <v>0</v>
      </c>
      <c r="J155" s="14">
        <f>+SUM('31:29'!J155)</f>
        <v>0</v>
      </c>
      <c r="K155" s="145">
        <f t="shared" si="15"/>
        <v>0</v>
      </c>
      <c r="L155" s="145">
        <f t="shared" si="16"/>
        <v>0</v>
      </c>
      <c r="M155" s="145">
        <v>465.3</v>
      </c>
      <c r="N155" s="40">
        <f>+M155*1000/(137*4*16*60)*T155</f>
        <v>5.3067974452554747</v>
      </c>
      <c r="O155" s="14">
        <f>+SUM('31:29'!O155)</f>
        <v>0</v>
      </c>
      <c r="P155" s="145">
        <f t="shared" si="17"/>
        <v>0</v>
      </c>
      <c r="Q155" s="14">
        <f>+SUM('31:29'!Q155)</f>
        <v>0</v>
      </c>
      <c r="R155" s="19">
        <f t="shared" si="18"/>
        <v>0</v>
      </c>
      <c r="S155" s="145">
        <f t="shared" si="19"/>
        <v>0</v>
      </c>
      <c r="T155" s="43">
        <v>6</v>
      </c>
      <c r="U155" s="14">
        <f>+SUM('31:29'!U155)</f>
        <v>0</v>
      </c>
      <c r="V155" s="142"/>
      <c r="W155" s="14">
        <f>+SUM('31:29'!W155)</f>
        <v>0</v>
      </c>
      <c r="X155" s="14">
        <f>+SUM('31:29'!X155)</f>
        <v>0</v>
      </c>
      <c r="Y155" s="14">
        <f>+SUM('31:29'!Y155)</f>
        <v>0</v>
      </c>
      <c r="Z155" s="14">
        <f>+SUM('31:29'!Z155)</f>
        <v>0</v>
      </c>
      <c r="AA155" s="14">
        <f>+SUM('31:29'!AA155)</f>
        <v>0</v>
      </c>
      <c r="AB155" s="14">
        <f>+SUM('31:29'!AB155)</f>
        <v>0</v>
      </c>
      <c r="AC155" s="14">
        <f>+SUM('31:29'!AC155)</f>
        <v>0</v>
      </c>
    </row>
    <row r="156" spans="1:29" s="2" customFormat="1" ht="21.95" customHeight="1">
      <c r="A156" s="141">
        <v>300405</v>
      </c>
      <c r="B156" s="135">
        <v>18501</v>
      </c>
      <c r="C156" s="235" t="s">
        <v>142</v>
      </c>
      <c r="D156" s="236"/>
      <c r="E156" s="32" t="s">
        <v>35</v>
      </c>
      <c r="F156" s="27"/>
      <c r="G156" s="14">
        <f>+SUM('31:29'!G156)</f>
        <v>0</v>
      </c>
      <c r="H156" s="14">
        <f>+SUM('31:29'!H156)</f>
        <v>0</v>
      </c>
      <c r="I156" s="14">
        <f>+SUM('31:29'!I156)</f>
        <v>0</v>
      </c>
      <c r="J156" s="14">
        <f>+SUM('31:29'!J156)</f>
        <v>0</v>
      </c>
      <c r="K156" s="145">
        <f t="shared" si="15"/>
        <v>0</v>
      </c>
      <c r="L156" s="145">
        <f t="shared" si="16"/>
        <v>0</v>
      </c>
      <c r="M156" s="145">
        <v>465.3</v>
      </c>
      <c r="N156" s="40">
        <f>+M156*1000/(137*4*16*60)*T156</f>
        <v>5.3067974452554747</v>
      </c>
      <c r="O156" s="14">
        <f>+SUM('31:29'!O156)</f>
        <v>0</v>
      </c>
      <c r="P156" s="145">
        <f t="shared" si="17"/>
        <v>0</v>
      </c>
      <c r="Q156" s="14">
        <f>+SUM('31:29'!Q156)</f>
        <v>0</v>
      </c>
      <c r="R156" s="19">
        <f t="shared" si="18"/>
        <v>0</v>
      </c>
      <c r="S156" s="145">
        <f t="shared" si="19"/>
        <v>0</v>
      </c>
      <c r="T156" s="43">
        <v>6</v>
      </c>
      <c r="U156" s="14">
        <f>+SUM('31:29'!U156)</f>
        <v>0</v>
      </c>
      <c r="V156" s="142"/>
      <c r="W156" s="14">
        <f>+SUM('31:29'!W156)</f>
        <v>0</v>
      </c>
      <c r="X156" s="14">
        <f>+SUM('31:29'!X156)</f>
        <v>0</v>
      </c>
      <c r="Y156" s="14">
        <f>+SUM('31:29'!Y156)</f>
        <v>0</v>
      </c>
      <c r="Z156" s="14">
        <f>+SUM('31:29'!Z156)</f>
        <v>0</v>
      </c>
      <c r="AA156" s="14">
        <f>+SUM('31:29'!AA156)</f>
        <v>0</v>
      </c>
      <c r="AB156" s="14">
        <f>+SUM('31:29'!AB156)</f>
        <v>0</v>
      </c>
      <c r="AC156" s="14">
        <f>+SUM('31:29'!AC156)</f>
        <v>0</v>
      </c>
    </row>
    <row r="157" spans="1:29" s="2" customFormat="1" ht="21.95" customHeight="1">
      <c r="A157" s="141">
        <v>300372</v>
      </c>
      <c r="B157" s="135">
        <v>18501</v>
      </c>
      <c r="C157" s="230" t="s">
        <v>145</v>
      </c>
      <c r="D157" s="231"/>
      <c r="E157" s="147" t="s">
        <v>47</v>
      </c>
      <c r="F157" s="27"/>
      <c r="G157" s="14">
        <f>+SUM('31:29'!G157)</f>
        <v>0</v>
      </c>
      <c r="H157" s="14">
        <f>+SUM('31:29'!H157)</f>
        <v>0</v>
      </c>
      <c r="I157" s="14">
        <f>+SUM('31:29'!I157)</f>
        <v>0</v>
      </c>
      <c r="J157" s="14">
        <f>+SUM('31:29'!J157)</f>
        <v>0</v>
      </c>
      <c r="K157" s="145">
        <f t="shared" si="15"/>
        <v>0</v>
      </c>
      <c r="L157" s="145">
        <f t="shared" si="16"/>
        <v>0</v>
      </c>
      <c r="M157" s="145">
        <v>420.58</v>
      </c>
      <c r="N157" s="15">
        <f>+M157*1000/(140*4*16*60)*T157</f>
        <v>4.6939732142857142</v>
      </c>
      <c r="O157" s="14">
        <f>+SUM('31:29'!O157)</f>
        <v>0</v>
      </c>
      <c r="P157" s="145">
        <f t="shared" si="17"/>
        <v>0</v>
      </c>
      <c r="Q157" s="14">
        <f>+SUM('31:29'!Q157)</f>
        <v>0</v>
      </c>
      <c r="R157" s="19">
        <f t="shared" si="18"/>
        <v>0</v>
      </c>
      <c r="S157" s="145">
        <f t="shared" si="19"/>
        <v>0</v>
      </c>
      <c r="T157" s="20">
        <v>6</v>
      </c>
      <c r="U157" s="14">
        <f>+SUM('31:29'!U157)</f>
        <v>0</v>
      </c>
      <c r="V157" s="142"/>
      <c r="W157" s="14">
        <f>+SUM('31:29'!W157)</f>
        <v>0</v>
      </c>
      <c r="X157" s="14">
        <f>+SUM('31:29'!X157)</f>
        <v>0</v>
      </c>
      <c r="Y157" s="14">
        <f>+SUM('31:29'!Y157)</f>
        <v>0</v>
      </c>
      <c r="Z157" s="14">
        <f>+SUM('31:29'!Z157)</f>
        <v>0</v>
      </c>
      <c r="AA157" s="14">
        <f>+SUM('31:29'!AA157)</f>
        <v>0</v>
      </c>
      <c r="AB157" s="14">
        <f>+SUM('31:29'!AB157)</f>
        <v>0</v>
      </c>
      <c r="AC157" s="14">
        <f>+SUM('31:29'!AC157)</f>
        <v>0</v>
      </c>
    </row>
    <row r="158" spans="1:29" s="2" customFormat="1" ht="21.95" customHeight="1">
      <c r="A158" s="141">
        <v>300373</v>
      </c>
      <c r="B158" s="135">
        <v>18501</v>
      </c>
      <c r="C158" s="230" t="s">
        <v>145</v>
      </c>
      <c r="D158" s="231"/>
      <c r="E158" s="147" t="s">
        <v>138</v>
      </c>
      <c r="F158" s="27"/>
      <c r="G158" s="14">
        <f>+SUM('31:29'!G158)</f>
        <v>0</v>
      </c>
      <c r="H158" s="14">
        <f>+SUM('31:29'!H158)</f>
        <v>0</v>
      </c>
      <c r="I158" s="14">
        <f>+SUM('31:29'!I158)</f>
        <v>0</v>
      </c>
      <c r="J158" s="14">
        <f>+SUM('31:29'!J158)</f>
        <v>0</v>
      </c>
      <c r="K158" s="145">
        <f t="shared" si="15"/>
        <v>0</v>
      </c>
      <c r="L158" s="145">
        <f t="shared" si="16"/>
        <v>0</v>
      </c>
      <c r="M158" s="145">
        <v>420.58</v>
      </c>
      <c r="N158" s="15">
        <f>+M158*1000/(140*4*16*60)*T158</f>
        <v>4.6939732142857142</v>
      </c>
      <c r="O158" s="14">
        <f>+SUM('31:29'!O158)</f>
        <v>0</v>
      </c>
      <c r="P158" s="145">
        <f t="shared" si="17"/>
        <v>0</v>
      </c>
      <c r="Q158" s="14">
        <f>+SUM('31:29'!Q158)</f>
        <v>0</v>
      </c>
      <c r="R158" s="19">
        <f t="shared" si="18"/>
        <v>0</v>
      </c>
      <c r="S158" s="145">
        <f t="shared" si="19"/>
        <v>0</v>
      </c>
      <c r="T158" s="20">
        <v>6</v>
      </c>
      <c r="U158" s="14">
        <f>+SUM('31:29'!U158)</f>
        <v>0</v>
      </c>
      <c r="V158" s="142"/>
      <c r="W158" s="14">
        <f>+SUM('31:29'!W158)</f>
        <v>0</v>
      </c>
      <c r="X158" s="14">
        <f>+SUM('31:29'!X158)</f>
        <v>0</v>
      </c>
      <c r="Y158" s="14">
        <f>+SUM('31:29'!Y158)</f>
        <v>0</v>
      </c>
      <c r="Z158" s="14">
        <f>+SUM('31:29'!Z158)</f>
        <v>0</v>
      </c>
      <c r="AA158" s="14">
        <f>+SUM('31:29'!AA158)</f>
        <v>0</v>
      </c>
      <c r="AB158" s="14">
        <f>+SUM('31:29'!AB158)</f>
        <v>0</v>
      </c>
      <c r="AC158" s="14">
        <f>+SUM('31:29'!AC158)</f>
        <v>0</v>
      </c>
    </row>
    <row r="159" spans="1:29" s="2" customFormat="1" ht="21.95" customHeight="1">
      <c r="A159" s="141">
        <v>300374</v>
      </c>
      <c r="B159" s="135">
        <v>18501</v>
      </c>
      <c r="C159" s="230" t="s">
        <v>145</v>
      </c>
      <c r="D159" s="231"/>
      <c r="E159" s="147" t="s">
        <v>139</v>
      </c>
      <c r="F159" s="27"/>
      <c r="G159" s="14">
        <f>+SUM('31:29'!G159)</f>
        <v>0</v>
      </c>
      <c r="H159" s="14">
        <f>+SUM('31:29'!H159)</f>
        <v>0</v>
      </c>
      <c r="I159" s="14">
        <f>+SUM('31:29'!I159)</f>
        <v>0</v>
      </c>
      <c r="J159" s="14">
        <f>+SUM('31:29'!J159)</f>
        <v>0</v>
      </c>
      <c r="K159" s="145">
        <f t="shared" si="15"/>
        <v>0</v>
      </c>
      <c r="L159" s="145">
        <f t="shared" si="16"/>
        <v>0</v>
      </c>
      <c r="M159" s="145">
        <v>420.58</v>
      </c>
      <c r="N159" s="15">
        <f>+M159*1000/(140*4*16*60)*T159</f>
        <v>4.6939732142857142</v>
      </c>
      <c r="O159" s="14">
        <f>+SUM('31:29'!O159)</f>
        <v>0</v>
      </c>
      <c r="P159" s="145">
        <f t="shared" si="17"/>
        <v>0</v>
      </c>
      <c r="Q159" s="14">
        <f>+SUM('31:29'!Q159)</f>
        <v>0</v>
      </c>
      <c r="R159" s="19">
        <f t="shared" si="18"/>
        <v>0</v>
      </c>
      <c r="S159" s="145">
        <f t="shared" si="19"/>
        <v>0</v>
      </c>
      <c r="T159" s="20">
        <v>6</v>
      </c>
      <c r="U159" s="14">
        <f>+SUM('31:29'!U159)</f>
        <v>0</v>
      </c>
      <c r="V159" s="142"/>
      <c r="W159" s="14">
        <f>+SUM('31:29'!W159)</f>
        <v>0</v>
      </c>
      <c r="X159" s="14">
        <f>+SUM('31:29'!X159)</f>
        <v>0</v>
      </c>
      <c r="Y159" s="14">
        <f>+SUM('31:29'!Y159)</f>
        <v>0</v>
      </c>
      <c r="Z159" s="14">
        <f>+SUM('31:29'!Z159)</f>
        <v>0</v>
      </c>
      <c r="AA159" s="14">
        <f>+SUM('31:29'!AA159)</f>
        <v>0</v>
      </c>
      <c r="AB159" s="14">
        <f>+SUM('31:29'!AB159)</f>
        <v>0</v>
      </c>
      <c r="AC159" s="14">
        <f>+SUM('31:29'!AC159)</f>
        <v>0</v>
      </c>
    </row>
    <row r="160" spans="1:29" s="2" customFormat="1" ht="21.95" customHeight="1">
      <c r="A160" s="141">
        <v>300375</v>
      </c>
      <c r="B160" s="135">
        <v>18501</v>
      </c>
      <c r="C160" s="230" t="s">
        <v>145</v>
      </c>
      <c r="D160" s="231"/>
      <c r="E160" s="147" t="s">
        <v>74</v>
      </c>
      <c r="F160" s="27"/>
      <c r="G160" s="14">
        <f>+SUM('31:29'!G160)</f>
        <v>0</v>
      </c>
      <c r="H160" s="14">
        <f>+SUM('31:29'!H160)</f>
        <v>0</v>
      </c>
      <c r="I160" s="14">
        <f>+SUM('31:29'!I160)</f>
        <v>0</v>
      </c>
      <c r="J160" s="14">
        <f>+SUM('31:29'!J160)</f>
        <v>0</v>
      </c>
      <c r="K160" s="145">
        <f t="shared" si="15"/>
        <v>0</v>
      </c>
      <c r="L160" s="145">
        <f t="shared" si="16"/>
        <v>0</v>
      </c>
      <c r="M160" s="145">
        <v>420.58</v>
      </c>
      <c r="N160" s="15">
        <f>+M160*1000/(140*4*16*60)*T160</f>
        <v>4.6939732142857142</v>
      </c>
      <c r="O160" s="14">
        <f>+SUM('31:29'!O160)</f>
        <v>0</v>
      </c>
      <c r="P160" s="145">
        <f t="shared" si="17"/>
        <v>0</v>
      </c>
      <c r="Q160" s="14">
        <f>+SUM('31:29'!Q160)</f>
        <v>0</v>
      </c>
      <c r="R160" s="19">
        <f t="shared" si="18"/>
        <v>0</v>
      </c>
      <c r="S160" s="145">
        <f t="shared" si="19"/>
        <v>0</v>
      </c>
      <c r="T160" s="20">
        <v>6</v>
      </c>
      <c r="U160" s="14">
        <f>+SUM('31:29'!U160)</f>
        <v>0</v>
      </c>
      <c r="V160" s="142"/>
      <c r="W160" s="14">
        <f>+SUM('31:29'!W160)</f>
        <v>0</v>
      </c>
      <c r="X160" s="14">
        <f>+SUM('31:29'!X160)</f>
        <v>0</v>
      </c>
      <c r="Y160" s="14">
        <f>+SUM('31:29'!Y160)</f>
        <v>0</v>
      </c>
      <c r="Z160" s="14">
        <f>+SUM('31:29'!Z160)</f>
        <v>0</v>
      </c>
      <c r="AA160" s="14">
        <f>+SUM('31:29'!AA160)</f>
        <v>0</v>
      </c>
      <c r="AB160" s="14">
        <f>+SUM('31:29'!AB160)</f>
        <v>0</v>
      </c>
      <c r="AC160" s="14">
        <f>+SUM('31:29'!AC160)</f>
        <v>0</v>
      </c>
    </row>
    <row r="161" spans="1:29" s="2" customFormat="1" ht="21.95" customHeight="1">
      <c r="A161" s="141">
        <v>300341</v>
      </c>
      <c r="B161" s="135">
        <v>18501</v>
      </c>
      <c r="C161" s="237" t="s">
        <v>146</v>
      </c>
      <c r="D161" s="238"/>
      <c r="E161" s="147" t="s">
        <v>39</v>
      </c>
      <c r="F161" s="27"/>
      <c r="G161" s="14">
        <f>+SUM('31:29'!G161)</f>
        <v>0</v>
      </c>
      <c r="H161" s="14">
        <f>+SUM('31:29'!H161)</f>
        <v>0</v>
      </c>
      <c r="I161" s="14">
        <f>+SUM('31:29'!I161)</f>
        <v>0</v>
      </c>
      <c r="J161" s="14">
        <f>+SUM('31:29'!J161)</f>
        <v>0</v>
      </c>
      <c r="K161" s="145">
        <f t="shared" si="15"/>
        <v>0</v>
      </c>
      <c r="L161" s="145">
        <f t="shared" si="16"/>
        <v>0</v>
      </c>
      <c r="M161" s="145">
        <v>439.3</v>
      </c>
      <c r="N161" s="15">
        <f t="shared" ref="N161:N167" si="20">+M161*1000/(169.7*4*13*60)*T161</f>
        <v>4.1485351223123761</v>
      </c>
      <c r="O161" s="14">
        <f>+SUM('31:29'!O161)</f>
        <v>0</v>
      </c>
      <c r="P161" s="145">
        <f t="shared" si="17"/>
        <v>0</v>
      </c>
      <c r="Q161" s="14">
        <f>+SUM('31:29'!Q161)</f>
        <v>0</v>
      </c>
      <c r="R161" s="19">
        <f t="shared" si="18"/>
        <v>0</v>
      </c>
      <c r="S161" s="145">
        <f t="shared" si="19"/>
        <v>0</v>
      </c>
      <c r="T161" s="20">
        <v>5</v>
      </c>
      <c r="U161" s="14">
        <f>+SUM('31:29'!U161)</f>
        <v>0</v>
      </c>
      <c r="V161" s="142"/>
      <c r="W161" s="14">
        <f>+SUM('31:29'!W161)</f>
        <v>0</v>
      </c>
      <c r="X161" s="14">
        <f>+SUM('31:29'!X161)</f>
        <v>0</v>
      </c>
      <c r="Y161" s="14">
        <f>+SUM('31:29'!Y161)</f>
        <v>0</v>
      </c>
      <c r="Z161" s="14">
        <f>+SUM('31:29'!Z161)</f>
        <v>0</v>
      </c>
      <c r="AA161" s="14">
        <f>+SUM('31:29'!AA161)</f>
        <v>0</v>
      </c>
      <c r="AB161" s="14">
        <f>+SUM('31:29'!AB161)</f>
        <v>0</v>
      </c>
      <c r="AC161" s="14">
        <f>+SUM('31:29'!AC161)</f>
        <v>0</v>
      </c>
    </row>
    <row r="162" spans="1:29" s="2" customFormat="1" ht="21.95" customHeight="1">
      <c r="A162" s="141">
        <v>300342</v>
      </c>
      <c r="B162" s="135">
        <v>18501</v>
      </c>
      <c r="C162" s="237" t="s">
        <v>146</v>
      </c>
      <c r="D162" s="238"/>
      <c r="E162" s="147" t="s">
        <v>80</v>
      </c>
      <c r="F162" s="27"/>
      <c r="G162" s="14">
        <f>+SUM('31:29'!G162)</f>
        <v>0</v>
      </c>
      <c r="H162" s="14">
        <f>+SUM('31:29'!H162)</f>
        <v>0</v>
      </c>
      <c r="I162" s="14">
        <f>+SUM('31:29'!I162)</f>
        <v>0</v>
      </c>
      <c r="J162" s="14">
        <f>+SUM('31:29'!J162)</f>
        <v>0</v>
      </c>
      <c r="K162" s="145">
        <f t="shared" si="15"/>
        <v>0</v>
      </c>
      <c r="L162" s="145">
        <f t="shared" si="16"/>
        <v>0</v>
      </c>
      <c r="M162" s="145">
        <v>439.3</v>
      </c>
      <c r="N162" s="15">
        <f t="shared" si="20"/>
        <v>4.1485351223123761</v>
      </c>
      <c r="O162" s="14">
        <f>+SUM('31:29'!O162)</f>
        <v>0</v>
      </c>
      <c r="P162" s="145">
        <f t="shared" si="17"/>
        <v>0</v>
      </c>
      <c r="Q162" s="14">
        <f>+SUM('31:29'!Q162)</f>
        <v>0</v>
      </c>
      <c r="R162" s="19">
        <f t="shared" si="18"/>
        <v>0</v>
      </c>
      <c r="S162" s="145">
        <f t="shared" si="19"/>
        <v>0</v>
      </c>
      <c r="T162" s="20">
        <v>5</v>
      </c>
      <c r="U162" s="14">
        <f>+SUM('31:29'!U162)</f>
        <v>0</v>
      </c>
      <c r="V162" s="142"/>
      <c r="W162" s="14">
        <f>+SUM('31:29'!W162)</f>
        <v>0</v>
      </c>
      <c r="X162" s="14">
        <f>+SUM('31:29'!X162)</f>
        <v>0</v>
      </c>
      <c r="Y162" s="14">
        <f>+SUM('31:29'!Y162)</f>
        <v>0</v>
      </c>
      <c r="Z162" s="14">
        <f>+SUM('31:29'!Z162)</f>
        <v>0</v>
      </c>
      <c r="AA162" s="14">
        <f>+SUM('31:29'!AA162)</f>
        <v>0</v>
      </c>
      <c r="AB162" s="14">
        <f>+SUM('31:29'!AB162)</f>
        <v>0</v>
      </c>
      <c r="AC162" s="14">
        <f>+SUM('31:29'!AC162)</f>
        <v>0</v>
      </c>
    </row>
    <row r="163" spans="1:29" s="2" customFormat="1" ht="21.95" customHeight="1">
      <c r="A163" s="141">
        <v>300343</v>
      </c>
      <c r="B163" s="135">
        <v>18501</v>
      </c>
      <c r="C163" s="237" t="s">
        <v>146</v>
      </c>
      <c r="D163" s="238"/>
      <c r="E163" s="147" t="s">
        <v>35</v>
      </c>
      <c r="F163" s="27"/>
      <c r="G163" s="14">
        <f>+SUM('31:29'!G163)</f>
        <v>0</v>
      </c>
      <c r="H163" s="14">
        <f>+SUM('31:29'!H163)</f>
        <v>0</v>
      </c>
      <c r="I163" s="14">
        <f>+SUM('31:29'!I163)</f>
        <v>0</v>
      </c>
      <c r="J163" s="14">
        <f>+SUM('31:29'!J163)</f>
        <v>0</v>
      </c>
      <c r="K163" s="145">
        <f t="shared" si="15"/>
        <v>0</v>
      </c>
      <c r="L163" s="145">
        <f t="shared" si="16"/>
        <v>0</v>
      </c>
      <c r="M163" s="145">
        <v>455.4</v>
      </c>
      <c r="N163" s="15">
        <f t="shared" si="20"/>
        <v>4.3005756765332483</v>
      </c>
      <c r="O163" s="14">
        <f>+SUM('31:29'!O163)</f>
        <v>0</v>
      </c>
      <c r="P163" s="145">
        <f t="shared" si="17"/>
        <v>0</v>
      </c>
      <c r="Q163" s="14">
        <f>+SUM('31:29'!Q163)</f>
        <v>0</v>
      </c>
      <c r="R163" s="19">
        <f t="shared" si="18"/>
        <v>0</v>
      </c>
      <c r="S163" s="145">
        <f t="shared" si="19"/>
        <v>0</v>
      </c>
      <c r="T163" s="20">
        <v>5</v>
      </c>
      <c r="U163" s="14">
        <f>+SUM('31:29'!U163)</f>
        <v>0</v>
      </c>
      <c r="V163" s="142"/>
      <c r="W163" s="14">
        <f>+SUM('31:29'!W163)</f>
        <v>0</v>
      </c>
      <c r="X163" s="14">
        <f>+SUM('31:29'!X163)</f>
        <v>0</v>
      </c>
      <c r="Y163" s="14">
        <f>+SUM('31:29'!Y163)</f>
        <v>0</v>
      </c>
      <c r="Z163" s="14">
        <f>+SUM('31:29'!Z163)</f>
        <v>0</v>
      </c>
      <c r="AA163" s="14">
        <f>+SUM('31:29'!AA163)</f>
        <v>0</v>
      </c>
      <c r="AB163" s="14">
        <f>+SUM('31:29'!AB163)</f>
        <v>0</v>
      </c>
      <c r="AC163" s="14">
        <f>+SUM('31:29'!AC163)</f>
        <v>0</v>
      </c>
    </row>
    <row r="164" spans="1:29" s="2" customFormat="1" ht="21.95" customHeight="1">
      <c r="A164" s="141">
        <v>300344</v>
      </c>
      <c r="B164" s="135">
        <v>18501</v>
      </c>
      <c r="C164" s="237" t="s">
        <v>146</v>
      </c>
      <c r="D164" s="238"/>
      <c r="E164" s="147" t="s">
        <v>40</v>
      </c>
      <c r="F164" s="27"/>
      <c r="G164" s="14">
        <f>+SUM('31:29'!G164)</f>
        <v>0</v>
      </c>
      <c r="H164" s="14">
        <f>+SUM('31:29'!H164)</f>
        <v>0</v>
      </c>
      <c r="I164" s="14">
        <f>+SUM('31:29'!I164)</f>
        <v>0</v>
      </c>
      <c r="J164" s="14">
        <f>+SUM('31:29'!J164)</f>
        <v>0</v>
      </c>
      <c r="K164" s="145">
        <f t="shared" si="15"/>
        <v>0</v>
      </c>
      <c r="L164" s="145">
        <f t="shared" si="16"/>
        <v>0</v>
      </c>
      <c r="M164" s="145">
        <v>455.4</v>
      </c>
      <c r="N164" s="15">
        <f t="shared" si="20"/>
        <v>4.3005756765332483</v>
      </c>
      <c r="O164" s="14">
        <f>+SUM('31:29'!O164)</f>
        <v>0</v>
      </c>
      <c r="P164" s="145">
        <f t="shared" si="17"/>
        <v>0</v>
      </c>
      <c r="Q164" s="14">
        <f>+SUM('31:29'!Q164)</f>
        <v>0</v>
      </c>
      <c r="R164" s="19">
        <f t="shared" si="18"/>
        <v>0</v>
      </c>
      <c r="S164" s="145">
        <f t="shared" si="19"/>
        <v>0</v>
      </c>
      <c r="T164" s="20">
        <v>5</v>
      </c>
      <c r="U164" s="14">
        <f>+SUM('31:29'!U164)</f>
        <v>0</v>
      </c>
      <c r="V164" s="142"/>
      <c r="W164" s="14">
        <f>+SUM('31:29'!W164)</f>
        <v>0</v>
      </c>
      <c r="X164" s="14">
        <f>+SUM('31:29'!X164)</f>
        <v>0</v>
      </c>
      <c r="Y164" s="14">
        <f>+SUM('31:29'!Y164)</f>
        <v>0</v>
      </c>
      <c r="Z164" s="14">
        <f>+SUM('31:29'!Z164)</f>
        <v>0</v>
      </c>
      <c r="AA164" s="14">
        <f>+SUM('31:29'!AA164)</f>
        <v>0</v>
      </c>
      <c r="AB164" s="14">
        <f>+SUM('31:29'!AB164)</f>
        <v>0</v>
      </c>
      <c r="AC164" s="14">
        <f>+SUM('31:29'!AC164)</f>
        <v>0</v>
      </c>
    </row>
    <row r="165" spans="1:29" s="2" customFormat="1" ht="21.95" customHeight="1">
      <c r="A165" s="141">
        <v>300396</v>
      </c>
      <c r="B165" s="135">
        <v>18501</v>
      </c>
      <c r="C165" s="239" t="s">
        <v>147</v>
      </c>
      <c r="D165" s="240"/>
      <c r="E165" s="32" t="s">
        <v>41</v>
      </c>
      <c r="F165" s="27"/>
      <c r="G165" s="14">
        <f>+SUM('31:29'!G165)</f>
        <v>0</v>
      </c>
      <c r="H165" s="14">
        <f>+SUM('31:29'!H165)</f>
        <v>0</v>
      </c>
      <c r="I165" s="14">
        <f>+SUM('31:29'!I165)</f>
        <v>0</v>
      </c>
      <c r="J165" s="14">
        <f>+SUM('31:29'!J165)</f>
        <v>0</v>
      </c>
      <c r="K165" s="145">
        <f t="shared" si="15"/>
        <v>0</v>
      </c>
      <c r="L165" s="145">
        <f t="shared" si="16"/>
        <v>0</v>
      </c>
      <c r="M165" s="40">
        <v>417.1</v>
      </c>
      <c r="N165" s="15">
        <f t="shared" si="20"/>
        <v>3.9388891407158937</v>
      </c>
      <c r="O165" s="14">
        <f>+SUM('31:29'!O165)</f>
        <v>0</v>
      </c>
      <c r="P165" s="145">
        <f t="shared" si="17"/>
        <v>0</v>
      </c>
      <c r="Q165" s="14">
        <f>+SUM('31:29'!Q165)</f>
        <v>0</v>
      </c>
      <c r="R165" s="19">
        <f t="shared" si="18"/>
        <v>0</v>
      </c>
      <c r="S165" s="145">
        <f t="shared" si="19"/>
        <v>0</v>
      </c>
      <c r="T165" s="20">
        <v>5</v>
      </c>
      <c r="U165" s="14">
        <f>+SUM('31:29'!U165)</f>
        <v>0</v>
      </c>
      <c r="V165" s="142"/>
      <c r="W165" s="14">
        <f>+SUM('31:29'!W165)</f>
        <v>0</v>
      </c>
      <c r="X165" s="14">
        <f>+SUM('31:29'!X165)</f>
        <v>0</v>
      </c>
      <c r="Y165" s="14">
        <f>+SUM('31:29'!Y165)</f>
        <v>0</v>
      </c>
      <c r="Z165" s="14">
        <f>+SUM('31:29'!Z165)</f>
        <v>0</v>
      </c>
      <c r="AA165" s="14">
        <f>+SUM('31:29'!AA165)</f>
        <v>0</v>
      </c>
      <c r="AB165" s="14">
        <f>+SUM('31:29'!AB165)</f>
        <v>0</v>
      </c>
      <c r="AC165" s="14">
        <f>+SUM('31:29'!AC165)</f>
        <v>0</v>
      </c>
    </row>
    <row r="166" spans="1:29" s="2" customFormat="1" ht="21.95" customHeight="1">
      <c r="A166" s="141">
        <v>300397</v>
      </c>
      <c r="B166" s="135">
        <v>18501</v>
      </c>
      <c r="C166" s="239" t="s">
        <v>147</v>
      </c>
      <c r="D166" s="240"/>
      <c r="E166" s="32" t="s">
        <v>66</v>
      </c>
      <c r="F166" s="27"/>
      <c r="G166" s="14">
        <f>+SUM('31:29'!G166)</f>
        <v>0</v>
      </c>
      <c r="H166" s="14">
        <f>+SUM('31:29'!H166)</f>
        <v>0</v>
      </c>
      <c r="I166" s="14">
        <f>+SUM('31:29'!I166)</f>
        <v>0</v>
      </c>
      <c r="J166" s="14">
        <f>+SUM('31:29'!J166)</f>
        <v>0</v>
      </c>
      <c r="K166" s="145">
        <f t="shared" si="15"/>
        <v>0</v>
      </c>
      <c r="L166" s="145">
        <f t="shared" si="16"/>
        <v>0</v>
      </c>
      <c r="M166" s="40">
        <v>417.1</v>
      </c>
      <c r="N166" s="15">
        <f t="shared" si="20"/>
        <v>3.9388891407158937</v>
      </c>
      <c r="O166" s="14">
        <f>+SUM('31:29'!O166)</f>
        <v>0</v>
      </c>
      <c r="P166" s="145">
        <f t="shared" si="17"/>
        <v>0</v>
      </c>
      <c r="Q166" s="14">
        <f>+SUM('31:29'!Q166)</f>
        <v>0</v>
      </c>
      <c r="R166" s="19">
        <f t="shared" si="18"/>
        <v>0</v>
      </c>
      <c r="S166" s="145">
        <f t="shared" si="19"/>
        <v>0</v>
      </c>
      <c r="T166" s="20">
        <v>5</v>
      </c>
      <c r="U166" s="14">
        <f>+SUM('31:29'!U166)</f>
        <v>0</v>
      </c>
      <c r="V166" s="142"/>
      <c r="W166" s="14">
        <f>+SUM('31:29'!W166)</f>
        <v>0</v>
      </c>
      <c r="X166" s="14">
        <f>+SUM('31:29'!X166)</f>
        <v>0</v>
      </c>
      <c r="Y166" s="14">
        <f>+SUM('31:29'!Y166)</f>
        <v>0</v>
      </c>
      <c r="Z166" s="14">
        <f>+SUM('31:29'!Z166)</f>
        <v>0</v>
      </c>
      <c r="AA166" s="14">
        <f>+SUM('31:29'!AA166)</f>
        <v>0</v>
      </c>
      <c r="AB166" s="14">
        <f>+SUM('31:29'!AB166)</f>
        <v>0</v>
      </c>
      <c r="AC166" s="14">
        <f>+SUM('31:29'!AC166)</f>
        <v>0</v>
      </c>
    </row>
    <row r="167" spans="1:29" s="2" customFormat="1" ht="21.95" customHeight="1">
      <c r="A167" s="141">
        <v>300398</v>
      </c>
      <c r="B167" s="135">
        <v>18501</v>
      </c>
      <c r="C167" s="239" t="s">
        <v>147</v>
      </c>
      <c r="D167" s="240"/>
      <c r="E167" s="32" t="s">
        <v>141</v>
      </c>
      <c r="F167" s="27"/>
      <c r="G167" s="14">
        <f>+SUM('31:29'!G167)</f>
        <v>0</v>
      </c>
      <c r="H167" s="14">
        <f>+SUM('31:29'!H167)</f>
        <v>0</v>
      </c>
      <c r="I167" s="14">
        <f>+SUM('31:29'!I167)</f>
        <v>0</v>
      </c>
      <c r="J167" s="14">
        <f>+SUM('31:29'!J167)</f>
        <v>0</v>
      </c>
      <c r="K167" s="145">
        <f t="shared" si="15"/>
        <v>0</v>
      </c>
      <c r="L167" s="145">
        <f t="shared" si="16"/>
        <v>0</v>
      </c>
      <c r="M167" s="40">
        <v>417.1</v>
      </c>
      <c r="N167" s="15">
        <f t="shared" si="20"/>
        <v>3.9388891407158937</v>
      </c>
      <c r="O167" s="14">
        <f>+SUM('31:29'!O167)</f>
        <v>0</v>
      </c>
      <c r="P167" s="145">
        <f t="shared" si="17"/>
        <v>0</v>
      </c>
      <c r="Q167" s="14">
        <f>+SUM('31:29'!Q167)</f>
        <v>0</v>
      </c>
      <c r="R167" s="19">
        <f t="shared" si="18"/>
        <v>0</v>
      </c>
      <c r="S167" s="145">
        <f t="shared" si="19"/>
        <v>0</v>
      </c>
      <c r="T167" s="20">
        <v>5</v>
      </c>
      <c r="U167" s="14">
        <f>+SUM('31:29'!U167)</f>
        <v>0</v>
      </c>
      <c r="V167" s="142"/>
      <c r="W167" s="14">
        <f>+SUM('31:29'!W167)</f>
        <v>0</v>
      </c>
      <c r="X167" s="14">
        <f>+SUM('31:29'!X167)</f>
        <v>0</v>
      </c>
      <c r="Y167" s="14">
        <f>+SUM('31:29'!Y167)</f>
        <v>0</v>
      </c>
      <c r="Z167" s="14">
        <f>+SUM('31:29'!Z167)</f>
        <v>0</v>
      </c>
      <c r="AA167" s="14">
        <f>+SUM('31:29'!AA167)</f>
        <v>0</v>
      </c>
      <c r="AB167" s="14">
        <f>+SUM('31:29'!AB167)</f>
        <v>0</v>
      </c>
      <c r="AC167" s="14">
        <f>+SUM('31:29'!AC167)</f>
        <v>0</v>
      </c>
    </row>
    <row r="168" spans="1:29" s="2" customFormat="1" ht="21.95" customHeight="1">
      <c r="A168" s="141">
        <v>300271</v>
      </c>
      <c r="B168" s="135">
        <v>18501</v>
      </c>
      <c r="C168" s="219" t="s">
        <v>148</v>
      </c>
      <c r="D168" s="219"/>
      <c r="E168" s="147" t="s">
        <v>134</v>
      </c>
      <c r="F168" s="27"/>
      <c r="G168" s="14">
        <f>+SUM('31:29'!G168)</f>
        <v>0</v>
      </c>
      <c r="H168" s="14">
        <f>+SUM('31:29'!H168)</f>
        <v>0</v>
      </c>
      <c r="I168" s="14">
        <f>+SUM('31:29'!I168)</f>
        <v>0</v>
      </c>
      <c r="J168" s="14">
        <f>+SUM('31:29'!J168)</f>
        <v>0</v>
      </c>
      <c r="K168" s="145">
        <f t="shared" si="15"/>
        <v>0</v>
      </c>
      <c r="L168" s="145">
        <f t="shared" si="16"/>
        <v>0</v>
      </c>
      <c r="M168" s="145">
        <v>580.1</v>
      </c>
      <c r="N168" s="145">
        <f>+M168*1000/(202*4*13*60)*T168</f>
        <v>3.6817720233561819</v>
      </c>
      <c r="O168" s="14">
        <f>+SUM('31:29'!O168)</f>
        <v>0</v>
      </c>
      <c r="P168" s="145">
        <f t="shared" si="17"/>
        <v>0</v>
      </c>
      <c r="Q168" s="14">
        <f>+SUM('31:29'!Q168)</f>
        <v>0</v>
      </c>
      <c r="R168" s="19">
        <f t="shared" si="18"/>
        <v>0</v>
      </c>
      <c r="S168" s="145">
        <f t="shared" si="19"/>
        <v>0</v>
      </c>
      <c r="T168" s="20">
        <v>4</v>
      </c>
      <c r="U168" s="14">
        <f>+SUM('31:29'!U168)</f>
        <v>0</v>
      </c>
      <c r="V168" s="142" t="str">
        <f t="array" ref="V168">IF(ISERROR(L168/K168),"",L168/K168)</f>
        <v/>
      </c>
      <c r="W168" s="14">
        <f>+SUM('31:29'!W168)</f>
        <v>0</v>
      </c>
      <c r="X168" s="14">
        <f>+SUM('31:29'!X168)</f>
        <v>0</v>
      </c>
      <c r="Y168" s="14">
        <f>+SUM('31:29'!Y168)</f>
        <v>0</v>
      </c>
      <c r="Z168" s="14">
        <f>+SUM('31:29'!Z168)</f>
        <v>0</v>
      </c>
      <c r="AA168" s="14">
        <f>+SUM('31:29'!AA168)</f>
        <v>0</v>
      </c>
      <c r="AB168" s="14">
        <f>+SUM('31:29'!AB168)</f>
        <v>0</v>
      </c>
      <c r="AC168" s="14">
        <f>+SUM('31:29'!AC168)</f>
        <v>0</v>
      </c>
    </row>
    <row r="169" spans="1:29" s="2" customFormat="1" ht="21.95" customHeight="1">
      <c r="A169" s="141">
        <v>300009</v>
      </c>
      <c r="B169" s="135">
        <v>18501</v>
      </c>
      <c r="C169" s="219" t="s">
        <v>149</v>
      </c>
      <c r="D169" s="219" t="s">
        <v>150</v>
      </c>
      <c r="E169" s="147" t="s">
        <v>127</v>
      </c>
      <c r="F169" s="27"/>
      <c r="G169" s="14">
        <f>+SUM('31:29'!G169)</f>
        <v>16</v>
      </c>
      <c r="H169" s="14">
        <f>+SUM('31:29'!H169)</f>
        <v>0.625</v>
      </c>
      <c r="I169" s="14">
        <f>+SUM('31:29'!I169)</f>
        <v>14.824999999999999</v>
      </c>
      <c r="J169" s="14">
        <f>+SUM('31:29'!J169)</f>
        <v>320</v>
      </c>
      <c r="K169" s="145">
        <f t="shared" si="15"/>
        <v>8332.7999999999993</v>
      </c>
      <c r="L169" s="145">
        <f t="shared" si="16"/>
        <v>7720.8599999999988</v>
      </c>
      <c r="M169" s="15">
        <v>520.79999999999995</v>
      </c>
      <c r="N169" s="145">
        <f>+M169*1000/(188*4*13*60)*T169</f>
        <v>5.3273322422258591</v>
      </c>
      <c r="O169" s="14">
        <f>+SUM('31:29'!O169)</f>
        <v>0.5</v>
      </c>
      <c r="P169" s="145">
        <f t="shared" si="17"/>
        <v>85.477700490998359</v>
      </c>
      <c r="Q169" s="14">
        <f>+SUM('31:29'!Q169)</f>
        <v>17.5</v>
      </c>
      <c r="R169" s="19">
        <f t="shared" si="18"/>
        <v>227.5</v>
      </c>
      <c r="S169" s="145">
        <f t="shared" si="19"/>
        <v>142.02229950900164</v>
      </c>
      <c r="T169" s="20">
        <v>6</v>
      </c>
      <c r="U169" s="14">
        <f>+SUM('31:29'!U169)</f>
        <v>13</v>
      </c>
      <c r="V169" s="142">
        <f t="array" ref="V169">IF(ISERROR(L169/K169),"",L169/K169)</f>
        <v>0.92656249999999996</v>
      </c>
      <c r="W169" s="14">
        <f>+SUM('31:29'!W169)</f>
        <v>0</v>
      </c>
      <c r="X169" s="14">
        <f>+SUM('31:29'!X169)</f>
        <v>0</v>
      </c>
      <c r="Y169" s="14">
        <f>+SUM('31:29'!Y169)</f>
        <v>0</v>
      </c>
      <c r="Z169" s="14">
        <f>+SUM('31:29'!Z169)</f>
        <v>0</v>
      </c>
      <c r="AA169" s="14">
        <f>+SUM('31:29'!AA169)</f>
        <v>0</v>
      </c>
      <c r="AB169" s="14">
        <f>+SUM('31:29'!AB169)</f>
        <v>0</v>
      </c>
      <c r="AC169" s="14">
        <f>+SUM('31:29'!AC169)</f>
        <v>0</v>
      </c>
    </row>
    <row r="170" spans="1:29" s="2" customFormat="1" ht="21.95" customHeight="1">
      <c r="A170" s="141">
        <v>300010</v>
      </c>
      <c r="B170" s="135">
        <v>18501</v>
      </c>
      <c r="C170" s="219" t="s">
        <v>149</v>
      </c>
      <c r="D170" s="219" t="s">
        <v>150</v>
      </c>
      <c r="E170" s="147" t="s">
        <v>80</v>
      </c>
      <c r="F170" s="27"/>
      <c r="G170" s="14">
        <f>+SUM('31:29'!G170)</f>
        <v>11.379999999999999</v>
      </c>
      <c r="H170" s="14">
        <f>+SUM('31:29'!H170)</f>
        <v>0.375</v>
      </c>
      <c r="I170" s="14">
        <f>+SUM('31:29'!I170)</f>
        <v>10.875</v>
      </c>
      <c r="J170" s="14">
        <f>+SUM('31:29'!J170)</f>
        <v>200</v>
      </c>
      <c r="K170" s="145">
        <f t="shared" si="15"/>
        <v>6041.6419999999989</v>
      </c>
      <c r="L170" s="145">
        <f t="shared" si="16"/>
        <v>5773.5374999999995</v>
      </c>
      <c r="M170" s="15">
        <v>530.9</v>
      </c>
      <c r="N170" s="145">
        <f>+M170*1000/(188*4*13*60)*T170</f>
        <v>4.5255387343153304</v>
      </c>
      <c r="O170" s="14">
        <f>+SUM('31:29'!O170)</f>
        <v>0</v>
      </c>
      <c r="P170" s="145">
        <f t="shared" si="17"/>
        <v>49.21523373567922</v>
      </c>
      <c r="Q170" s="14">
        <f>+SUM('31:29'!Q170)</f>
        <v>15.5</v>
      </c>
      <c r="R170" s="19">
        <f t="shared" si="18"/>
        <v>170.5</v>
      </c>
      <c r="S170" s="145">
        <f t="shared" si="19"/>
        <v>121.28476626432078</v>
      </c>
      <c r="T170" s="20">
        <v>5</v>
      </c>
      <c r="U170" s="14">
        <f>+SUM('31:29'!U170)</f>
        <v>11</v>
      </c>
      <c r="V170" s="142">
        <f t="array" ref="V170">IF(ISERROR(L170/K170),"",L170/K170)</f>
        <v>0.95562390158172239</v>
      </c>
      <c r="W170" s="14">
        <f>+SUM('31:29'!W170)</f>
        <v>0</v>
      </c>
      <c r="X170" s="14">
        <f>+SUM('31:29'!X170)</f>
        <v>0</v>
      </c>
      <c r="Y170" s="14">
        <f>+SUM('31:29'!Y170)</f>
        <v>0</v>
      </c>
      <c r="Z170" s="14">
        <f>+SUM('31:29'!Z170)</f>
        <v>0</v>
      </c>
      <c r="AA170" s="14">
        <f>+SUM('31:29'!AA170)</f>
        <v>0</v>
      </c>
      <c r="AB170" s="14">
        <f>+SUM('31:29'!AB170)</f>
        <v>0</v>
      </c>
      <c r="AC170" s="14">
        <f>+SUM('31:29'!AC170)</f>
        <v>0</v>
      </c>
    </row>
    <row r="171" spans="1:29" s="2" customFormat="1" ht="21.95" customHeight="1">
      <c r="A171" s="141">
        <v>300305</v>
      </c>
      <c r="B171" s="135">
        <v>18501</v>
      </c>
      <c r="C171" s="219" t="s">
        <v>151</v>
      </c>
      <c r="D171" s="219" t="s">
        <v>152</v>
      </c>
      <c r="E171" s="147" t="s">
        <v>57</v>
      </c>
      <c r="F171" s="27"/>
      <c r="G171" s="14">
        <f>+SUM('31:29'!G171)</f>
        <v>0</v>
      </c>
      <c r="H171" s="14">
        <f>+SUM('31:29'!H171)</f>
        <v>0</v>
      </c>
      <c r="I171" s="14">
        <f>+SUM('31:29'!I171)</f>
        <v>0</v>
      </c>
      <c r="J171" s="14">
        <f>+SUM('31:29'!J171)</f>
        <v>0</v>
      </c>
      <c r="K171" s="145">
        <f t="shared" si="15"/>
        <v>0</v>
      </c>
      <c r="L171" s="145">
        <f t="shared" si="16"/>
        <v>0</v>
      </c>
      <c r="M171" s="145">
        <v>530.20000000000005</v>
      </c>
      <c r="N171" s="145">
        <f t="shared" ref="N171:N176" si="21">+M171*1000/(202*4*13*60)*T171</f>
        <v>4.2063340949479562</v>
      </c>
      <c r="O171" s="14">
        <f>+SUM('31:29'!O171)</f>
        <v>0</v>
      </c>
      <c r="P171" s="145">
        <f t="shared" si="17"/>
        <v>0</v>
      </c>
      <c r="Q171" s="14">
        <f>+SUM('31:29'!Q171)</f>
        <v>0</v>
      </c>
      <c r="R171" s="19">
        <f t="shared" si="18"/>
        <v>0</v>
      </c>
      <c r="S171" s="145">
        <f t="shared" si="19"/>
        <v>0</v>
      </c>
      <c r="T171" s="20">
        <v>5</v>
      </c>
      <c r="U171" s="14">
        <f>+SUM('31:29'!U171)</f>
        <v>0</v>
      </c>
      <c r="V171" s="142" t="str">
        <f t="array" ref="V171">IF(ISERROR(L171/K171),"",L171/K171)</f>
        <v/>
      </c>
      <c r="W171" s="14">
        <f>+SUM('31:29'!W171)</f>
        <v>0</v>
      </c>
      <c r="X171" s="14">
        <f>+SUM('31:29'!X171)</f>
        <v>0</v>
      </c>
      <c r="Y171" s="14">
        <f>+SUM('31:29'!Y171)</f>
        <v>0</v>
      </c>
      <c r="Z171" s="14">
        <f>+SUM('31:29'!Z171)</f>
        <v>0</v>
      </c>
      <c r="AA171" s="14">
        <f>+SUM('31:29'!AA171)</f>
        <v>0</v>
      </c>
      <c r="AB171" s="14">
        <f>+SUM('31:29'!AB171)</f>
        <v>0</v>
      </c>
      <c r="AC171" s="14">
        <f>+SUM('31:29'!AC171)</f>
        <v>0</v>
      </c>
    </row>
    <row r="172" spans="1:29" s="2" customFormat="1" ht="22.5" customHeight="1">
      <c r="A172" s="141">
        <v>300306</v>
      </c>
      <c r="B172" s="135">
        <v>18501</v>
      </c>
      <c r="C172" s="219" t="s">
        <v>151</v>
      </c>
      <c r="D172" s="219" t="s">
        <v>152</v>
      </c>
      <c r="E172" s="147" t="s">
        <v>109</v>
      </c>
      <c r="F172" s="27"/>
      <c r="G172" s="14">
        <f>+SUM('31:29'!G172)</f>
        <v>0</v>
      </c>
      <c r="H172" s="14">
        <f>+SUM('31:29'!H172)</f>
        <v>0</v>
      </c>
      <c r="I172" s="14">
        <f>+SUM('31:29'!I172)</f>
        <v>0</v>
      </c>
      <c r="J172" s="14">
        <f>+SUM('31:29'!J172)</f>
        <v>0</v>
      </c>
      <c r="K172" s="145">
        <f t="shared" si="15"/>
        <v>0</v>
      </c>
      <c r="L172" s="145">
        <f t="shared" si="16"/>
        <v>0</v>
      </c>
      <c r="M172" s="145">
        <v>538.79999999999995</v>
      </c>
      <c r="N172" s="145">
        <f t="shared" si="21"/>
        <v>4.2745620715917747</v>
      </c>
      <c r="O172" s="14">
        <f>+SUM('31:29'!O172)</f>
        <v>0</v>
      </c>
      <c r="P172" s="145">
        <f t="shared" si="17"/>
        <v>0</v>
      </c>
      <c r="Q172" s="14">
        <f>+SUM('31:29'!Q172)</f>
        <v>0</v>
      </c>
      <c r="R172" s="19">
        <f t="shared" si="18"/>
        <v>0</v>
      </c>
      <c r="S172" s="145">
        <f t="shared" si="19"/>
        <v>0</v>
      </c>
      <c r="T172" s="20">
        <v>5</v>
      </c>
      <c r="U172" s="14">
        <f>+SUM('31:29'!U172)</f>
        <v>0</v>
      </c>
      <c r="V172" s="142" t="str">
        <f t="array" ref="V172">IF(ISERROR(L172/K172),"",L172/K172)</f>
        <v/>
      </c>
      <c r="W172" s="14">
        <f>+SUM('31:29'!W172)</f>
        <v>0</v>
      </c>
      <c r="X172" s="14">
        <f>+SUM('31:29'!X172)</f>
        <v>0</v>
      </c>
      <c r="Y172" s="14">
        <f>+SUM('31:29'!Y172)</f>
        <v>0</v>
      </c>
      <c r="Z172" s="14">
        <f>+SUM('31:29'!Z172)</f>
        <v>0</v>
      </c>
      <c r="AA172" s="14">
        <f>+SUM('31:29'!AA172)</f>
        <v>0</v>
      </c>
      <c r="AB172" s="14">
        <f>+SUM('31:29'!AB172)</f>
        <v>0</v>
      </c>
      <c r="AC172" s="14">
        <f>+SUM('31:29'!AC172)</f>
        <v>0</v>
      </c>
    </row>
    <row r="173" spans="1:29" s="2" customFormat="1" ht="21.95" customHeight="1">
      <c r="A173" s="141">
        <v>300307</v>
      </c>
      <c r="B173" s="135">
        <v>18501</v>
      </c>
      <c r="C173" s="219" t="s">
        <v>151</v>
      </c>
      <c r="D173" s="219" t="s">
        <v>152</v>
      </c>
      <c r="E173" s="147" t="s">
        <v>125</v>
      </c>
      <c r="F173" s="27"/>
      <c r="G173" s="14">
        <f>+SUM('31:29'!G173)</f>
        <v>0</v>
      </c>
      <c r="H173" s="14">
        <f>+SUM('31:29'!H173)</f>
        <v>0</v>
      </c>
      <c r="I173" s="14">
        <f>+SUM('31:29'!I173)</f>
        <v>0</v>
      </c>
      <c r="J173" s="14">
        <f>+SUM('31:29'!J173)</f>
        <v>0</v>
      </c>
      <c r="K173" s="145">
        <f t="shared" si="15"/>
        <v>0</v>
      </c>
      <c r="L173" s="145">
        <f t="shared" si="16"/>
        <v>0</v>
      </c>
      <c r="M173" s="145">
        <v>569</v>
      </c>
      <c r="N173" s="145">
        <f t="shared" si="21"/>
        <v>4.5141533384107637</v>
      </c>
      <c r="O173" s="14">
        <f>+SUM('31:29'!O173)</f>
        <v>0</v>
      </c>
      <c r="P173" s="145">
        <f t="shared" si="17"/>
        <v>0</v>
      </c>
      <c r="Q173" s="14">
        <f>+SUM('31:29'!Q173)</f>
        <v>0</v>
      </c>
      <c r="R173" s="19">
        <f t="shared" si="18"/>
        <v>0</v>
      </c>
      <c r="S173" s="145">
        <f t="shared" si="19"/>
        <v>0</v>
      </c>
      <c r="T173" s="20">
        <v>5</v>
      </c>
      <c r="U173" s="14">
        <f>+SUM('31:29'!U173)</f>
        <v>0</v>
      </c>
      <c r="V173" s="142" t="str">
        <f t="array" ref="V173">IF(ISERROR(L173/K173),"",L173/K173)</f>
        <v/>
      </c>
      <c r="W173" s="14">
        <f>+SUM('31:29'!W173)</f>
        <v>0</v>
      </c>
      <c r="X173" s="14">
        <f>+SUM('31:29'!X173)</f>
        <v>0</v>
      </c>
      <c r="Y173" s="14">
        <f>+SUM('31:29'!Y173)</f>
        <v>0</v>
      </c>
      <c r="Z173" s="14">
        <f>+SUM('31:29'!Z173)</f>
        <v>0</v>
      </c>
      <c r="AA173" s="14">
        <f>+SUM('31:29'!AA173)</f>
        <v>0</v>
      </c>
      <c r="AB173" s="14">
        <f>+SUM('31:29'!AB173)</f>
        <v>0</v>
      </c>
      <c r="AC173" s="14">
        <f>+SUM('31:29'!AC173)</f>
        <v>0</v>
      </c>
    </row>
    <row r="174" spans="1:29" s="2" customFormat="1" ht="21.95" customHeight="1">
      <c r="A174" s="141">
        <v>300308</v>
      </c>
      <c r="B174" s="135">
        <v>18501</v>
      </c>
      <c r="C174" s="219" t="s">
        <v>151</v>
      </c>
      <c r="D174" s="219" t="s">
        <v>152</v>
      </c>
      <c r="E174" s="147" t="s">
        <v>124</v>
      </c>
      <c r="F174" s="27"/>
      <c r="G174" s="14">
        <f>+SUM('31:29'!G174)</f>
        <v>0</v>
      </c>
      <c r="H174" s="14">
        <f>+SUM('31:29'!H174)</f>
        <v>0</v>
      </c>
      <c r="I174" s="14">
        <f>+SUM('31:29'!I174)</f>
        <v>0</v>
      </c>
      <c r="J174" s="14">
        <f>+SUM('31:29'!J174)</f>
        <v>0</v>
      </c>
      <c r="K174" s="145">
        <f t="shared" si="15"/>
        <v>0</v>
      </c>
      <c r="L174" s="145">
        <f t="shared" si="16"/>
        <v>0</v>
      </c>
      <c r="M174" s="145">
        <v>523.6</v>
      </c>
      <c r="N174" s="145">
        <f t="shared" si="21"/>
        <v>4.1539730896166542</v>
      </c>
      <c r="O174" s="14">
        <f>+SUM('31:29'!O174)</f>
        <v>0</v>
      </c>
      <c r="P174" s="145">
        <f t="shared" si="17"/>
        <v>0</v>
      </c>
      <c r="Q174" s="14">
        <f>+SUM('31:29'!Q174)</f>
        <v>0</v>
      </c>
      <c r="R174" s="19">
        <f t="shared" si="18"/>
        <v>0</v>
      </c>
      <c r="S174" s="145">
        <f t="shared" si="19"/>
        <v>0</v>
      </c>
      <c r="T174" s="20">
        <v>5</v>
      </c>
      <c r="U174" s="14">
        <f>+SUM('31:29'!U174)</f>
        <v>0</v>
      </c>
      <c r="V174" s="142" t="str">
        <f t="array" ref="V174">IF(ISERROR(L174/K174),"",L174/K174)</f>
        <v/>
      </c>
      <c r="W174" s="14">
        <f>+SUM('31:29'!W174)</f>
        <v>0</v>
      </c>
      <c r="X174" s="14">
        <f>+SUM('31:29'!X174)</f>
        <v>0</v>
      </c>
      <c r="Y174" s="14">
        <f>+SUM('31:29'!Y174)</f>
        <v>0</v>
      </c>
      <c r="Z174" s="14">
        <f>+SUM('31:29'!Z174)</f>
        <v>0</v>
      </c>
      <c r="AA174" s="14">
        <f>+SUM('31:29'!AA174)</f>
        <v>0</v>
      </c>
      <c r="AB174" s="14">
        <f>+SUM('31:29'!AB174)</f>
        <v>0</v>
      </c>
      <c r="AC174" s="14">
        <f>+SUM('31:29'!AC174)</f>
        <v>0</v>
      </c>
    </row>
    <row r="175" spans="1:29" s="2" customFormat="1" ht="21.95" customHeight="1">
      <c r="A175" s="141">
        <v>300182</v>
      </c>
      <c r="B175" s="135">
        <v>18501</v>
      </c>
      <c r="C175" s="219" t="s">
        <v>153</v>
      </c>
      <c r="D175" s="219" t="s">
        <v>152</v>
      </c>
      <c r="E175" s="147" t="s">
        <v>80</v>
      </c>
      <c r="F175" s="27"/>
      <c r="G175" s="14">
        <f>+SUM('31:29'!G175)</f>
        <v>0.2</v>
      </c>
      <c r="H175" s="14">
        <f>+SUM('31:29'!H175)</f>
        <v>0.2</v>
      </c>
      <c r="I175" s="14">
        <f>+SUM('31:29'!I175)</f>
        <v>0.2</v>
      </c>
      <c r="J175" s="14">
        <f>+SUM('31:29'!J175)</f>
        <v>0</v>
      </c>
      <c r="K175" s="145">
        <f t="shared" si="15"/>
        <v>129.82000000000002</v>
      </c>
      <c r="L175" s="145">
        <f t="shared" si="16"/>
        <v>129.82000000000002</v>
      </c>
      <c r="M175" s="15">
        <v>649.1</v>
      </c>
      <c r="N175" s="145">
        <f t="shared" si="21"/>
        <v>5.1496255394770252</v>
      </c>
      <c r="O175" s="14">
        <f>+SUM('31:29'!O175)</f>
        <v>0</v>
      </c>
      <c r="P175" s="145">
        <f t="shared" si="17"/>
        <v>1.029925107895405</v>
      </c>
      <c r="Q175" s="14">
        <f>+SUM('31:29'!Q175)</f>
        <v>11</v>
      </c>
      <c r="R175" s="19">
        <f t="shared" si="18"/>
        <v>44</v>
      </c>
      <c r="S175" s="145">
        <f t="shared" si="19"/>
        <v>42.970074892104591</v>
      </c>
      <c r="T175" s="20">
        <v>5</v>
      </c>
      <c r="U175" s="14">
        <f>+SUM('31:29'!U175)</f>
        <v>4</v>
      </c>
      <c r="V175" s="142">
        <f t="array" ref="V175">IF(ISERROR(L175/K175),"",L175/K175)</f>
        <v>1</v>
      </c>
      <c r="W175" s="14">
        <f>+SUM('31:29'!W175)</f>
        <v>0</v>
      </c>
      <c r="X175" s="14">
        <f>+SUM('31:29'!X175)</f>
        <v>0</v>
      </c>
      <c r="Y175" s="14">
        <f>+SUM('31:29'!Y175)</f>
        <v>0</v>
      </c>
      <c r="Z175" s="14">
        <f>+SUM('31:29'!Z175)</f>
        <v>0</v>
      </c>
      <c r="AA175" s="14">
        <f>+SUM('31:29'!AA175)</f>
        <v>0</v>
      </c>
      <c r="AB175" s="14">
        <f>+SUM('31:29'!AB175)</f>
        <v>0</v>
      </c>
      <c r="AC175" s="14">
        <f>+SUM('31:29'!AC175)</f>
        <v>0</v>
      </c>
    </row>
    <row r="176" spans="1:29" s="2" customFormat="1" ht="21.95" customHeight="1">
      <c r="A176" s="141">
        <v>300185</v>
      </c>
      <c r="B176" s="135">
        <v>18501</v>
      </c>
      <c r="C176" s="219" t="s">
        <v>153</v>
      </c>
      <c r="D176" s="219" t="s">
        <v>152</v>
      </c>
      <c r="E176" s="147" t="s">
        <v>127</v>
      </c>
      <c r="F176" s="27"/>
      <c r="G176" s="14">
        <f>+SUM('31:29'!G176)</f>
        <v>1.6</v>
      </c>
      <c r="H176" s="14">
        <f>+SUM('31:29'!H176)</f>
        <v>0.6</v>
      </c>
      <c r="I176" s="14">
        <f>+SUM('31:29'!I176)</f>
        <v>1.6</v>
      </c>
      <c r="J176" s="14">
        <f>+SUM('31:29'!J176)</f>
        <v>0</v>
      </c>
      <c r="K176" s="145">
        <f t="shared" si="15"/>
        <v>1020.8000000000001</v>
      </c>
      <c r="L176" s="145">
        <f t="shared" si="16"/>
        <v>1020.8000000000001</v>
      </c>
      <c r="M176" s="15">
        <v>638</v>
      </c>
      <c r="N176" s="145">
        <f t="shared" si="21"/>
        <v>6.0738766184310737</v>
      </c>
      <c r="O176" s="14">
        <f>+SUM('31:29'!O176)</f>
        <v>0</v>
      </c>
      <c r="P176" s="145">
        <f t="shared" si="17"/>
        <v>9.718202589489719</v>
      </c>
      <c r="Q176" s="14">
        <f>+SUM('31:29'!Q176)</f>
        <v>2.5</v>
      </c>
      <c r="R176" s="19">
        <f t="shared" si="18"/>
        <v>15</v>
      </c>
      <c r="S176" s="145">
        <f t="shared" si="19"/>
        <v>5.281797410510281</v>
      </c>
      <c r="T176" s="20">
        <v>6</v>
      </c>
      <c r="U176" s="14">
        <f>+SUM('31:29'!U176)</f>
        <v>6</v>
      </c>
      <c r="V176" s="142">
        <f t="array" ref="V176">IF(ISERROR(L176/K176),"",L176/K176)</f>
        <v>1</v>
      </c>
      <c r="W176" s="14">
        <f>+SUM('31:29'!W176)</f>
        <v>0</v>
      </c>
      <c r="X176" s="14">
        <f>+SUM('31:29'!X176)</f>
        <v>0</v>
      </c>
      <c r="Y176" s="14">
        <f>+SUM('31:29'!Y176)</f>
        <v>0</v>
      </c>
      <c r="Z176" s="14">
        <f>+SUM('31:29'!Z176)</f>
        <v>0</v>
      </c>
      <c r="AA176" s="14">
        <f>+SUM('31:29'!AA176)</f>
        <v>2</v>
      </c>
      <c r="AB176" s="14">
        <f>+SUM('31:29'!AB176)</f>
        <v>0</v>
      </c>
      <c r="AC176" s="14">
        <f>+SUM('31:29'!AC176)</f>
        <v>0</v>
      </c>
    </row>
    <row r="177" spans="1:29" s="2" customFormat="1" ht="21.95" customHeight="1">
      <c r="A177" s="141">
        <v>300272</v>
      </c>
      <c r="B177" s="135">
        <v>18502</v>
      </c>
      <c r="C177" s="219" t="s">
        <v>154</v>
      </c>
      <c r="D177" s="219"/>
      <c r="E177" s="147" t="s">
        <v>42</v>
      </c>
      <c r="F177" s="27"/>
      <c r="G177" s="14">
        <f>+SUM('31:29'!G177)</f>
        <v>0</v>
      </c>
      <c r="H177" s="14">
        <f>+SUM('31:29'!H177)</f>
        <v>0</v>
      </c>
      <c r="I177" s="14">
        <f>+SUM('31:29'!I177)</f>
        <v>0</v>
      </c>
      <c r="J177" s="14">
        <f>+SUM('31:29'!J177)</f>
        <v>0</v>
      </c>
      <c r="K177" s="145">
        <f t="shared" si="15"/>
        <v>0</v>
      </c>
      <c r="L177" s="145">
        <f t="shared" si="16"/>
        <v>0</v>
      </c>
      <c r="M177" s="145">
        <v>523.9</v>
      </c>
      <c r="N177" s="145">
        <f>+M177*1000/(128*4*13*60)*T177</f>
        <v>5.247395833333333</v>
      </c>
      <c r="O177" s="14">
        <f>+SUM('31:29'!O177)</f>
        <v>0</v>
      </c>
      <c r="P177" s="145">
        <f t="shared" si="17"/>
        <v>0</v>
      </c>
      <c r="Q177" s="14">
        <f>+SUM('31:29'!Q177)</f>
        <v>0</v>
      </c>
      <c r="R177" s="19">
        <f t="shared" si="18"/>
        <v>0</v>
      </c>
      <c r="S177" s="145">
        <f t="shared" si="19"/>
        <v>0</v>
      </c>
      <c r="T177" s="20">
        <v>4</v>
      </c>
      <c r="U177" s="14">
        <f>+SUM('31:29'!U177)</f>
        <v>0</v>
      </c>
      <c r="V177" s="142" t="str">
        <f t="array" ref="V177">IF(ISERROR(L177/K177),"",L177/K177)</f>
        <v/>
      </c>
      <c r="W177" s="14">
        <f>+SUM('31:29'!W177)</f>
        <v>0</v>
      </c>
      <c r="X177" s="14">
        <f>+SUM('31:29'!X177)</f>
        <v>0</v>
      </c>
      <c r="Y177" s="14">
        <f>+SUM('31:29'!Y177)</f>
        <v>0</v>
      </c>
      <c r="Z177" s="14">
        <f>+SUM('31:29'!Z177)</f>
        <v>0</v>
      </c>
      <c r="AA177" s="14">
        <f>+SUM('31:29'!AA177)</f>
        <v>0</v>
      </c>
      <c r="AB177" s="14">
        <f>+SUM('31:29'!AB177)</f>
        <v>0</v>
      </c>
      <c r="AC177" s="14">
        <f>+SUM('31:29'!AC177)</f>
        <v>0</v>
      </c>
    </row>
    <row r="178" spans="1:29" s="2" customFormat="1" ht="21.95" customHeight="1">
      <c r="A178" s="141">
        <v>300273</v>
      </c>
      <c r="B178" s="135">
        <v>18502</v>
      </c>
      <c r="C178" s="219" t="s">
        <v>154</v>
      </c>
      <c r="D178" s="219"/>
      <c r="E178" s="147" t="s">
        <v>155</v>
      </c>
      <c r="F178" s="27"/>
      <c r="G178" s="14">
        <f>+SUM('31:29'!G178)</f>
        <v>0</v>
      </c>
      <c r="H178" s="14">
        <f>+SUM('31:29'!H178)</f>
        <v>0</v>
      </c>
      <c r="I178" s="14">
        <f>+SUM('31:29'!I178)</f>
        <v>0</v>
      </c>
      <c r="J178" s="14">
        <f>+SUM('31:29'!J178)</f>
        <v>0</v>
      </c>
      <c r="K178" s="145">
        <f t="shared" si="15"/>
        <v>0</v>
      </c>
      <c r="L178" s="145">
        <f t="shared" si="16"/>
        <v>0</v>
      </c>
      <c r="M178" s="145">
        <v>523.9</v>
      </c>
      <c r="N178" s="145">
        <f>+M178*1000/(128*4*13*60)*T178</f>
        <v>6.5592447916666661</v>
      </c>
      <c r="O178" s="14">
        <f>+SUM('31:29'!O178)</f>
        <v>0</v>
      </c>
      <c r="P178" s="145">
        <f t="shared" si="17"/>
        <v>0</v>
      </c>
      <c r="Q178" s="14">
        <f>+SUM('31:29'!Q178)</f>
        <v>0</v>
      </c>
      <c r="R178" s="19">
        <f t="shared" si="18"/>
        <v>0</v>
      </c>
      <c r="S178" s="145">
        <f t="shared" si="19"/>
        <v>0</v>
      </c>
      <c r="T178" s="20">
        <v>5</v>
      </c>
      <c r="U178" s="14">
        <f>+SUM('31:29'!U178)</f>
        <v>0</v>
      </c>
      <c r="V178" s="142" t="str">
        <f t="array" ref="V178">IF(ISERROR(L178/K178),"",L178/K178)</f>
        <v/>
      </c>
      <c r="W178" s="14">
        <f>+SUM('31:29'!W178)</f>
        <v>0</v>
      </c>
      <c r="X178" s="14">
        <f>+SUM('31:29'!X178)</f>
        <v>0</v>
      </c>
      <c r="Y178" s="14">
        <f>+SUM('31:29'!Y178)</f>
        <v>0</v>
      </c>
      <c r="Z178" s="14">
        <f>+SUM('31:29'!Z178)</f>
        <v>0</v>
      </c>
      <c r="AA178" s="14">
        <f>+SUM('31:29'!AA178)</f>
        <v>0</v>
      </c>
      <c r="AB178" s="14">
        <f>+SUM('31:29'!AB178)</f>
        <v>0</v>
      </c>
      <c r="AC178" s="14">
        <f>+SUM('31:29'!AC178)</f>
        <v>0</v>
      </c>
    </row>
    <row r="179" spans="1:29" s="2" customFormat="1" ht="21.95" customHeight="1">
      <c r="A179" s="141">
        <v>300274</v>
      </c>
      <c r="B179" s="135">
        <v>18502</v>
      </c>
      <c r="C179" s="219" t="s">
        <v>154</v>
      </c>
      <c r="D179" s="219"/>
      <c r="E179" s="147" t="s">
        <v>138</v>
      </c>
      <c r="F179" s="27"/>
      <c r="G179" s="14">
        <f>+SUM('31:29'!G179)</f>
        <v>0</v>
      </c>
      <c r="H179" s="14">
        <f>+SUM('31:29'!H179)</f>
        <v>0</v>
      </c>
      <c r="I179" s="14">
        <f>+SUM('31:29'!I179)</f>
        <v>0</v>
      </c>
      <c r="J179" s="14">
        <f>+SUM('31:29'!J179)</f>
        <v>0</v>
      </c>
      <c r="K179" s="145">
        <f t="shared" si="15"/>
        <v>0</v>
      </c>
      <c r="L179" s="145">
        <f t="shared" si="16"/>
        <v>0</v>
      </c>
      <c r="M179" s="145">
        <v>523.9</v>
      </c>
      <c r="N179" s="145">
        <f>+M179*1000/(128*4*13*60)*T179</f>
        <v>5.247395833333333</v>
      </c>
      <c r="O179" s="14">
        <f>+SUM('31:29'!O179)</f>
        <v>0</v>
      </c>
      <c r="P179" s="145">
        <f t="shared" si="17"/>
        <v>0</v>
      </c>
      <c r="Q179" s="14">
        <f>+SUM('31:29'!Q179)</f>
        <v>0</v>
      </c>
      <c r="R179" s="19">
        <f t="shared" si="18"/>
        <v>0</v>
      </c>
      <c r="S179" s="145">
        <f t="shared" si="19"/>
        <v>0</v>
      </c>
      <c r="T179" s="20">
        <v>4</v>
      </c>
      <c r="U179" s="14">
        <f>+SUM('31:29'!U179)</f>
        <v>0</v>
      </c>
      <c r="V179" s="142" t="str">
        <f t="array" ref="V179">IF(ISERROR(L179/K179),"",L179/K179)</f>
        <v/>
      </c>
      <c r="W179" s="14">
        <f>+SUM('31:29'!W179)</f>
        <v>0</v>
      </c>
      <c r="X179" s="14">
        <f>+SUM('31:29'!X179)</f>
        <v>0</v>
      </c>
      <c r="Y179" s="14">
        <f>+SUM('31:29'!Y179)</f>
        <v>0</v>
      </c>
      <c r="Z179" s="14">
        <f>+SUM('31:29'!Z179)</f>
        <v>0</v>
      </c>
      <c r="AA179" s="14">
        <f>+SUM('31:29'!AA179)</f>
        <v>0</v>
      </c>
      <c r="AB179" s="14">
        <f>+SUM('31:29'!AB179)</f>
        <v>0</v>
      </c>
      <c r="AC179" s="14">
        <f>+SUM('31:29'!AC179)</f>
        <v>0</v>
      </c>
    </row>
    <row r="180" spans="1:29" s="2" customFormat="1" ht="21.95" customHeight="1">
      <c r="A180" s="141">
        <v>300275</v>
      </c>
      <c r="B180" s="135">
        <v>18502</v>
      </c>
      <c r="C180" s="219" t="s">
        <v>154</v>
      </c>
      <c r="D180" s="219"/>
      <c r="E180" s="147" t="s">
        <v>156</v>
      </c>
      <c r="F180" s="27"/>
      <c r="G180" s="14">
        <f>+SUM('31:29'!G180)</f>
        <v>0</v>
      </c>
      <c r="H180" s="14">
        <f>+SUM('31:29'!H180)</f>
        <v>0</v>
      </c>
      <c r="I180" s="14">
        <f>+SUM('31:29'!I180)</f>
        <v>0</v>
      </c>
      <c r="J180" s="14">
        <f>+SUM('31:29'!J180)</f>
        <v>0</v>
      </c>
      <c r="K180" s="145">
        <f t="shared" si="15"/>
        <v>0</v>
      </c>
      <c r="L180" s="145">
        <f t="shared" si="16"/>
        <v>0</v>
      </c>
      <c r="M180" s="145">
        <v>523.9</v>
      </c>
      <c r="N180" s="145">
        <f>+M180*1000/(128*4*13*60)*T180</f>
        <v>5.247395833333333</v>
      </c>
      <c r="O180" s="14">
        <f>+SUM('31:29'!O180)</f>
        <v>0</v>
      </c>
      <c r="P180" s="145">
        <f t="shared" si="17"/>
        <v>0</v>
      </c>
      <c r="Q180" s="14">
        <f>+SUM('31:29'!Q180)</f>
        <v>0</v>
      </c>
      <c r="R180" s="19">
        <f t="shared" si="18"/>
        <v>0</v>
      </c>
      <c r="S180" s="145">
        <f t="shared" si="19"/>
        <v>0</v>
      </c>
      <c r="T180" s="20">
        <v>4</v>
      </c>
      <c r="U180" s="14">
        <f>+SUM('31:29'!U180)</f>
        <v>0</v>
      </c>
      <c r="V180" s="142" t="str">
        <f t="array" ref="V180">IF(ISERROR(L180/K180),"",L180/K180)</f>
        <v/>
      </c>
      <c r="W180" s="14">
        <f>+SUM('31:29'!W180)</f>
        <v>0</v>
      </c>
      <c r="X180" s="14">
        <f>+SUM('31:29'!X180)</f>
        <v>0</v>
      </c>
      <c r="Y180" s="14">
        <f>+SUM('31:29'!Y180)</f>
        <v>0</v>
      </c>
      <c r="Z180" s="14">
        <f>+SUM('31:29'!Z180)</f>
        <v>0</v>
      </c>
      <c r="AA180" s="14">
        <f>+SUM('31:29'!AA180)</f>
        <v>0</v>
      </c>
      <c r="AB180" s="14">
        <f>+SUM('31:29'!AB180)</f>
        <v>0</v>
      </c>
      <c r="AC180" s="14">
        <f>+SUM('31:29'!AC180)</f>
        <v>0</v>
      </c>
    </row>
    <row r="181" spans="1:29" s="2" customFormat="1" ht="21.95" customHeight="1">
      <c r="A181" s="141">
        <v>300285</v>
      </c>
      <c r="B181" s="135">
        <v>13001</v>
      </c>
      <c r="C181" s="219" t="s">
        <v>157</v>
      </c>
      <c r="D181" s="219"/>
      <c r="E181" s="147" t="s">
        <v>37</v>
      </c>
      <c r="F181" s="27"/>
      <c r="G181" s="14">
        <f>+SUM('31:29'!G181)</f>
        <v>0</v>
      </c>
      <c r="H181" s="14">
        <f>+SUM('31:29'!H181)</f>
        <v>0</v>
      </c>
      <c r="I181" s="14">
        <f>+SUM('31:29'!I181)</f>
        <v>0</v>
      </c>
      <c r="J181" s="14">
        <f>+SUM('31:29'!J181)</f>
        <v>0</v>
      </c>
      <c r="K181" s="145">
        <f t="shared" si="15"/>
        <v>0</v>
      </c>
      <c r="L181" s="145">
        <f t="shared" si="16"/>
        <v>0</v>
      </c>
      <c r="M181" s="145">
        <v>438.7</v>
      </c>
      <c r="N181" s="145">
        <f t="shared" ref="N181:N186" si="22">+M181*1000/(90*4*18*60)*T181</f>
        <v>5.6417181069958842</v>
      </c>
      <c r="O181" s="14">
        <f>+SUM('31:29'!O181)</f>
        <v>0</v>
      </c>
      <c r="P181" s="145">
        <f t="shared" si="17"/>
        <v>0</v>
      </c>
      <c r="Q181" s="14">
        <f>+SUM('31:29'!Q181)</f>
        <v>0</v>
      </c>
      <c r="R181" s="19">
        <f t="shared" si="18"/>
        <v>0</v>
      </c>
      <c r="S181" s="145">
        <f t="shared" si="19"/>
        <v>0</v>
      </c>
      <c r="T181" s="20">
        <v>5</v>
      </c>
      <c r="U181" s="14">
        <f>+SUM('31:29'!U181)</f>
        <v>0</v>
      </c>
      <c r="V181" s="142" t="str">
        <f t="array" ref="V181">IF(ISERROR(L181/K181),"",L181/K181)</f>
        <v/>
      </c>
      <c r="W181" s="14">
        <f>+SUM('31:29'!W181)</f>
        <v>0</v>
      </c>
      <c r="X181" s="14">
        <f>+SUM('31:29'!X181)</f>
        <v>0</v>
      </c>
      <c r="Y181" s="14">
        <f>+SUM('31:29'!Y181)</f>
        <v>0</v>
      </c>
      <c r="Z181" s="14">
        <f>+SUM('31:29'!Z181)</f>
        <v>0</v>
      </c>
      <c r="AA181" s="14">
        <f>+SUM('31:29'!AA181)</f>
        <v>0</v>
      </c>
      <c r="AB181" s="14">
        <f>+SUM('31:29'!AB181)</f>
        <v>0</v>
      </c>
      <c r="AC181" s="14">
        <f>+SUM('31:29'!AC181)</f>
        <v>0</v>
      </c>
    </row>
    <row r="182" spans="1:29" s="2" customFormat="1" ht="21.95" customHeight="1">
      <c r="A182" s="141">
        <v>300287</v>
      </c>
      <c r="B182" s="135">
        <v>13001</v>
      </c>
      <c r="C182" s="219" t="s">
        <v>157</v>
      </c>
      <c r="D182" s="219"/>
      <c r="E182" s="147" t="s">
        <v>57</v>
      </c>
      <c r="F182" s="27"/>
      <c r="G182" s="14">
        <f>+SUM('31:29'!G182)</f>
        <v>0</v>
      </c>
      <c r="H182" s="14">
        <f>+SUM('31:29'!H182)</f>
        <v>0</v>
      </c>
      <c r="I182" s="14">
        <f>+SUM('31:29'!I182)</f>
        <v>0</v>
      </c>
      <c r="J182" s="14">
        <f>+SUM('31:29'!J182)</f>
        <v>0</v>
      </c>
      <c r="K182" s="145">
        <f t="shared" si="15"/>
        <v>0</v>
      </c>
      <c r="L182" s="145">
        <f t="shared" si="16"/>
        <v>0</v>
      </c>
      <c r="M182" s="145">
        <v>438.7</v>
      </c>
      <c r="N182" s="145">
        <f t="shared" si="22"/>
        <v>5.6417181069958842</v>
      </c>
      <c r="O182" s="14">
        <f>+SUM('31:29'!O182)</f>
        <v>0</v>
      </c>
      <c r="P182" s="145">
        <f t="shared" si="17"/>
        <v>0</v>
      </c>
      <c r="Q182" s="14">
        <f>+SUM('31:29'!Q182)</f>
        <v>0</v>
      </c>
      <c r="R182" s="19">
        <f t="shared" si="18"/>
        <v>0</v>
      </c>
      <c r="S182" s="145">
        <f t="shared" si="19"/>
        <v>0</v>
      </c>
      <c r="T182" s="20">
        <v>5</v>
      </c>
      <c r="U182" s="14">
        <f>+SUM('31:29'!U182)</f>
        <v>0</v>
      </c>
      <c r="V182" s="142" t="str">
        <f t="array" ref="V182">IF(ISERROR(L182/K182),"",L182/K182)</f>
        <v/>
      </c>
      <c r="W182" s="14">
        <f>+SUM('31:29'!W182)</f>
        <v>0</v>
      </c>
      <c r="X182" s="14">
        <f>+SUM('31:29'!X182)</f>
        <v>0</v>
      </c>
      <c r="Y182" s="14">
        <f>+SUM('31:29'!Y182)</f>
        <v>0</v>
      </c>
      <c r="Z182" s="14">
        <f>+SUM('31:29'!Z182)</f>
        <v>0</v>
      </c>
      <c r="AA182" s="14">
        <f>+SUM('31:29'!AA182)</f>
        <v>0</v>
      </c>
      <c r="AB182" s="14">
        <f>+SUM('31:29'!AB182)</f>
        <v>0</v>
      </c>
      <c r="AC182" s="14">
        <f>+SUM('31:29'!AC182)</f>
        <v>0</v>
      </c>
    </row>
    <row r="183" spans="1:29" s="2" customFormat="1" ht="21.95" customHeight="1">
      <c r="A183" s="141">
        <v>300284</v>
      </c>
      <c r="B183" s="135">
        <v>13001</v>
      </c>
      <c r="C183" s="219" t="s">
        <v>157</v>
      </c>
      <c r="D183" s="219"/>
      <c r="E183" s="147" t="s">
        <v>41</v>
      </c>
      <c r="F183" s="27"/>
      <c r="G183" s="14">
        <f>+SUM('31:29'!G183)</f>
        <v>0</v>
      </c>
      <c r="H183" s="14">
        <f>+SUM('31:29'!H183)</f>
        <v>0</v>
      </c>
      <c r="I183" s="14">
        <f>+SUM('31:29'!I183)</f>
        <v>0</v>
      </c>
      <c r="J183" s="14">
        <f>+SUM('31:29'!J183)</f>
        <v>0</v>
      </c>
      <c r="K183" s="145">
        <f t="shared" si="15"/>
        <v>0</v>
      </c>
      <c r="L183" s="145">
        <f t="shared" si="16"/>
        <v>0</v>
      </c>
      <c r="M183" s="145">
        <v>438.7</v>
      </c>
      <c r="N183" s="145">
        <f t="shared" si="22"/>
        <v>5.6417181069958842</v>
      </c>
      <c r="O183" s="14">
        <f>+SUM('31:29'!O183)</f>
        <v>0</v>
      </c>
      <c r="P183" s="145">
        <f t="shared" si="17"/>
        <v>0</v>
      </c>
      <c r="Q183" s="14">
        <f>+SUM('31:29'!Q183)</f>
        <v>0</v>
      </c>
      <c r="R183" s="19">
        <f t="shared" si="18"/>
        <v>0</v>
      </c>
      <c r="S183" s="145">
        <f t="shared" si="19"/>
        <v>0</v>
      </c>
      <c r="T183" s="20">
        <v>5</v>
      </c>
      <c r="U183" s="14">
        <f>+SUM('31:29'!U183)</f>
        <v>0</v>
      </c>
      <c r="V183" s="142" t="str">
        <f t="array" ref="V183">IF(ISERROR(L183/K183),"",L183/K183)</f>
        <v/>
      </c>
      <c r="W183" s="14">
        <f>+SUM('31:29'!W183)</f>
        <v>0</v>
      </c>
      <c r="X183" s="14">
        <f>+SUM('31:29'!X183)</f>
        <v>0</v>
      </c>
      <c r="Y183" s="14">
        <f>+SUM('31:29'!Y183)</f>
        <v>0</v>
      </c>
      <c r="Z183" s="14">
        <f>+SUM('31:29'!Z183)</f>
        <v>0</v>
      </c>
      <c r="AA183" s="14">
        <f>+SUM('31:29'!AA183)</f>
        <v>0</v>
      </c>
      <c r="AB183" s="14">
        <f>+SUM('31:29'!AB183)</f>
        <v>0</v>
      </c>
      <c r="AC183" s="14">
        <f>+SUM('31:29'!AC183)</f>
        <v>0</v>
      </c>
    </row>
    <row r="184" spans="1:29" s="2" customFormat="1" ht="21.95" customHeight="1">
      <c r="A184" s="141">
        <v>300283</v>
      </c>
      <c r="B184" s="135">
        <v>13001</v>
      </c>
      <c r="C184" s="219" t="s">
        <v>157</v>
      </c>
      <c r="D184" s="219"/>
      <c r="E184" s="147" t="s">
        <v>35</v>
      </c>
      <c r="F184" s="27"/>
      <c r="G184" s="14">
        <f>+SUM('31:29'!G184)</f>
        <v>0</v>
      </c>
      <c r="H184" s="14">
        <f>+SUM('31:29'!H184)</f>
        <v>0</v>
      </c>
      <c r="I184" s="14">
        <f>+SUM('31:29'!I184)</f>
        <v>0</v>
      </c>
      <c r="J184" s="14">
        <f>+SUM('31:29'!J184)</f>
        <v>0</v>
      </c>
      <c r="K184" s="136">
        <f t="shared" si="15"/>
        <v>0</v>
      </c>
      <c r="L184" s="136">
        <f t="shared" si="16"/>
        <v>0</v>
      </c>
      <c r="M184" s="145">
        <v>438.7</v>
      </c>
      <c r="N184" s="145">
        <f t="shared" si="22"/>
        <v>5.6417181069958842</v>
      </c>
      <c r="O184" s="14">
        <f>+SUM('31:29'!O184)</f>
        <v>0</v>
      </c>
      <c r="P184" s="145">
        <f t="shared" si="17"/>
        <v>0</v>
      </c>
      <c r="Q184" s="14">
        <f>+SUM('31:29'!Q184)</f>
        <v>0</v>
      </c>
      <c r="R184" s="19">
        <f t="shared" si="18"/>
        <v>0</v>
      </c>
      <c r="S184" s="145">
        <f t="shared" si="19"/>
        <v>0</v>
      </c>
      <c r="T184" s="20">
        <v>5</v>
      </c>
      <c r="U184" s="14">
        <f>+SUM('31:29'!U184)</f>
        <v>0</v>
      </c>
      <c r="V184" s="142" t="str">
        <f t="array" ref="V184">IF(ISERROR(L184/K184),"",L184/K184)</f>
        <v/>
      </c>
      <c r="W184" s="14">
        <f>+SUM('31:29'!W184)</f>
        <v>0</v>
      </c>
      <c r="X184" s="14">
        <f>+SUM('31:29'!X184)</f>
        <v>0</v>
      </c>
      <c r="Y184" s="14">
        <f>+SUM('31:29'!Y184)</f>
        <v>0</v>
      </c>
      <c r="Z184" s="14">
        <f>+SUM('31:29'!Z184)</f>
        <v>0</v>
      </c>
      <c r="AA184" s="14">
        <f>+SUM('31:29'!AA184)</f>
        <v>0</v>
      </c>
      <c r="AB184" s="14">
        <f>+SUM('31:29'!AB184)</f>
        <v>0</v>
      </c>
      <c r="AC184" s="14">
        <f>+SUM('31:29'!AC184)</f>
        <v>0</v>
      </c>
    </row>
    <row r="185" spans="1:29" s="2" customFormat="1" ht="21.95" customHeight="1">
      <c r="A185" s="141">
        <v>300289</v>
      </c>
      <c r="B185" s="135">
        <v>13001</v>
      </c>
      <c r="C185" s="219" t="s">
        <v>157</v>
      </c>
      <c r="D185" s="219"/>
      <c r="E185" s="147" t="s">
        <v>66</v>
      </c>
      <c r="F185" s="27"/>
      <c r="G185" s="14">
        <f>+SUM('31:29'!G185)</f>
        <v>0</v>
      </c>
      <c r="H185" s="14">
        <f>+SUM('31:29'!H185)</f>
        <v>0</v>
      </c>
      <c r="I185" s="14">
        <f>+SUM('31:29'!I185)</f>
        <v>0</v>
      </c>
      <c r="J185" s="14">
        <f>+SUM('31:29'!J185)</f>
        <v>0</v>
      </c>
      <c r="K185" s="136">
        <f t="shared" si="15"/>
        <v>0</v>
      </c>
      <c r="L185" s="136">
        <f t="shared" si="16"/>
        <v>0</v>
      </c>
      <c r="M185" s="145">
        <v>438.7</v>
      </c>
      <c r="N185" s="145">
        <f t="shared" si="22"/>
        <v>5.6417181069958842</v>
      </c>
      <c r="O185" s="14">
        <f>+SUM('31:29'!O185)</f>
        <v>0</v>
      </c>
      <c r="P185" s="145">
        <f t="shared" si="17"/>
        <v>0</v>
      </c>
      <c r="Q185" s="14">
        <f>+SUM('31:29'!Q185)</f>
        <v>0</v>
      </c>
      <c r="R185" s="19">
        <f t="shared" si="18"/>
        <v>0</v>
      </c>
      <c r="S185" s="145">
        <f t="shared" si="19"/>
        <v>0</v>
      </c>
      <c r="T185" s="20">
        <v>5</v>
      </c>
      <c r="U185" s="14">
        <f>+SUM('31:29'!U185)</f>
        <v>0</v>
      </c>
      <c r="V185" s="142" t="str">
        <f t="array" ref="V185">IF(ISERROR(L185/K185),"",L185/K185)</f>
        <v/>
      </c>
      <c r="W185" s="14">
        <f>+SUM('31:29'!W185)</f>
        <v>0</v>
      </c>
      <c r="X185" s="14">
        <f>+SUM('31:29'!X185)</f>
        <v>0</v>
      </c>
      <c r="Y185" s="14">
        <f>+SUM('31:29'!Y185)</f>
        <v>0</v>
      </c>
      <c r="Z185" s="14">
        <f>+SUM('31:29'!Z185)</f>
        <v>0</v>
      </c>
      <c r="AA185" s="14">
        <f>+SUM('31:29'!AA185)</f>
        <v>0</v>
      </c>
      <c r="AB185" s="14">
        <f>+SUM('31:29'!AB185)</f>
        <v>0</v>
      </c>
      <c r="AC185" s="14">
        <f>+SUM('31:29'!AC185)</f>
        <v>0</v>
      </c>
    </row>
    <row r="186" spans="1:29" s="2" customFormat="1" ht="21.95" customHeight="1">
      <c r="A186" s="141">
        <v>300288</v>
      </c>
      <c r="B186" s="135">
        <v>13001</v>
      </c>
      <c r="C186" s="219" t="s">
        <v>157</v>
      </c>
      <c r="D186" s="219"/>
      <c r="E186" s="147" t="s">
        <v>158</v>
      </c>
      <c r="F186" s="27"/>
      <c r="G186" s="14">
        <f>+SUM('31:29'!G186)</f>
        <v>0</v>
      </c>
      <c r="H186" s="14">
        <f>+SUM('31:29'!H186)</f>
        <v>0</v>
      </c>
      <c r="I186" s="14">
        <f>+SUM('31:29'!I186)</f>
        <v>0</v>
      </c>
      <c r="J186" s="14">
        <f>+SUM('31:29'!J186)</f>
        <v>0</v>
      </c>
      <c r="K186" s="145">
        <f t="shared" si="15"/>
        <v>0</v>
      </c>
      <c r="L186" s="145">
        <f t="shared" si="16"/>
        <v>0</v>
      </c>
      <c r="M186" s="145">
        <v>438.7</v>
      </c>
      <c r="N186" s="145">
        <f t="shared" si="22"/>
        <v>5.6417181069958842</v>
      </c>
      <c r="O186" s="14">
        <f>+SUM('31:29'!O186)</f>
        <v>0</v>
      </c>
      <c r="P186" s="145">
        <f t="shared" si="17"/>
        <v>0</v>
      </c>
      <c r="Q186" s="14">
        <f>+SUM('31:29'!Q186)</f>
        <v>0</v>
      </c>
      <c r="R186" s="19">
        <f t="shared" si="18"/>
        <v>0</v>
      </c>
      <c r="S186" s="145">
        <f t="shared" si="19"/>
        <v>0</v>
      </c>
      <c r="T186" s="20">
        <v>5</v>
      </c>
      <c r="U186" s="14">
        <f>+SUM('31:29'!U186)</f>
        <v>0</v>
      </c>
      <c r="V186" s="142" t="str">
        <f t="array" ref="V186">IF(ISERROR(L186/K186),"",L186/K186)</f>
        <v/>
      </c>
      <c r="W186" s="14">
        <f>+SUM('31:29'!W186)</f>
        <v>0</v>
      </c>
      <c r="X186" s="14">
        <f>+SUM('31:29'!X186)</f>
        <v>0</v>
      </c>
      <c r="Y186" s="14">
        <f>+SUM('31:29'!Y186)</f>
        <v>0</v>
      </c>
      <c r="Z186" s="14">
        <f>+SUM('31:29'!Z186)</f>
        <v>0</v>
      </c>
      <c r="AA186" s="14">
        <f>+SUM('31:29'!AA186)</f>
        <v>0</v>
      </c>
      <c r="AB186" s="14">
        <f>+SUM('31:29'!AB186)</f>
        <v>0</v>
      </c>
      <c r="AC186" s="14">
        <f>+SUM('31:29'!AC186)</f>
        <v>0</v>
      </c>
    </row>
    <row r="187" spans="1:29" s="2" customFormat="1" ht="21.95" customHeight="1">
      <c r="A187" s="139">
        <v>300355</v>
      </c>
      <c r="B187" s="135" t="s">
        <v>159</v>
      </c>
      <c r="C187" s="230" t="s">
        <v>160</v>
      </c>
      <c r="D187" s="231"/>
      <c r="E187" s="33" t="s">
        <v>35</v>
      </c>
      <c r="F187" s="27"/>
      <c r="G187" s="14">
        <f>+SUM('31:29'!G187)</f>
        <v>0</v>
      </c>
      <c r="H187" s="14">
        <f>+SUM('31:29'!H187)</f>
        <v>0</v>
      </c>
      <c r="I187" s="14">
        <f>+SUM('31:29'!I187)</f>
        <v>0</v>
      </c>
      <c r="J187" s="14">
        <f>+SUM('31:29'!J187)</f>
        <v>0</v>
      </c>
      <c r="K187" s="136">
        <f t="shared" si="15"/>
        <v>0</v>
      </c>
      <c r="L187" s="145">
        <f t="shared" si="16"/>
        <v>0</v>
      </c>
      <c r="M187" s="145">
        <v>438</v>
      </c>
      <c r="N187" s="15">
        <f>+M187*1000/(110*4*18*60)*T187</f>
        <v>4.6085858585858581</v>
      </c>
      <c r="O187" s="14">
        <f>+SUM('31:29'!O187)</f>
        <v>0</v>
      </c>
      <c r="P187" s="145">
        <f t="shared" si="17"/>
        <v>0</v>
      </c>
      <c r="Q187" s="14">
        <f>+SUM('31:29'!Q187)</f>
        <v>0</v>
      </c>
      <c r="R187" s="19">
        <f t="shared" si="18"/>
        <v>0</v>
      </c>
      <c r="S187" s="145">
        <f t="shared" si="19"/>
        <v>0</v>
      </c>
      <c r="T187" s="20">
        <v>5</v>
      </c>
      <c r="U187" s="14">
        <f>+SUM('31:29'!U187)</f>
        <v>0</v>
      </c>
      <c r="V187" s="142" t="str">
        <f t="array" ref="V187">IF(ISERROR(L187/K187),"",L187/K187)</f>
        <v/>
      </c>
      <c r="W187" s="14">
        <f>+SUM('31:29'!W187)</f>
        <v>0</v>
      </c>
      <c r="X187" s="14">
        <f>+SUM('31:29'!X187)</f>
        <v>0</v>
      </c>
      <c r="Y187" s="14">
        <f>+SUM('31:29'!Y187)</f>
        <v>0</v>
      </c>
      <c r="Z187" s="14">
        <f>+SUM('31:29'!Z187)</f>
        <v>0</v>
      </c>
      <c r="AA187" s="14">
        <f>+SUM('31:29'!AA187)</f>
        <v>0</v>
      </c>
      <c r="AB187" s="14">
        <f>+SUM('31:29'!AB187)</f>
        <v>0</v>
      </c>
      <c r="AC187" s="14">
        <f>+SUM('31:29'!AC187)</f>
        <v>0</v>
      </c>
    </row>
    <row r="188" spans="1:29" s="2" customFormat="1" ht="21.95" customHeight="1">
      <c r="A188" s="139">
        <v>300356</v>
      </c>
      <c r="B188" s="135" t="s">
        <v>161</v>
      </c>
      <c r="C188" s="230" t="s">
        <v>160</v>
      </c>
      <c r="D188" s="231"/>
      <c r="E188" s="149" t="s">
        <v>41</v>
      </c>
      <c r="F188" s="27"/>
      <c r="G188" s="14">
        <f>+SUM('31:29'!G188)</f>
        <v>0</v>
      </c>
      <c r="H188" s="14">
        <f>+SUM('31:29'!H188)</f>
        <v>0</v>
      </c>
      <c r="I188" s="14">
        <f>+SUM('31:29'!I188)</f>
        <v>0</v>
      </c>
      <c r="J188" s="14">
        <f>+SUM('31:29'!J188)</f>
        <v>0</v>
      </c>
      <c r="K188" s="136">
        <f t="shared" si="15"/>
        <v>0</v>
      </c>
      <c r="L188" s="145">
        <f t="shared" si="16"/>
        <v>0</v>
      </c>
      <c r="M188" s="145">
        <v>438</v>
      </c>
      <c r="N188" s="15">
        <f>+M188*1000/(110*4*18*60)*T188</f>
        <v>4.6085858585858581</v>
      </c>
      <c r="O188" s="14">
        <f>+SUM('31:29'!O188)</f>
        <v>0</v>
      </c>
      <c r="P188" s="145">
        <f t="shared" si="17"/>
        <v>0</v>
      </c>
      <c r="Q188" s="14">
        <f>+SUM('31:29'!Q188)</f>
        <v>0</v>
      </c>
      <c r="R188" s="19">
        <f t="shared" si="18"/>
        <v>0</v>
      </c>
      <c r="S188" s="145">
        <f t="shared" si="19"/>
        <v>0</v>
      </c>
      <c r="T188" s="20">
        <v>5</v>
      </c>
      <c r="U188" s="14">
        <f>+SUM('31:29'!U188)</f>
        <v>0</v>
      </c>
      <c r="V188" s="142" t="str">
        <f t="array" ref="V188">IF(ISERROR(L188/K188),"",L188/K188)</f>
        <v/>
      </c>
      <c r="W188" s="14">
        <f>+SUM('31:29'!W188)</f>
        <v>0</v>
      </c>
      <c r="X188" s="14">
        <f>+SUM('31:29'!X188)</f>
        <v>0</v>
      </c>
      <c r="Y188" s="14">
        <f>+SUM('31:29'!Y188)</f>
        <v>0</v>
      </c>
      <c r="Z188" s="14">
        <f>+SUM('31:29'!Z188)</f>
        <v>0</v>
      </c>
      <c r="AA188" s="14">
        <f>+SUM('31:29'!AA188)</f>
        <v>0</v>
      </c>
      <c r="AB188" s="14">
        <f>+SUM('31:29'!AB188)</f>
        <v>0</v>
      </c>
      <c r="AC188" s="14">
        <f>+SUM('31:29'!AC188)</f>
        <v>0</v>
      </c>
    </row>
    <row r="189" spans="1:29" s="2" customFormat="1" ht="21.95" customHeight="1">
      <c r="A189" s="139">
        <v>300357</v>
      </c>
      <c r="B189" s="135" t="s">
        <v>162</v>
      </c>
      <c r="C189" s="230" t="s">
        <v>160</v>
      </c>
      <c r="D189" s="231"/>
      <c r="E189" s="149" t="s">
        <v>37</v>
      </c>
      <c r="F189" s="27"/>
      <c r="G189" s="14">
        <f>+SUM('31:29'!G189)</f>
        <v>0</v>
      </c>
      <c r="H189" s="14">
        <f>+SUM('31:29'!H189)</f>
        <v>0</v>
      </c>
      <c r="I189" s="14">
        <f>+SUM('31:29'!I189)</f>
        <v>0</v>
      </c>
      <c r="J189" s="14">
        <f>+SUM('31:29'!J189)</f>
        <v>0</v>
      </c>
      <c r="K189" s="136">
        <f t="shared" si="15"/>
        <v>0</v>
      </c>
      <c r="L189" s="145">
        <f t="shared" si="16"/>
        <v>0</v>
      </c>
      <c r="M189" s="145">
        <v>438</v>
      </c>
      <c r="N189" s="15">
        <f>+M189*1000/(110*4*18*60)*T189</f>
        <v>4.6085858585858581</v>
      </c>
      <c r="O189" s="14">
        <f>+SUM('31:29'!O189)</f>
        <v>0</v>
      </c>
      <c r="P189" s="145">
        <f t="shared" si="17"/>
        <v>0</v>
      </c>
      <c r="Q189" s="14">
        <f>+SUM('31:29'!Q189)</f>
        <v>0</v>
      </c>
      <c r="R189" s="19">
        <f t="shared" si="18"/>
        <v>0</v>
      </c>
      <c r="S189" s="145">
        <f t="shared" si="19"/>
        <v>0</v>
      </c>
      <c r="T189" s="20">
        <v>5</v>
      </c>
      <c r="U189" s="14">
        <f>+SUM('31:29'!U189)</f>
        <v>0</v>
      </c>
      <c r="V189" s="142" t="str">
        <f t="array" ref="V189">IF(ISERROR(L189/K189),"",L189/K189)</f>
        <v/>
      </c>
      <c r="W189" s="14">
        <f>+SUM('31:29'!W189)</f>
        <v>0</v>
      </c>
      <c r="X189" s="14">
        <f>+SUM('31:29'!X189)</f>
        <v>0</v>
      </c>
      <c r="Y189" s="14">
        <f>+SUM('31:29'!Y189)</f>
        <v>0</v>
      </c>
      <c r="Z189" s="14">
        <f>+SUM('31:29'!Z189)</f>
        <v>0</v>
      </c>
      <c r="AA189" s="14">
        <f>+SUM('31:29'!AA189)</f>
        <v>0</v>
      </c>
      <c r="AB189" s="14">
        <f>+SUM('31:29'!AB189)</f>
        <v>0</v>
      </c>
      <c r="AC189" s="14">
        <f>+SUM('31:29'!AC189)</f>
        <v>0</v>
      </c>
    </row>
    <row r="190" spans="1:29" s="2" customFormat="1" ht="21.95" customHeight="1">
      <c r="A190" s="139">
        <v>300358</v>
      </c>
      <c r="B190" s="135" t="s">
        <v>163</v>
      </c>
      <c r="C190" s="230" t="s">
        <v>160</v>
      </c>
      <c r="D190" s="231"/>
      <c r="E190" s="149" t="s">
        <v>66</v>
      </c>
      <c r="F190" s="27"/>
      <c r="G190" s="14">
        <f>+SUM('31:29'!G190)</f>
        <v>0</v>
      </c>
      <c r="H190" s="14">
        <f>+SUM('31:29'!H190)</f>
        <v>0</v>
      </c>
      <c r="I190" s="14">
        <f>+SUM('31:29'!I190)</f>
        <v>0</v>
      </c>
      <c r="J190" s="14">
        <f>+SUM('31:29'!J190)</f>
        <v>0</v>
      </c>
      <c r="K190" s="136">
        <f t="shared" si="15"/>
        <v>0</v>
      </c>
      <c r="L190" s="145">
        <f t="shared" si="16"/>
        <v>0</v>
      </c>
      <c r="M190" s="145">
        <v>438</v>
      </c>
      <c r="N190" s="15">
        <f>+M190*1000/(110*4*18*60)*T190</f>
        <v>4.6085858585858581</v>
      </c>
      <c r="O190" s="14">
        <f>+SUM('31:29'!O190)</f>
        <v>0</v>
      </c>
      <c r="P190" s="145">
        <f t="shared" si="17"/>
        <v>0</v>
      </c>
      <c r="Q190" s="14">
        <f>+SUM('31:29'!Q190)</f>
        <v>0</v>
      </c>
      <c r="R190" s="19">
        <f t="shared" si="18"/>
        <v>0</v>
      </c>
      <c r="S190" s="145">
        <f t="shared" si="19"/>
        <v>0</v>
      </c>
      <c r="T190" s="20">
        <v>5</v>
      </c>
      <c r="U190" s="14">
        <f>+SUM('31:29'!U190)</f>
        <v>0</v>
      </c>
      <c r="V190" s="142" t="str">
        <f t="array" ref="V190">IF(ISERROR(L190/K190),"",L190/K190)</f>
        <v/>
      </c>
      <c r="W190" s="14">
        <f>+SUM('31:29'!W190)</f>
        <v>0</v>
      </c>
      <c r="X190" s="14">
        <f>+SUM('31:29'!X190)</f>
        <v>0</v>
      </c>
      <c r="Y190" s="14">
        <f>+SUM('31:29'!Y190)</f>
        <v>0</v>
      </c>
      <c r="Z190" s="14">
        <f>+SUM('31:29'!Z190)</f>
        <v>0</v>
      </c>
      <c r="AA190" s="14">
        <f>+SUM('31:29'!AA190)</f>
        <v>0</v>
      </c>
      <c r="AB190" s="14">
        <f>+SUM('31:29'!AB190)</f>
        <v>0</v>
      </c>
      <c r="AC190" s="14">
        <f>+SUM('31:29'!AC190)</f>
        <v>0</v>
      </c>
    </row>
    <row r="191" spans="1:29" ht="21.95" customHeight="1">
      <c r="A191" s="141">
        <v>300438</v>
      </c>
      <c r="B191" s="135" t="s">
        <v>87</v>
      </c>
      <c r="C191" s="219" t="s">
        <v>304</v>
      </c>
      <c r="D191" s="219" t="s">
        <v>89</v>
      </c>
      <c r="E191" s="147" t="s">
        <v>35</v>
      </c>
      <c r="F191" s="13"/>
      <c r="G191" s="14">
        <f>+SUM('31:29'!G191)</f>
        <v>9</v>
      </c>
      <c r="H191" s="14">
        <f>+SUM('31:29'!H191)</f>
        <v>0.66666666666666663</v>
      </c>
      <c r="I191" s="14">
        <f>+SUM('31:29'!I191)</f>
        <v>8.5666666666666664</v>
      </c>
      <c r="J191" s="14">
        <f>+SUM('31:29'!J191)</f>
        <v>30</v>
      </c>
      <c r="K191" s="145">
        <f t="shared" ref="K191:K198" si="23">G191*M191</f>
        <v>3029.4</v>
      </c>
      <c r="L191" s="145">
        <f t="shared" ref="L191:L198" si="24">I191*M191</f>
        <v>2883.54</v>
      </c>
      <c r="M191" s="145">
        <v>336.6</v>
      </c>
      <c r="N191" s="145">
        <f>+M191*1000/(45*10*18*60)*T191</f>
        <v>1.3851851851851851</v>
      </c>
      <c r="O191" s="14">
        <f>+SUM('31:29'!O191)</f>
        <v>0</v>
      </c>
      <c r="P191" s="145">
        <f t="shared" ref="P191:P198" si="25">N191*I191+O191*U191</f>
        <v>11.866419753086419</v>
      </c>
      <c r="Q191" s="14">
        <f>+SUM('31:29'!Q191)</f>
        <v>11</v>
      </c>
      <c r="R191" s="19">
        <f t="shared" ref="R191:R198" si="26">Q191*U191</f>
        <v>44</v>
      </c>
      <c r="S191" s="145">
        <f t="shared" ref="S191:S198" si="27">R191-P191</f>
        <v>32.133580246913581</v>
      </c>
      <c r="T191" s="20">
        <v>2</v>
      </c>
      <c r="U191" s="14">
        <f>+SUM('31:29'!U191)</f>
        <v>4</v>
      </c>
      <c r="V191" s="142"/>
      <c r="W191" s="14">
        <f>+SUM('31:29'!W191)</f>
        <v>0</v>
      </c>
      <c r="X191" s="14">
        <f>+SUM('31:29'!X191)</f>
        <v>0</v>
      </c>
      <c r="Y191" s="14">
        <f>+SUM('31:29'!Y191)</f>
        <v>0</v>
      </c>
      <c r="Z191" s="14">
        <f>+SUM('31:29'!Z191)</f>
        <v>0</v>
      </c>
      <c r="AA191" s="14">
        <f>+SUM('31:29'!AA191)</f>
        <v>0</v>
      </c>
      <c r="AB191" s="14">
        <f>+SUM('31:29'!AB191)</f>
        <v>0</v>
      </c>
      <c r="AC191" s="14">
        <f>+SUM('31:29'!AC191)</f>
        <v>0</v>
      </c>
    </row>
    <row r="192" spans="1:29" ht="21.95" customHeight="1">
      <c r="A192" s="141">
        <v>300439</v>
      </c>
      <c r="B192" s="135" t="s">
        <v>87</v>
      </c>
      <c r="C192" s="219" t="s">
        <v>304</v>
      </c>
      <c r="D192" s="219" t="s">
        <v>89</v>
      </c>
      <c r="E192" s="147" t="s">
        <v>66</v>
      </c>
      <c r="F192" s="13"/>
      <c r="G192" s="14">
        <f>+SUM('31:29'!G192)</f>
        <v>0</v>
      </c>
      <c r="H192" s="14">
        <f>+SUM('31:29'!H192)</f>
        <v>0</v>
      </c>
      <c r="I192" s="14">
        <f>+SUM('31:29'!I192)</f>
        <v>0</v>
      </c>
      <c r="J192" s="14">
        <f>+SUM('31:29'!J192)</f>
        <v>0</v>
      </c>
      <c r="K192" s="145">
        <f t="shared" si="23"/>
        <v>0</v>
      </c>
      <c r="L192" s="145">
        <f t="shared" si="24"/>
        <v>0</v>
      </c>
      <c r="M192" s="145">
        <v>336.6</v>
      </c>
      <c r="N192" s="145">
        <f>+M192*1000/(45*10*18*60)*T192</f>
        <v>1.3851851851851851</v>
      </c>
      <c r="O192" s="14">
        <f>+SUM('31:29'!O192)</f>
        <v>0</v>
      </c>
      <c r="P192" s="145">
        <f t="shared" si="25"/>
        <v>0</v>
      </c>
      <c r="Q192" s="14">
        <f>+SUM('31:29'!Q192)</f>
        <v>0</v>
      </c>
      <c r="R192" s="19">
        <f t="shared" si="26"/>
        <v>0</v>
      </c>
      <c r="S192" s="145">
        <f t="shared" si="27"/>
        <v>0</v>
      </c>
      <c r="T192" s="20">
        <v>2</v>
      </c>
      <c r="U192" s="14">
        <f>+SUM('31:29'!U192)</f>
        <v>0</v>
      </c>
      <c r="V192" s="142"/>
      <c r="W192" s="14">
        <f>+SUM('31:29'!W192)</f>
        <v>0</v>
      </c>
      <c r="X192" s="14">
        <f>+SUM('31:29'!X192)</f>
        <v>0</v>
      </c>
      <c r="Y192" s="14">
        <f>+SUM('31:29'!Y192)</f>
        <v>0</v>
      </c>
      <c r="Z192" s="14">
        <f>+SUM('31:29'!Z192)</f>
        <v>0</v>
      </c>
      <c r="AA192" s="14">
        <f>+SUM('31:29'!AA192)</f>
        <v>0</v>
      </c>
      <c r="AB192" s="14">
        <f>+SUM('31:29'!AB192)</f>
        <v>0</v>
      </c>
      <c r="AC192" s="14">
        <f>+SUM('31:29'!AC192)</f>
        <v>0</v>
      </c>
    </row>
    <row r="193" spans="1:29" ht="21.95" customHeight="1">
      <c r="A193" s="141">
        <v>300440</v>
      </c>
      <c r="B193" s="135" t="s">
        <v>87</v>
      </c>
      <c r="C193" s="219" t="s">
        <v>304</v>
      </c>
      <c r="D193" s="219" t="s">
        <v>89</v>
      </c>
      <c r="E193" s="147" t="s">
        <v>41</v>
      </c>
      <c r="F193" s="13"/>
      <c r="G193" s="14">
        <f>+SUM('31:29'!G193)</f>
        <v>0</v>
      </c>
      <c r="H193" s="14">
        <f>+SUM('31:29'!H193)</f>
        <v>0</v>
      </c>
      <c r="I193" s="14">
        <f>+SUM('31:29'!I193)</f>
        <v>0</v>
      </c>
      <c r="J193" s="14">
        <f>+SUM('31:29'!J193)</f>
        <v>0</v>
      </c>
      <c r="K193" s="145">
        <f t="shared" si="23"/>
        <v>0</v>
      </c>
      <c r="L193" s="145">
        <f t="shared" si="24"/>
        <v>0</v>
      </c>
      <c r="M193" s="145">
        <v>336.6</v>
      </c>
      <c r="N193" s="145">
        <f>+M193*1000/(45*10*18*60)*T193</f>
        <v>1.3851851851851851</v>
      </c>
      <c r="O193" s="14">
        <f>+SUM('31:29'!O193)</f>
        <v>0</v>
      </c>
      <c r="P193" s="145">
        <f t="shared" si="25"/>
        <v>0</v>
      </c>
      <c r="Q193" s="14">
        <f>+SUM('31:29'!Q193)</f>
        <v>0</v>
      </c>
      <c r="R193" s="19">
        <f t="shared" si="26"/>
        <v>0</v>
      </c>
      <c r="S193" s="145">
        <f t="shared" si="27"/>
        <v>0</v>
      </c>
      <c r="T193" s="20">
        <v>2</v>
      </c>
      <c r="U193" s="14">
        <f>+SUM('31:29'!U193)</f>
        <v>0</v>
      </c>
      <c r="V193" s="142"/>
      <c r="W193" s="14">
        <f>+SUM('31:29'!W193)</f>
        <v>0</v>
      </c>
      <c r="X193" s="14">
        <f>+SUM('31:29'!X193)</f>
        <v>0</v>
      </c>
      <c r="Y193" s="14">
        <f>+SUM('31:29'!Y193)</f>
        <v>0</v>
      </c>
      <c r="Z193" s="14">
        <f>+SUM('31:29'!Z193)</f>
        <v>0</v>
      </c>
      <c r="AA193" s="14">
        <f>+SUM('31:29'!AA193)</f>
        <v>0</v>
      </c>
      <c r="AB193" s="14">
        <f>+SUM('31:29'!AB193)</f>
        <v>0</v>
      </c>
      <c r="AC193" s="14">
        <f>+SUM('31:29'!AC193)</f>
        <v>0</v>
      </c>
    </row>
    <row r="194" spans="1:29" ht="21.95" customHeight="1">
      <c r="A194" s="141">
        <v>300441</v>
      </c>
      <c r="B194" s="135" t="s">
        <v>87</v>
      </c>
      <c r="C194" s="219" t="s">
        <v>304</v>
      </c>
      <c r="D194" s="219" t="s">
        <v>89</v>
      </c>
      <c r="E194" s="147" t="s">
        <v>37</v>
      </c>
      <c r="F194" s="13"/>
      <c r="G194" s="14">
        <f>+SUM('31:29'!G194)</f>
        <v>9</v>
      </c>
      <c r="H194" s="14">
        <f>+SUM('31:29'!H194)</f>
        <v>0.5</v>
      </c>
      <c r="I194" s="14">
        <f>+SUM('31:29'!I194)</f>
        <v>8.3333333333333339</v>
      </c>
      <c r="J194" s="14">
        <f>+SUM('31:29'!J194)</f>
        <v>350</v>
      </c>
      <c r="K194" s="145">
        <f t="shared" si="23"/>
        <v>3029.4</v>
      </c>
      <c r="L194" s="145">
        <f t="shared" si="24"/>
        <v>2805.0000000000005</v>
      </c>
      <c r="M194" s="145">
        <v>336.6</v>
      </c>
      <c r="N194" s="145">
        <f>+M194*1000/(45*10*18*60)*T194</f>
        <v>1.3851851851851851</v>
      </c>
      <c r="O194" s="14">
        <f>+SUM('31:29'!O194)</f>
        <v>0</v>
      </c>
      <c r="P194" s="145">
        <f t="shared" si="25"/>
        <v>11.543209876543211</v>
      </c>
      <c r="Q194" s="14">
        <f>+SUM('31:29'!Q194)</f>
        <v>11</v>
      </c>
      <c r="R194" s="19">
        <f t="shared" si="26"/>
        <v>55</v>
      </c>
      <c r="S194" s="145">
        <f t="shared" si="27"/>
        <v>43.456790123456791</v>
      </c>
      <c r="T194" s="20">
        <v>2</v>
      </c>
      <c r="U194" s="14">
        <f>+SUM('31:29'!U194)</f>
        <v>5</v>
      </c>
      <c r="V194" s="142"/>
      <c r="W194" s="14">
        <f>+SUM('31:29'!W194)</f>
        <v>0</v>
      </c>
      <c r="X194" s="14">
        <f>+SUM('31:29'!X194)</f>
        <v>0</v>
      </c>
      <c r="Y194" s="14">
        <f>+SUM('31:29'!Y194)</f>
        <v>0</v>
      </c>
      <c r="Z194" s="14">
        <f>+SUM('31:29'!Z194)</f>
        <v>0</v>
      </c>
      <c r="AA194" s="14">
        <f>+SUM('31:29'!AA194)</f>
        <v>0</v>
      </c>
      <c r="AB194" s="14">
        <f>+SUM('31:29'!AB194)</f>
        <v>0</v>
      </c>
      <c r="AC194" s="14">
        <f>+SUM('31:29'!AC194)</f>
        <v>0</v>
      </c>
    </row>
    <row r="195" spans="1:29" s="2" customFormat="1" ht="21.95" customHeight="1">
      <c r="A195" s="139">
        <v>300406</v>
      </c>
      <c r="B195" s="135" t="s">
        <v>163</v>
      </c>
      <c r="C195" s="230" t="s">
        <v>164</v>
      </c>
      <c r="D195" s="231"/>
      <c r="E195" s="149" t="s">
        <v>141</v>
      </c>
      <c r="F195" s="27"/>
      <c r="G195" s="14">
        <f>+SUM('31:29'!G195)</f>
        <v>0</v>
      </c>
      <c r="H195" s="14">
        <f>+SUM('31:29'!H195)</f>
        <v>0</v>
      </c>
      <c r="I195" s="14">
        <f>+SUM('31:29'!I195)</f>
        <v>0</v>
      </c>
      <c r="J195" s="14">
        <f>+SUM('31:29'!J195)</f>
        <v>0</v>
      </c>
      <c r="K195" s="136">
        <f t="shared" si="23"/>
        <v>0</v>
      </c>
      <c r="L195" s="145">
        <f t="shared" si="24"/>
        <v>0</v>
      </c>
      <c r="M195" s="145">
        <v>628.29999999999995</v>
      </c>
      <c r="N195" s="15">
        <f>+M195*1000/(132*4*18*60)*T195</f>
        <v>5.5090838945005611</v>
      </c>
      <c r="O195" s="14">
        <f>+SUM('31:29'!O195)</f>
        <v>0</v>
      </c>
      <c r="P195" s="145">
        <f t="shared" si="25"/>
        <v>0</v>
      </c>
      <c r="Q195" s="14">
        <f>+SUM('31:29'!Q195)</f>
        <v>0</v>
      </c>
      <c r="R195" s="19">
        <f t="shared" si="26"/>
        <v>0</v>
      </c>
      <c r="S195" s="145">
        <f t="shared" si="27"/>
        <v>0</v>
      </c>
      <c r="T195" s="20">
        <v>5</v>
      </c>
      <c r="U195" s="14">
        <f>+SUM('31:29'!U195)</f>
        <v>0</v>
      </c>
      <c r="V195" s="142" t="str">
        <f t="array" ref="V195">IF(ISERROR(L195/K195),"",L195/K195)</f>
        <v/>
      </c>
      <c r="W195" s="14">
        <f>+SUM('31:29'!W195)</f>
        <v>0</v>
      </c>
      <c r="X195" s="14">
        <f>+SUM('31:29'!X195)</f>
        <v>0</v>
      </c>
      <c r="Y195" s="14">
        <f>+SUM('31:29'!Y195)</f>
        <v>0</v>
      </c>
      <c r="Z195" s="14">
        <f>+SUM('31:29'!Z195)</f>
        <v>0</v>
      </c>
      <c r="AA195" s="14">
        <f>+SUM('31:29'!AA195)</f>
        <v>0</v>
      </c>
      <c r="AB195" s="14">
        <f>+SUM('31:29'!AB195)</f>
        <v>0</v>
      </c>
      <c r="AC195" s="14">
        <f>+SUM('31:29'!AC195)</f>
        <v>0</v>
      </c>
    </row>
    <row r="196" spans="1:29" s="2" customFormat="1" ht="21.95" customHeight="1">
      <c r="A196" s="139">
        <v>300407</v>
      </c>
      <c r="B196" s="135" t="s">
        <v>163</v>
      </c>
      <c r="C196" s="230" t="s">
        <v>164</v>
      </c>
      <c r="D196" s="231"/>
      <c r="E196" s="149" t="s">
        <v>165</v>
      </c>
      <c r="F196" s="27"/>
      <c r="G196" s="14">
        <f>+SUM('31:29'!G196)</f>
        <v>0</v>
      </c>
      <c r="H196" s="14">
        <f>+SUM('31:29'!H196)</f>
        <v>0</v>
      </c>
      <c r="I196" s="14">
        <f>+SUM('31:29'!I196)</f>
        <v>0</v>
      </c>
      <c r="J196" s="14">
        <f>+SUM('31:29'!J196)</f>
        <v>0</v>
      </c>
      <c r="K196" s="136">
        <f t="shared" si="23"/>
        <v>0</v>
      </c>
      <c r="L196" s="145">
        <f t="shared" si="24"/>
        <v>0</v>
      </c>
      <c r="M196" s="145">
        <v>628.29999999999995</v>
      </c>
      <c r="N196" s="15">
        <f>+M196*1000/(132*4*18*60)*T196</f>
        <v>5.5090838945005611</v>
      </c>
      <c r="O196" s="14">
        <f>+SUM('31:29'!O196)</f>
        <v>0</v>
      </c>
      <c r="P196" s="145">
        <f t="shared" si="25"/>
        <v>0</v>
      </c>
      <c r="Q196" s="14">
        <f>+SUM('31:29'!Q196)</f>
        <v>0</v>
      </c>
      <c r="R196" s="19">
        <f t="shared" si="26"/>
        <v>0</v>
      </c>
      <c r="S196" s="145">
        <f t="shared" si="27"/>
        <v>0</v>
      </c>
      <c r="T196" s="20">
        <v>5</v>
      </c>
      <c r="U196" s="14">
        <f>+SUM('31:29'!U196)</f>
        <v>0</v>
      </c>
      <c r="V196" s="142" t="str">
        <f t="array" ref="V196">IF(ISERROR(L196/K196),"",L196/K196)</f>
        <v/>
      </c>
      <c r="W196" s="14">
        <f>+SUM('31:29'!W196)</f>
        <v>0</v>
      </c>
      <c r="X196" s="14">
        <f>+SUM('31:29'!X196)</f>
        <v>0</v>
      </c>
      <c r="Y196" s="14">
        <f>+SUM('31:29'!Y196)</f>
        <v>0</v>
      </c>
      <c r="Z196" s="14">
        <f>+SUM('31:29'!Z196)</f>
        <v>0</v>
      </c>
      <c r="AA196" s="14">
        <f>+SUM('31:29'!AA196)</f>
        <v>0</v>
      </c>
      <c r="AB196" s="14">
        <f>+SUM('31:29'!AB196)</f>
        <v>0</v>
      </c>
      <c r="AC196" s="14">
        <f>+SUM('31:29'!AC196)</f>
        <v>0</v>
      </c>
    </row>
    <row r="197" spans="1:29" s="2" customFormat="1" ht="21.95" customHeight="1">
      <c r="A197" s="139">
        <v>300408</v>
      </c>
      <c r="B197" s="135" t="s">
        <v>163</v>
      </c>
      <c r="C197" s="230" t="s">
        <v>164</v>
      </c>
      <c r="D197" s="231"/>
      <c r="E197" s="149" t="s">
        <v>41</v>
      </c>
      <c r="F197" s="27"/>
      <c r="G197" s="14">
        <f>+SUM('31:29'!G197)</f>
        <v>0</v>
      </c>
      <c r="H197" s="14">
        <f>+SUM('31:29'!H197)</f>
        <v>0</v>
      </c>
      <c r="I197" s="14">
        <f>+SUM('31:29'!I197)</f>
        <v>0</v>
      </c>
      <c r="J197" s="14">
        <f>+SUM('31:29'!J197)</f>
        <v>0</v>
      </c>
      <c r="K197" s="136">
        <f t="shared" si="23"/>
        <v>0</v>
      </c>
      <c r="L197" s="145">
        <f t="shared" si="24"/>
        <v>0</v>
      </c>
      <c r="M197" s="145">
        <v>628.29999999999995</v>
      </c>
      <c r="N197" s="15">
        <f>+M197*1000/(132*4*18*60)*T197</f>
        <v>5.5090838945005611</v>
      </c>
      <c r="O197" s="14">
        <f>+SUM('31:29'!O197)</f>
        <v>0</v>
      </c>
      <c r="P197" s="145">
        <f t="shared" si="25"/>
        <v>0</v>
      </c>
      <c r="Q197" s="14">
        <f>+SUM('31:29'!Q197)</f>
        <v>0</v>
      </c>
      <c r="R197" s="19">
        <f t="shared" si="26"/>
        <v>0</v>
      </c>
      <c r="S197" s="145">
        <f t="shared" si="27"/>
        <v>0</v>
      </c>
      <c r="T197" s="20">
        <v>5</v>
      </c>
      <c r="U197" s="14">
        <f>+SUM('31:29'!U197)</f>
        <v>0</v>
      </c>
      <c r="V197" s="142" t="str">
        <f t="array" ref="V197">IF(ISERROR(L197/K197),"",L197/K197)</f>
        <v/>
      </c>
      <c r="W197" s="14">
        <f>+SUM('31:29'!W197)</f>
        <v>0</v>
      </c>
      <c r="X197" s="14">
        <f>+SUM('31:29'!X197)</f>
        <v>0</v>
      </c>
      <c r="Y197" s="14">
        <f>+SUM('31:29'!Y197)</f>
        <v>0</v>
      </c>
      <c r="Z197" s="14">
        <f>+SUM('31:29'!Z197)</f>
        <v>0</v>
      </c>
      <c r="AA197" s="14">
        <f>+SUM('31:29'!AA197)</f>
        <v>0</v>
      </c>
      <c r="AB197" s="14">
        <f>+SUM('31:29'!AB197)</f>
        <v>0</v>
      </c>
      <c r="AC197" s="14">
        <f>+SUM('31:29'!AC197)</f>
        <v>0</v>
      </c>
    </row>
    <row r="198" spans="1:29" s="2" customFormat="1" ht="21.95" customHeight="1">
      <c r="A198" s="139">
        <v>300409</v>
      </c>
      <c r="B198" s="135" t="s">
        <v>163</v>
      </c>
      <c r="C198" s="230" t="s">
        <v>164</v>
      </c>
      <c r="D198" s="231"/>
      <c r="E198" s="149" t="s">
        <v>166</v>
      </c>
      <c r="F198" s="27"/>
      <c r="G198" s="14">
        <f>+SUM('31:29'!G198)</f>
        <v>0</v>
      </c>
      <c r="H198" s="14">
        <f>+SUM('31:29'!H198)</f>
        <v>0</v>
      </c>
      <c r="I198" s="14">
        <f>+SUM('31:29'!I198)</f>
        <v>0</v>
      </c>
      <c r="J198" s="14">
        <f>+SUM('31:29'!J198)</f>
        <v>0</v>
      </c>
      <c r="K198" s="136">
        <f t="shared" si="23"/>
        <v>0</v>
      </c>
      <c r="L198" s="145">
        <f t="shared" si="24"/>
        <v>0</v>
      </c>
      <c r="M198" s="145">
        <v>628.29999999999995</v>
      </c>
      <c r="N198" s="15">
        <f>+M198*1000/(132*4*18*60)*T198</f>
        <v>5.5090838945005611</v>
      </c>
      <c r="O198" s="14">
        <f>+SUM('31:29'!O198)</f>
        <v>0</v>
      </c>
      <c r="P198" s="145">
        <f t="shared" si="25"/>
        <v>0</v>
      </c>
      <c r="Q198" s="14">
        <f>+SUM('31:29'!Q198)</f>
        <v>0</v>
      </c>
      <c r="R198" s="19">
        <f t="shared" si="26"/>
        <v>0</v>
      </c>
      <c r="S198" s="145">
        <f t="shared" si="27"/>
        <v>0</v>
      </c>
      <c r="T198" s="20">
        <v>5</v>
      </c>
      <c r="U198" s="14">
        <f>+SUM('31:29'!U198)</f>
        <v>0</v>
      </c>
      <c r="V198" s="142" t="str">
        <f t="array" ref="V198">IF(ISERROR(L198/K198),"",L198/K198)</f>
        <v/>
      </c>
      <c r="W198" s="14">
        <f>+SUM('31:29'!W198)</f>
        <v>0</v>
      </c>
      <c r="X198" s="14">
        <f>+SUM('31:29'!X198)</f>
        <v>0</v>
      </c>
      <c r="Y198" s="14">
        <f>+SUM('31:29'!Y198)</f>
        <v>0</v>
      </c>
      <c r="Z198" s="14">
        <f>+SUM('31:29'!Z198)</f>
        <v>0</v>
      </c>
      <c r="AA198" s="14">
        <f>+SUM('31:29'!AA198)</f>
        <v>0</v>
      </c>
      <c r="AB198" s="14">
        <f>+SUM('31:29'!AB198)</f>
        <v>0</v>
      </c>
      <c r="AC198" s="14">
        <f>+SUM('31:29'!AC198)</f>
        <v>0</v>
      </c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45">
        <f t="array" ref="G199">SUM(IF(ISERROR(G6:G198),“”,G6:G198))</f>
        <v>269.053</v>
      </c>
      <c r="H199" s="145">
        <f t="array" ref="H199">SUM(IF(ISERROR(H6:H198),“”,H6:H198))</f>
        <v>15.145238095238092</v>
      </c>
      <c r="I199" s="145">
        <f t="array" ref="I199">SUM(IF(ISERROR(I6:I198),“”,I6:I198))</f>
        <v>261.94238095238092</v>
      </c>
      <c r="J199" s="145">
        <f t="array" ref="J199">SUM(IF(ISERROR(J6:J198),“”,J6:J198))</f>
        <v>4820</v>
      </c>
      <c r="K199" s="14">
        <f>+SUM('31:29'!K199)</f>
        <v>128032.17809999999</v>
      </c>
      <c r="L199" s="14">
        <f>+SUM('31:29'!L199)</f>
        <v>124696.21969047619</v>
      </c>
      <c r="M199" s="145"/>
      <c r="N199" s="145"/>
      <c r="O199" s="145">
        <f>SUM(O6:O190)</f>
        <v>6</v>
      </c>
      <c r="P199" s="14">
        <f>+SUM('31:29'!P199)</f>
        <v>1654.7280903930182</v>
      </c>
      <c r="Q199" s="145"/>
      <c r="R199" s="14">
        <f>+SUM('31:29'!R199)</f>
        <v>1899</v>
      </c>
      <c r="S199" s="145">
        <f t="array" ref="S199">SUM(IF(ISERROR(S6:S198),“”,S6:S198))</f>
        <v>643.36227997735227</v>
      </c>
      <c r="T199" s="145"/>
      <c r="U199" s="145"/>
      <c r="V199" s="142">
        <f>IF(ISERROR(L199/K199),"",L199/K199)</f>
        <v>0.97394437508578324</v>
      </c>
      <c r="W199" s="145">
        <f t="array" ref="W199">SUM(IF(ISERROR(W6:W198),“”,W6:W198))</f>
        <v>2.1666666666666665</v>
      </c>
      <c r="X199" s="145">
        <f t="array" ref="X199">SUM(IF(ISERROR(X6:X198),“”,X6:X198))</f>
        <v>14.616666666666665</v>
      </c>
      <c r="Y199" s="145">
        <f t="array" ref="Y199">SUM(IF(ISERROR(Y6:Y198),“”,Y6:Y198))</f>
        <v>0</v>
      </c>
      <c r="Z199" s="145">
        <f t="array" ref="Z199">SUM(IF(ISERROR(Z6:Z198),“”,Z6:Z198))</f>
        <v>0</v>
      </c>
      <c r="AA199" s="145">
        <f t="array" ref="AA199">SUM(IF(ISERROR(AA6:AA198),“”,AA6:AA198))</f>
        <v>4</v>
      </c>
      <c r="AB199" s="145">
        <f t="array" ref="AB199">SUM(IF(ISERROR(AB6:AB198),“”,AB6:AB198))</f>
        <v>0</v>
      </c>
      <c r="AC199" s="145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>
        <f>IF(ISERROR(P199/R199),"",P199/R199)</f>
        <v>0.87136813606794006</v>
      </c>
      <c r="P200" s="245"/>
      <c r="Q200" s="245"/>
      <c r="R200" s="246"/>
      <c r="S200" s="44"/>
      <c r="T200" s="45"/>
      <c r="U200" s="45"/>
      <c r="V200" s="45"/>
      <c r="W200" s="247">
        <f>SUM(W199:AC199)</f>
        <v>20.783333333333331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331">
        <f>+SUM('31:29'!E202)</f>
        <v>676.5</v>
      </c>
      <c r="F202" s="331"/>
      <c r="G202" s="331">
        <f>+SUM('31:29'!G202)</f>
        <v>676.5</v>
      </c>
      <c r="H202" s="331"/>
      <c r="I202" s="250">
        <f>G202-E202</f>
        <v>0</v>
      </c>
      <c r="J202" s="250"/>
      <c r="K202" s="252">
        <f t="array" ref="K202">IF(ISERROR(I202/E202),"",I202/E202)</f>
        <v>0</v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331">
        <f>+SUM('31:29'!E203)</f>
        <v>21580.7</v>
      </c>
      <c r="F203" s="331"/>
      <c r="G203" s="331">
        <f>+SUM('31:29'!G203)</f>
        <v>22441.300000000003</v>
      </c>
      <c r="H203" s="331"/>
      <c r="I203" s="250">
        <f>G203-E203</f>
        <v>860.60000000000218</v>
      </c>
      <c r="J203" s="250"/>
      <c r="K203" s="252">
        <f t="array" ref="K203">IF(ISERROR(I203/E203),"",I203/E203)</f>
        <v>3.9878224524691142E-2</v>
      </c>
      <c r="L203" s="252"/>
      <c r="M203" s="237"/>
      <c r="N203" s="238"/>
      <c r="O203" s="253"/>
      <c r="P203" s="253"/>
      <c r="Q203" s="254" t="s">
        <v>185</v>
      </c>
      <c r="R203" s="254"/>
      <c r="S203" s="331">
        <f>+SUM('31:29'!S203)</f>
        <v>124</v>
      </c>
      <c r="T203" s="331"/>
      <c r="U203" s="331">
        <f>+SUM('31:29'!U203)</f>
        <v>112</v>
      </c>
      <c r="V203" s="331"/>
      <c r="W203" s="254">
        <f t="shared" ref="W203:W209" si="28">S203*11</f>
        <v>1364</v>
      </c>
      <c r="X203" s="254"/>
      <c r="Y203" s="254">
        <f t="shared" ref="Y203:Y209" si="29">U203*11</f>
        <v>1232</v>
      </c>
      <c r="Z203" s="254"/>
      <c r="AA203" s="254">
        <f t="shared" ref="AA203:AA210" si="30">Y203-W203</f>
        <v>-132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331">
        <f>+SUM('31:29'!E204)</f>
        <v>6936</v>
      </c>
      <c r="F204" s="331"/>
      <c r="G204" s="331">
        <f>+SUM('31:29'!G204)</f>
        <v>6873</v>
      </c>
      <c r="H204" s="331"/>
      <c r="I204" s="250">
        <f>G204-E204</f>
        <v>-63</v>
      </c>
      <c r="J204" s="250"/>
      <c r="K204" s="252">
        <f t="array" ref="K204">IF(ISERROR(I204/E204),"",I204/E204)</f>
        <v>-9.0830449826989623E-3</v>
      </c>
      <c r="L204" s="252"/>
      <c r="M204" s="237"/>
      <c r="N204" s="238"/>
      <c r="O204" s="253"/>
      <c r="P204" s="253"/>
      <c r="Q204" s="254" t="s">
        <v>187</v>
      </c>
      <c r="R204" s="254"/>
      <c r="S204" s="331">
        <f>+SUM('31:29'!S204)</f>
        <v>24</v>
      </c>
      <c r="T204" s="331"/>
      <c r="U204" s="331">
        <f>+SUM('31:29'!U204)</f>
        <v>24</v>
      </c>
      <c r="V204" s="331"/>
      <c r="W204" s="254">
        <f t="shared" si="28"/>
        <v>264</v>
      </c>
      <c r="X204" s="254"/>
      <c r="Y204" s="254">
        <f t="shared" si="29"/>
        <v>264</v>
      </c>
      <c r="Z204" s="254"/>
      <c r="AA204" s="254">
        <f t="shared" si="30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331">
        <f>+SUM('31:29'!S205)</f>
        <v>3</v>
      </c>
      <c r="T205" s="331"/>
      <c r="U205" s="331">
        <f>+SUM('31:29'!U205)</f>
        <v>7</v>
      </c>
      <c r="V205" s="331"/>
      <c r="W205" s="254">
        <f t="shared" si="28"/>
        <v>33</v>
      </c>
      <c r="X205" s="254"/>
      <c r="Y205" s="254">
        <f t="shared" si="29"/>
        <v>77</v>
      </c>
      <c r="Z205" s="254"/>
      <c r="AA205" s="254">
        <f t="shared" si="30"/>
        <v>44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43">
        <v>5</v>
      </c>
      <c r="G206" s="331">
        <f>+SUM('31:29'!G206)</f>
        <v>616806</v>
      </c>
      <c r="H206" s="331"/>
      <c r="I206" s="331">
        <f>+SUM('31:29'!I206)</f>
        <v>616263</v>
      </c>
      <c r="J206" s="331"/>
      <c r="K206" s="260">
        <f>G206-I206</f>
        <v>543</v>
      </c>
      <c r="L206" s="260"/>
      <c r="M206" s="261">
        <f t="array" ref="M206">IF(ISERROR(K206/L199),"",K206/(L199/1000))</f>
        <v>4.3545826918237536</v>
      </c>
      <c r="N206" s="261"/>
      <c r="O206" s="253"/>
      <c r="P206" s="253"/>
      <c r="Q206" s="254" t="s">
        <v>197</v>
      </c>
      <c r="R206" s="254"/>
      <c r="S206" s="331">
        <f>+SUM('31:29'!S206)</f>
        <v>3</v>
      </c>
      <c r="T206" s="331"/>
      <c r="U206" s="331">
        <f>+SUM('31:29'!U206)</f>
        <v>6</v>
      </c>
      <c r="V206" s="331"/>
      <c r="W206" s="254">
        <f t="shared" si="28"/>
        <v>33</v>
      </c>
      <c r="X206" s="254"/>
      <c r="Y206" s="254">
        <f t="shared" si="29"/>
        <v>66</v>
      </c>
      <c r="Z206" s="254"/>
      <c r="AA206" s="254">
        <f t="shared" si="30"/>
        <v>33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43">
        <v>105</v>
      </c>
      <c r="G207" s="331">
        <f>+SUM('31:29'!G207)</f>
        <v>24760464</v>
      </c>
      <c r="H207" s="331"/>
      <c r="I207" s="331">
        <f>+SUM('31:29'!I207)</f>
        <v>24752334</v>
      </c>
      <c r="J207" s="331"/>
      <c r="K207" s="260">
        <f>G207-I207</f>
        <v>8130</v>
      </c>
      <c r="L207" s="260"/>
      <c r="M207" s="261">
        <f t="array" ref="M207">IF(ISERROR(K207/L199),"",K207/(L199/1000))</f>
        <v>65.198448037803161</v>
      </c>
      <c r="N207" s="261"/>
      <c r="O207" s="253"/>
      <c r="P207" s="253"/>
      <c r="Q207" s="254" t="s">
        <v>200</v>
      </c>
      <c r="R207" s="254"/>
      <c r="S207" s="331">
        <f>+SUM('31:29'!S207)</f>
        <v>6</v>
      </c>
      <c r="T207" s="331"/>
      <c r="U207" s="331">
        <f>+SUM('31:29'!U207)</f>
        <v>3</v>
      </c>
      <c r="V207" s="331"/>
      <c r="W207" s="254">
        <f t="shared" si="28"/>
        <v>66</v>
      </c>
      <c r="X207" s="254"/>
      <c r="Y207" s="254">
        <f t="shared" si="29"/>
        <v>33</v>
      </c>
      <c r="Z207" s="254"/>
      <c r="AA207" s="254">
        <f t="shared" si="30"/>
        <v>-33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43">
        <v>0.55000000000000004</v>
      </c>
      <c r="G208" s="331">
        <f>+SUM('31:29'!G208)</f>
        <v>114083</v>
      </c>
      <c r="H208" s="331"/>
      <c r="I208" s="331">
        <f>+SUM('31:29'!I208)</f>
        <v>114005</v>
      </c>
      <c r="J208" s="331"/>
      <c r="K208" s="260">
        <f>G208-I208</f>
        <v>78</v>
      </c>
      <c r="L208" s="260"/>
      <c r="M208" s="264">
        <f t="array" ref="M208">IF(ISERROR(K208/L199),"",K208/(L199/1000))</f>
        <v>0.62552016567634028</v>
      </c>
      <c r="N208" s="264"/>
      <c r="O208" s="253"/>
      <c r="P208" s="253"/>
      <c r="Q208" s="254" t="s">
        <v>203</v>
      </c>
      <c r="R208" s="254"/>
      <c r="S208" s="331">
        <f>+SUM('31:29'!S208)</f>
        <v>4</v>
      </c>
      <c r="T208" s="331"/>
      <c r="U208" s="331">
        <f>+SUM('31:29'!U208)</f>
        <v>4</v>
      </c>
      <c r="V208" s="331"/>
      <c r="W208" s="254">
        <f t="shared" si="28"/>
        <v>44</v>
      </c>
      <c r="X208" s="254"/>
      <c r="Y208" s="254">
        <f t="shared" si="29"/>
        <v>44</v>
      </c>
      <c r="Z208" s="254"/>
      <c r="AA208" s="254">
        <f t="shared" si="30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331">
        <f>+SUM('31:29'!K209)</f>
        <v>16.32</v>
      </c>
      <c r="L209" s="331"/>
      <c r="M209" s="265">
        <f t="array" ref="M209">IF(ISERROR((K209+K210)/L199),"",((K209+K210)*1000)/(L199/1000))</f>
        <v>130.8780654338189</v>
      </c>
      <c r="N209" s="266"/>
      <c r="O209" s="253"/>
      <c r="P209" s="253"/>
      <c r="Q209" s="254" t="s">
        <v>206</v>
      </c>
      <c r="R209" s="254"/>
      <c r="S209" s="331">
        <f>+SUM('31:29'!S209)</f>
        <v>12</v>
      </c>
      <c r="T209" s="331"/>
      <c r="U209" s="331">
        <f>+SUM('31:29'!U209)</f>
        <v>15</v>
      </c>
      <c r="V209" s="331"/>
      <c r="W209" s="254">
        <f t="shared" si="28"/>
        <v>132</v>
      </c>
      <c r="X209" s="254"/>
      <c r="Y209" s="254">
        <f t="shared" si="29"/>
        <v>165</v>
      </c>
      <c r="Z209" s="254"/>
      <c r="AA209" s="254">
        <f t="shared" si="30"/>
        <v>33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331">
        <f>+SUM('31:29'!K210)</f>
        <v>0</v>
      </c>
      <c r="L210" s="331"/>
      <c r="M210" s="267"/>
      <c r="N210" s="268"/>
      <c r="O210" s="253"/>
      <c r="P210" s="253"/>
      <c r="Q210" s="254" t="s">
        <v>208</v>
      </c>
      <c r="R210" s="254"/>
      <c r="S210" s="255">
        <f>SUM(S203:T209)</f>
        <v>176</v>
      </c>
      <c r="T210" s="255"/>
      <c r="U210" s="255">
        <f>SUM(U203:V209)</f>
        <v>171</v>
      </c>
      <c r="V210" s="255"/>
      <c r="W210" s="331">
        <f>+SUM('31:29'!W210)</f>
        <v>1936</v>
      </c>
      <c r="X210" s="331"/>
      <c r="Y210" s="331">
        <f>+SUM('31:29'!Y210)</f>
        <v>1881</v>
      </c>
      <c r="Z210" s="331"/>
      <c r="AA210" s="254">
        <f t="shared" si="30"/>
        <v>-55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>
        <f>IF(ISERROR(K208/K209),"",K208/K209)</f>
        <v>4.7794117647058822</v>
      </c>
      <c r="N211" s="274"/>
      <c r="O211" s="253"/>
      <c r="P211" s="253"/>
      <c r="Q211" s="251" t="s">
        <v>211</v>
      </c>
      <c r="R211" s="251"/>
      <c r="S211" s="275">
        <f t="array" ref="S211">IF(ISERROR(L199/Y210),"",L199/Y210)</f>
        <v>66.292514455330249</v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35" t="s">
        <v>25</v>
      </c>
      <c r="S214" s="220"/>
      <c r="T214" s="222"/>
      <c r="U214" s="222"/>
      <c r="V214" s="224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1">
        <v>300320</v>
      </c>
      <c r="B215" s="135" t="s">
        <v>33</v>
      </c>
      <c r="C215" s="232" t="s">
        <v>34</v>
      </c>
      <c r="D215" s="232"/>
      <c r="E215" s="147" t="s">
        <v>35</v>
      </c>
      <c r="F215" s="13"/>
      <c r="G215" s="14">
        <f>+SUM('31:29'!G215)</f>
        <v>7.58</v>
      </c>
      <c r="H215" s="14">
        <f>+SUM('31:29'!H215)</f>
        <v>0.58333333333333337</v>
      </c>
      <c r="I215" s="14">
        <f>+SUM('31:29'!I215)</f>
        <v>6.8333333333333339</v>
      </c>
      <c r="J215" s="14">
        <f>+SUM('31:29'!J215)</f>
        <v>450</v>
      </c>
      <c r="K215" s="145">
        <f t="shared" ref="K215:K285" si="31">G215*M215</f>
        <v>4802.6880000000001</v>
      </c>
      <c r="L215" s="145">
        <f t="shared" ref="L215:L285" si="32">I215*M215</f>
        <v>4329.6000000000004</v>
      </c>
      <c r="M215" s="145">
        <v>633.6</v>
      </c>
      <c r="N215" s="145">
        <f t="shared" ref="N215:N222" si="33">+M215*1000/(28.3*10*40*60)*T215</f>
        <v>4.6643109540636036</v>
      </c>
      <c r="O215" s="14">
        <f>+SUM('31:29'!O215)</f>
        <v>6.5</v>
      </c>
      <c r="P215" s="145">
        <f t="shared" ref="P215:P285" si="34">N215*I215+O215*U215</f>
        <v>57.872791519434628</v>
      </c>
      <c r="Q215" s="14">
        <f>+SUM('31:29'!Q215)</f>
        <v>12</v>
      </c>
      <c r="R215" s="19">
        <f t="shared" ref="R215:R285" si="35">Q215*U215</f>
        <v>48</v>
      </c>
      <c r="S215" s="145">
        <f t="shared" ref="S215:S285" si="36">R215-P215</f>
        <v>-9.8727915194346281</v>
      </c>
      <c r="T215" s="20">
        <v>5</v>
      </c>
      <c r="U215" s="14">
        <f>+SUM('31:29'!U215)</f>
        <v>4</v>
      </c>
      <c r="V215" s="142">
        <f t="array" ref="V215">IF(ISERROR(L215/K215),"",L215/K215)</f>
        <v>0.90149516270888308</v>
      </c>
      <c r="W215" s="14">
        <f>+SUM('31:29'!W215)</f>
        <v>0</v>
      </c>
      <c r="X215" s="14">
        <f>+SUM('31:29'!X215)</f>
        <v>1.4166666666666667</v>
      </c>
      <c r="Y215" s="14">
        <f>+SUM('31:29'!Y215)</f>
        <v>0</v>
      </c>
      <c r="Z215" s="14">
        <f>+SUM('31:29'!Z215)</f>
        <v>0</v>
      </c>
      <c r="AA215" s="14">
        <f>+SUM('31:29'!AA215)</f>
        <v>2</v>
      </c>
      <c r="AB215" s="14">
        <f>+SUM('31:29'!AB215)</f>
        <v>0</v>
      </c>
      <c r="AC215" s="14">
        <f>+SUM('31:29'!AC215)</f>
        <v>0</v>
      </c>
    </row>
    <row r="216" spans="1:29" s="2" customFormat="1" ht="21.95" customHeight="1">
      <c r="A216" s="141">
        <v>300318</v>
      </c>
      <c r="B216" s="144" t="s">
        <v>33</v>
      </c>
      <c r="C216" s="329" t="s">
        <v>34</v>
      </c>
      <c r="D216" s="329"/>
      <c r="E216" s="48" t="s">
        <v>36</v>
      </c>
      <c r="F216" s="146"/>
      <c r="G216" s="14">
        <f>+SUM('31:29'!G216)</f>
        <v>0</v>
      </c>
      <c r="H216" s="14">
        <f>+SUM('31:29'!H216)</f>
        <v>0</v>
      </c>
      <c r="I216" s="14">
        <f>+SUM('31:29'!I216)</f>
        <v>0</v>
      </c>
      <c r="J216" s="14">
        <f>+SUM('31:29'!J216)</f>
        <v>0</v>
      </c>
      <c r="K216" s="145">
        <f t="shared" si="31"/>
        <v>0</v>
      </c>
      <c r="L216" s="145">
        <f t="shared" si="32"/>
        <v>0</v>
      </c>
      <c r="M216" s="145">
        <v>633.6</v>
      </c>
      <c r="N216" s="145">
        <f t="shared" si="33"/>
        <v>3.7314487632508833</v>
      </c>
      <c r="O216" s="14">
        <f>+SUM('31:29'!O216)</f>
        <v>0</v>
      </c>
      <c r="P216" s="145">
        <f t="shared" si="34"/>
        <v>0</v>
      </c>
      <c r="Q216" s="14">
        <f>+SUM('31:29'!Q216)</f>
        <v>0</v>
      </c>
      <c r="R216" s="19">
        <f t="shared" si="35"/>
        <v>0</v>
      </c>
      <c r="S216" s="145">
        <f t="shared" si="36"/>
        <v>0</v>
      </c>
      <c r="T216" s="20">
        <v>4</v>
      </c>
      <c r="U216" s="14">
        <f>+SUM('31:29'!U216)</f>
        <v>0</v>
      </c>
      <c r="V216" s="142" t="str">
        <f t="array" ref="V216">IF(ISERROR(L216/K216),"",L216/K216)</f>
        <v/>
      </c>
      <c r="W216" s="14">
        <f>+SUM('31:29'!W216)</f>
        <v>0</v>
      </c>
      <c r="X216" s="14">
        <f>+SUM('31:29'!X216)</f>
        <v>0</v>
      </c>
      <c r="Y216" s="14">
        <f>+SUM('31:29'!Y216)</f>
        <v>0</v>
      </c>
      <c r="Z216" s="14">
        <f>+SUM('31:29'!Z216)</f>
        <v>0</v>
      </c>
      <c r="AA216" s="14">
        <f>+SUM('31:29'!AA216)</f>
        <v>0</v>
      </c>
      <c r="AB216" s="14">
        <f>+SUM('31:29'!AB216)</f>
        <v>0</v>
      </c>
      <c r="AC216" s="14">
        <f>+SUM('31:29'!AC216)</f>
        <v>0</v>
      </c>
    </row>
    <row r="217" spans="1:29" s="2" customFormat="1" ht="21.95" customHeight="1">
      <c r="A217" s="141">
        <v>300319</v>
      </c>
      <c r="B217" s="144" t="s">
        <v>33</v>
      </c>
      <c r="C217" s="329" t="s">
        <v>34</v>
      </c>
      <c r="D217" s="329"/>
      <c r="E217" s="48" t="s">
        <v>37</v>
      </c>
      <c r="F217" s="146"/>
      <c r="G217" s="14">
        <f>+SUM('31:29'!G217)</f>
        <v>7.5</v>
      </c>
      <c r="H217" s="14">
        <f>+SUM('31:29'!H217)</f>
        <v>0</v>
      </c>
      <c r="I217" s="14">
        <f>+SUM('31:29'!I217)</f>
        <v>6.8333333333333339</v>
      </c>
      <c r="J217" s="14">
        <f>+SUM('31:29'!J217)</f>
        <v>400</v>
      </c>
      <c r="K217" s="145">
        <f t="shared" si="31"/>
        <v>4752</v>
      </c>
      <c r="L217" s="145">
        <f t="shared" si="32"/>
        <v>4329.6000000000004</v>
      </c>
      <c r="M217" s="145">
        <v>633.6</v>
      </c>
      <c r="N217" s="145">
        <f t="shared" si="33"/>
        <v>3.7314487632508833</v>
      </c>
      <c r="O217" s="14">
        <f>+SUM('31:29'!O217)</f>
        <v>0.5</v>
      </c>
      <c r="P217" s="145">
        <f t="shared" si="34"/>
        <v>27.498233215547703</v>
      </c>
      <c r="Q217" s="14">
        <f>+SUM('31:29'!Q217)</f>
        <v>12.5</v>
      </c>
      <c r="R217" s="19">
        <f t="shared" si="35"/>
        <v>50</v>
      </c>
      <c r="S217" s="145">
        <f t="shared" si="36"/>
        <v>22.501766784452297</v>
      </c>
      <c r="T217" s="20">
        <v>4</v>
      </c>
      <c r="U217" s="14">
        <f>+SUM('31:29'!U217)</f>
        <v>4</v>
      </c>
      <c r="V217" s="142">
        <f t="array" ref="V217">IF(ISERROR(L217/K217),"",L217/K217)</f>
        <v>0.9111111111111112</v>
      </c>
      <c r="W217" s="14">
        <f>+SUM('31:29'!W217)</f>
        <v>0</v>
      </c>
      <c r="X217" s="14">
        <f>+SUM('31:29'!X217)</f>
        <v>0</v>
      </c>
      <c r="Y217" s="14">
        <f>+SUM('31:29'!Y217)</f>
        <v>0</v>
      </c>
      <c r="Z217" s="14">
        <f>+SUM('31:29'!Z217)</f>
        <v>0</v>
      </c>
      <c r="AA217" s="14">
        <f>+SUM('31:29'!AA217)</f>
        <v>0</v>
      </c>
      <c r="AB217" s="14">
        <f>+SUM('31:29'!AB217)</f>
        <v>0</v>
      </c>
      <c r="AC217" s="14">
        <f>+SUM('31:29'!AC217)</f>
        <v>0</v>
      </c>
    </row>
    <row r="218" spans="1:29" s="2" customFormat="1" ht="21.95" customHeight="1">
      <c r="A218" s="141">
        <v>300316</v>
      </c>
      <c r="B218" s="144" t="s">
        <v>33</v>
      </c>
      <c r="C218" s="329" t="s">
        <v>34</v>
      </c>
      <c r="D218" s="329"/>
      <c r="E218" s="48" t="s">
        <v>38</v>
      </c>
      <c r="F218" s="146"/>
      <c r="G218" s="14">
        <f>+SUM('31:29'!G218)</f>
        <v>5.33</v>
      </c>
      <c r="H218" s="14">
        <f>+SUM('31:29'!H218)</f>
        <v>0.33333333333333331</v>
      </c>
      <c r="I218" s="14">
        <f>+SUM('31:29'!I218)</f>
        <v>5.2</v>
      </c>
      <c r="J218" s="14">
        <f>+SUM('31:29'!J218)</f>
        <v>80</v>
      </c>
      <c r="K218" s="145">
        <f t="shared" si="31"/>
        <v>3283.28</v>
      </c>
      <c r="L218" s="145">
        <f t="shared" si="32"/>
        <v>3203.2000000000003</v>
      </c>
      <c r="M218" s="145">
        <v>616</v>
      </c>
      <c r="N218" s="145">
        <f t="shared" si="33"/>
        <v>3.6277974087161367</v>
      </c>
      <c r="O218" s="14">
        <f>+SUM('31:29'!O218)</f>
        <v>0.5</v>
      </c>
      <c r="P218" s="145">
        <f t="shared" si="34"/>
        <v>20.86454652532391</v>
      </c>
      <c r="Q218" s="14">
        <f>+SUM('31:29'!Q218)</f>
        <v>9.5</v>
      </c>
      <c r="R218" s="19">
        <f t="shared" si="35"/>
        <v>38</v>
      </c>
      <c r="S218" s="145">
        <f t="shared" si="36"/>
        <v>17.13545347467609</v>
      </c>
      <c r="T218" s="20">
        <v>4</v>
      </c>
      <c r="U218" s="14">
        <f>+SUM('31:29'!U218)</f>
        <v>4</v>
      </c>
      <c r="V218" s="142">
        <f t="array" ref="V218">IF(ISERROR(L218/K218),"",L218/K218)</f>
        <v>0.97560975609756095</v>
      </c>
      <c r="W218" s="14">
        <f>+SUM('31:29'!W218)</f>
        <v>0</v>
      </c>
      <c r="X218" s="14">
        <f>+SUM('31:29'!X218)</f>
        <v>0.5</v>
      </c>
      <c r="Y218" s="14">
        <f>+SUM('31:29'!Y218)</f>
        <v>0</v>
      </c>
      <c r="Z218" s="14">
        <f>+SUM('31:29'!Z218)</f>
        <v>0</v>
      </c>
      <c r="AA218" s="14">
        <f>+SUM('31:29'!AA218)</f>
        <v>0</v>
      </c>
      <c r="AB218" s="14">
        <f>+SUM('31:29'!AB218)</f>
        <v>0</v>
      </c>
      <c r="AC218" s="14">
        <f>+SUM('31:29'!AC218)</f>
        <v>0</v>
      </c>
    </row>
    <row r="219" spans="1:29" s="2" customFormat="1" ht="21.95" customHeight="1">
      <c r="A219" s="141">
        <v>300317</v>
      </c>
      <c r="B219" s="144" t="s">
        <v>33</v>
      </c>
      <c r="C219" s="329" t="s">
        <v>34</v>
      </c>
      <c r="D219" s="329"/>
      <c r="E219" s="48" t="s">
        <v>39</v>
      </c>
      <c r="F219" s="146"/>
      <c r="G219" s="14">
        <f>+SUM('31:29'!G219)</f>
        <v>0</v>
      </c>
      <c r="H219" s="14">
        <f>+SUM('31:29'!H219)</f>
        <v>0</v>
      </c>
      <c r="I219" s="14">
        <f>+SUM('31:29'!I219)</f>
        <v>0</v>
      </c>
      <c r="J219" s="14">
        <f>+SUM('31:29'!J219)</f>
        <v>0</v>
      </c>
      <c r="K219" s="145">
        <f t="shared" si="31"/>
        <v>0</v>
      </c>
      <c r="L219" s="145">
        <f t="shared" si="32"/>
        <v>0</v>
      </c>
      <c r="M219" s="145">
        <v>616</v>
      </c>
      <c r="N219" s="145">
        <f t="shared" si="33"/>
        <v>3.6277974087161367</v>
      </c>
      <c r="O219" s="14">
        <f>+SUM('31:29'!O219)</f>
        <v>0</v>
      </c>
      <c r="P219" s="145">
        <f t="shared" si="34"/>
        <v>0</v>
      </c>
      <c r="Q219" s="14">
        <f>+SUM('31:29'!Q219)</f>
        <v>0</v>
      </c>
      <c r="R219" s="19">
        <f t="shared" si="35"/>
        <v>0</v>
      </c>
      <c r="S219" s="145">
        <f t="shared" si="36"/>
        <v>0</v>
      </c>
      <c r="T219" s="20">
        <v>4</v>
      </c>
      <c r="U219" s="14">
        <f>+SUM('31:29'!U219)</f>
        <v>0</v>
      </c>
      <c r="V219" s="142" t="str">
        <f t="array" ref="V219">IF(ISERROR(L219/K219),"",L219/K219)</f>
        <v/>
      </c>
      <c r="W219" s="14">
        <f>+SUM('31:29'!W219)</f>
        <v>0</v>
      </c>
      <c r="X219" s="14">
        <f>+SUM('31:29'!X219)</f>
        <v>0</v>
      </c>
      <c r="Y219" s="14">
        <f>+SUM('31:29'!Y219)</f>
        <v>0</v>
      </c>
      <c r="Z219" s="14">
        <f>+SUM('31:29'!Z219)</f>
        <v>0</v>
      </c>
      <c r="AA219" s="14">
        <f>+SUM('31:29'!AA219)</f>
        <v>0</v>
      </c>
      <c r="AB219" s="14">
        <f>+SUM('31:29'!AB219)</f>
        <v>0</v>
      </c>
      <c r="AC219" s="14">
        <f>+SUM('31:29'!AC219)</f>
        <v>0</v>
      </c>
    </row>
    <row r="220" spans="1:29" s="2" customFormat="1" ht="21.95" customHeight="1">
      <c r="A220" s="141">
        <v>300315</v>
      </c>
      <c r="B220" s="144" t="s">
        <v>33</v>
      </c>
      <c r="C220" s="329" t="s">
        <v>34</v>
      </c>
      <c r="D220" s="329"/>
      <c r="E220" s="48" t="s">
        <v>40</v>
      </c>
      <c r="F220" s="146"/>
      <c r="G220" s="14">
        <f>+SUM('31:29'!G220)</f>
        <v>6.6</v>
      </c>
      <c r="H220" s="14">
        <f>+SUM('31:29'!H220)</f>
        <v>0.16666666666666666</v>
      </c>
      <c r="I220" s="14">
        <f>+SUM('31:29'!I220)</f>
        <v>6.6000000000000005</v>
      </c>
      <c r="J220" s="14">
        <f>+SUM('31:29'!J220)</f>
        <v>260</v>
      </c>
      <c r="K220" s="145">
        <f t="shared" si="31"/>
        <v>4065.6</v>
      </c>
      <c r="L220" s="145">
        <f t="shared" si="32"/>
        <v>4065.6000000000004</v>
      </c>
      <c r="M220" s="145">
        <v>616</v>
      </c>
      <c r="N220" s="145">
        <f t="shared" si="33"/>
        <v>3.6277974087161367</v>
      </c>
      <c r="O220" s="14">
        <f>+SUM('31:29'!O220)</f>
        <v>0.5</v>
      </c>
      <c r="P220" s="145">
        <f t="shared" si="34"/>
        <v>25.943462897526505</v>
      </c>
      <c r="Q220" s="14">
        <f>+SUM('31:29'!Q220)</f>
        <v>11.5</v>
      </c>
      <c r="R220" s="19">
        <f t="shared" si="35"/>
        <v>46</v>
      </c>
      <c r="S220" s="145">
        <f t="shared" si="36"/>
        <v>20.056537102473495</v>
      </c>
      <c r="T220" s="20">
        <v>4</v>
      </c>
      <c r="U220" s="14">
        <f>+SUM('31:29'!U220)</f>
        <v>4</v>
      </c>
      <c r="V220" s="142">
        <f t="array" ref="V220">IF(ISERROR(L220/K220),"",L220/K220)</f>
        <v>1.0000000000000002</v>
      </c>
      <c r="W220" s="14">
        <f>+SUM('31:29'!W220)</f>
        <v>0</v>
      </c>
      <c r="X220" s="14">
        <f>+SUM('31:29'!X220)</f>
        <v>0</v>
      </c>
      <c r="Y220" s="14">
        <f>+SUM('31:29'!Y220)</f>
        <v>0</v>
      </c>
      <c r="Z220" s="14">
        <f>+SUM('31:29'!Z220)</f>
        <v>0</v>
      </c>
      <c r="AA220" s="14">
        <f>+SUM('31:29'!AA220)</f>
        <v>0</v>
      </c>
      <c r="AB220" s="14">
        <f>+SUM('31:29'!AB220)</f>
        <v>0</v>
      </c>
      <c r="AC220" s="14">
        <f>+SUM('31:29'!AC220)</f>
        <v>0</v>
      </c>
    </row>
    <row r="221" spans="1:29" s="2" customFormat="1" ht="21.95" customHeight="1">
      <c r="A221" s="141">
        <v>300314</v>
      </c>
      <c r="B221" s="144" t="s">
        <v>33</v>
      </c>
      <c r="C221" s="329" t="s">
        <v>34</v>
      </c>
      <c r="D221" s="329"/>
      <c r="E221" s="48" t="s">
        <v>41</v>
      </c>
      <c r="F221" s="146"/>
      <c r="G221" s="14">
        <f>+SUM('31:29'!G221)</f>
        <v>0</v>
      </c>
      <c r="H221" s="14">
        <f>+SUM('31:29'!H221)</f>
        <v>0</v>
      </c>
      <c r="I221" s="14">
        <f>+SUM('31:29'!I221)</f>
        <v>0</v>
      </c>
      <c r="J221" s="14">
        <f>+SUM('31:29'!J221)</f>
        <v>0</v>
      </c>
      <c r="K221" s="145">
        <f t="shared" si="31"/>
        <v>0</v>
      </c>
      <c r="L221" s="145">
        <f t="shared" si="32"/>
        <v>0</v>
      </c>
      <c r="M221" s="145">
        <v>616</v>
      </c>
      <c r="N221" s="145">
        <f t="shared" si="33"/>
        <v>3.6277974087161367</v>
      </c>
      <c r="O221" s="14">
        <f>+SUM('31:29'!O221)</f>
        <v>0</v>
      </c>
      <c r="P221" s="145">
        <f t="shared" si="34"/>
        <v>0</v>
      </c>
      <c r="Q221" s="14">
        <f>+SUM('31:29'!Q221)</f>
        <v>0</v>
      </c>
      <c r="R221" s="19">
        <f t="shared" si="35"/>
        <v>0</v>
      </c>
      <c r="S221" s="145">
        <f t="shared" si="36"/>
        <v>0</v>
      </c>
      <c r="T221" s="20">
        <v>4</v>
      </c>
      <c r="U221" s="14">
        <f>+SUM('31:29'!U221)</f>
        <v>0</v>
      </c>
      <c r="V221" s="142" t="str">
        <f t="array" ref="V221">IF(ISERROR(L221/K221),"",L221/K221)</f>
        <v/>
      </c>
      <c r="W221" s="14">
        <f>+SUM('31:29'!W221)</f>
        <v>0</v>
      </c>
      <c r="X221" s="14">
        <f>+SUM('31:29'!X221)</f>
        <v>0</v>
      </c>
      <c r="Y221" s="14">
        <f>+SUM('31:29'!Y221)</f>
        <v>0</v>
      </c>
      <c r="Z221" s="14">
        <f>+SUM('31:29'!Z221)</f>
        <v>0</v>
      </c>
      <c r="AA221" s="14">
        <f>+SUM('31:29'!AA221)</f>
        <v>0</v>
      </c>
      <c r="AB221" s="14">
        <f>+SUM('31:29'!AB221)</f>
        <v>0</v>
      </c>
      <c r="AC221" s="14">
        <f>+SUM('31:29'!AC221)</f>
        <v>0</v>
      </c>
    </row>
    <row r="222" spans="1:29" s="2" customFormat="1" ht="21.95" customHeight="1">
      <c r="A222" s="141">
        <v>300313</v>
      </c>
      <c r="B222" s="144" t="s">
        <v>33</v>
      </c>
      <c r="C222" s="329" t="s">
        <v>34</v>
      </c>
      <c r="D222" s="329"/>
      <c r="E222" s="48" t="s">
        <v>42</v>
      </c>
      <c r="F222" s="146"/>
      <c r="G222" s="14">
        <f>+SUM('31:29'!G222)</f>
        <v>3.25</v>
      </c>
      <c r="H222" s="14">
        <f>+SUM('31:29'!H222)</f>
        <v>0</v>
      </c>
      <c r="I222" s="14">
        <f>+SUM('31:29'!I222)</f>
        <v>3.25</v>
      </c>
      <c r="J222" s="14">
        <f>+SUM('31:29'!J222)</f>
        <v>150</v>
      </c>
      <c r="K222" s="145">
        <f t="shared" si="31"/>
        <v>2002</v>
      </c>
      <c r="L222" s="145">
        <f t="shared" si="32"/>
        <v>2002</v>
      </c>
      <c r="M222" s="145">
        <v>616</v>
      </c>
      <c r="N222" s="145">
        <f t="shared" si="33"/>
        <v>3.6277974087161367</v>
      </c>
      <c r="O222" s="14">
        <f>+SUM('31:29'!O222)</f>
        <v>0.5</v>
      </c>
      <c r="P222" s="145">
        <f t="shared" si="34"/>
        <v>12.790341578327444</v>
      </c>
      <c r="Q222" s="14">
        <f>+SUM('31:29'!Q222)</f>
        <v>5.5</v>
      </c>
      <c r="R222" s="19">
        <f t="shared" si="35"/>
        <v>11</v>
      </c>
      <c r="S222" s="145">
        <f t="shared" si="36"/>
        <v>-1.7903415783274443</v>
      </c>
      <c r="T222" s="20">
        <v>4</v>
      </c>
      <c r="U222" s="14">
        <f>+SUM('31:29'!U222)</f>
        <v>2</v>
      </c>
      <c r="V222" s="142">
        <f t="array" ref="V222">IF(ISERROR(L222/K222),"",L222/K222)</f>
        <v>1</v>
      </c>
      <c r="W222" s="14">
        <f>+SUM('31:29'!W222)</f>
        <v>0</v>
      </c>
      <c r="X222" s="14">
        <f>+SUM('31:29'!X222)</f>
        <v>0</v>
      </c>
      <c r="Y222" s="14">
        <f>+SUM('31:29'!Y222)</f>
        <v>0</v>
      </c>
      <c r="Z222" s="14">
        <f>+SUM('31:29'!Z222)</f>
        <v>0</v>
      </c>
      <c r="AA222" s="14">
        <f>+SUM('31:29'!AA222)</f>
        <v>0</v>
      </c>
      <c r="AB222" s="14">
        <f>+SUM('31:29'!AB222)</f>
        <v>0</v>
      </c>
      <c r="AC222" s="14">
        <f>+SUM('31:29'!AC222)</f>
        <v>0</v>
      </c>
    </row>
    <row r="223" spans="1:29" ht="21.95" customHeight="1">
      <c r="A223" s="141"/>
      <c r="B223" s="135" t="s">
        <v>43</v>
      </c>
      <c r="C223" s="230" t="s">
        <v>305</v>
      </c>
      <c r="D223" s="231"/>
      <c r="E223" s="147" t="s">
        <v>306</v>
      </c>
      <c r="F223" s="13"/>
      <c r="G223" s="14">
        <f>+SUM('31:29'!G223)</f>
        <v>0</v>
      </c>
      <c r="H223" s="14">
        <f>+SUM('31:29'!H223)</f>
        <v>0</v>
      </c>
      <c r="I223" s="14">
        <f>+SUM('31:29'!I223)</f>
        <v>0</v>
      </c>
      <c r="J223" s="14">
        <f>+SUM('31:29'!J223)</f>
        <v>0</v>
      </c>
      <c r="K223" s="145">
        <f t="shared" si="31"/>
        <v>0</v>
      </c>
      <c r="L223" s="145">
        <f t="shared" si="32"/>
        <v>0</v>
      </c>
      <c r="M223" s="145">
        <v>213.4</v>
      </c>
      <c r="N223" s="145">
        <f>+M223*1000/(15.4*10*17*60)*T223</f>
        <v>4.0756302521008401</v>
      </c>
      <c r="O223" s="14">
        <f>+SUM('31:29'!O223)</f>
        <v>0</v>
      </c>
      <c r="P223" s="145">
        <f t="shared" si="34"/>
        <v>0</v>
      </c>
      <c r="Q223" s="14">
        <f>+SUM('31:29'!Q223)</f>
        <v>0</v>
      </c>
      <c r="R223" s="19">
        <f t="shared" si="35"/>
        <v>0</v>
      </c>
      <c r="S223" s="145">
        <f t="shared" si="36"/>
        <v>0</v>
      </c>
      <c r="T223" s="20">
        <v>3</v>
      </c>
      <c r="U223" s="14">
        <f>+SUM('31:29'!U223)</f>
        <v>0</v>
      </c>
      <c r="V223" s="142"/>
      <c r="W223" s="14">
        <f>+SUM('31:29'!W223)</f>
        <v>0</v>
      </c>
      <c r="X223" s="14">
        <f>+SUM('31:29'!X223)</f>
        <v>0</v>
      </c>
      <c r="Y223" s="14">
        <f>+SUM('31:29'!Y223)</f>
        <v>0</v>
      </c>
      <c r="Z223" s="14">
        <f>+SUM('31:29'!Z223)</f>
        <v>0</v>
      </c>
      <c r="AA223" s="14">
        <f>+SUM('31:29'!AA223)</f>
        <v>0</v>
      </c>
      <c r="AB223" s="14">
        <f>+SUM('31:29'!AB223)</f>
        <v>0</v>
      </c>
      <c r="AC223" s="14">
        <f>+SUM('31:29'!AC223)</f>
        <v>0</v>
      </c>
    </row>
    <row r="224" spans="1:29" ht="21.95" customHeight="1">
      <c r="A224" s="141"/>
      <c r="B224" s="135" t="s">
        <v>43</v>
      </c>
      <c r="C224" s="230" t="s">
        <v>305</v>
      </c>
      <c r="D224" s="231"/>
      <c r="E224" s="147" t="s">
        <v>307</v>
      </c>
      <c r="F224" s="13"/>
      <c r="G224" s="14">
        <f>+SUM('31:29'!G224)</f>
        <v>0</v>
      </c>
      <c r="H224" s="14">
        <f>+SUM('31:29'!H224)</f>
        <v>0</v>
      </c>
      <c r="I224" s="14">
        <f>+SUM('31:29'!I224)</f>
        <v>0</v>
      </c>
      <c r="J224" s="14">
        <f>+SUM('31:29'!J224)</f>
        <v>0</v>
      </c>
      <c r="K224" s="145">
        <f t="shared" si="31"/>
        <v>0</v>
      </c>
      <c r="L224" s="145">
        <f t="shared" si="32"/>
        <v>0</v>
      </c>
      <c r="M224" s="145">
        <v>213.4</v>
      </c>
      <c r="N224" s="145">
        <f>+M224*1000/(15.4*10*17*60)*T224</f>
        <v>4.0756302521008401</v>
      </c>
      <c r="O224" s="14">
        <f>+SUM('31:29'!O224)</f>
        <v>0</v>
      </c>
      <c r="P224" s="145">
        <f t="shared" si="34"/>
        <v>0</v>
      </c>
      <c r="Q224" s="14">
        <f>+SUM('31:29'!Q224)</f>
        <v>0</v>
      </c>
      <c r="R224" s="19">
        <f t="shared" si="35"/>
        <v>0</v>
      </c>
      <c r="S224" s="145">
        <f t="shared" si="36"/>
        <v>0</v>
      </c>
      <c r="T224" s="20">
        <v>3</v>
      </c>
      <c r="U224" s="14">
        <f>+SUM('31:29'!U224)</f>
        <v>0</v>
      </c>
      <c r="V224" s="142"/>
      <c r="W224" s="14">
        <f>+SUM('31:29'!W224)</f>
        <v>0</v>
      </c>
      <c r="X224" s="14">
        <f>+SUM('31:29'!X224)</f>
        <v>0</v>
      </c>
      <c r="Y224" s="14">
        <f>+SUM('31:29'!Y224)</f>
        <v>0</v>
      </c>
      <c r="Z224" s="14">
        <f>+SUM('31:29'!Z224)</f>
        <v>0</v>
      </c>
      <c r="AA224" s="14">
        <f>+SUM('31:29'!AA224)</f>
        <v>0</v>
      </c>
      <c r="AB224" s="14">
        <f>+SUM('31:29'!AB224)</f>
        <v>0</v>
      </c>
      <c r="AC224" s="14">
        <f>+SUM('31:29'!AC224)</f>
        <v>0</v>
      </c>
    </row>
    <row r="225" spans="1:29" s="2" customFormat="1" ht="21.95" customHeight="1">
      <c r="A225" s="135">
        <v>300202</v>
      </c>
      <c r="B225" s="135" t="s">
        <v>52</v>
      </c>
      <c r="C225" s="230" t="s">
        <v>44</v>
      </c>
      <c r="D225" s="231"/>
      <c r="E225" s="135" t="s">
        <v>35</v>
      </c>
      <c r="F225" s="146"/>
      <c r="G225" s="14">
        <f>+SUM('31:29'!G225)</f>
        <v>0</v>
      </c>
      <c r="H225" s="14">
        <f>+SUM('31:29'!H225)</f>
        <v>0</v>
      </c>
      <c r="I225" s="14">
        <f>+SUM('31:29'!I225)</f>
        <v>0</v>
      </c>
      <c r="J225" s="14">
        <f>+SUM('31:29'!J225)</f>
        <v>0</v>
      </c>
      <c r="K225" s="145">
        <f t="shared" si="31"/>
        <v>0</v>
      </c>
      <c r="L225" s="145">
        <f t="shared" si="32"/>
        <v>0</v>
      </c>
      <c r="M225" s="145">
        <v>212.4</v>
      </c>
      <c r="N225" s="145">
        <f>+M225*1000/(15.4*10*17*60)*T225</f>
        <v>8.1130634071810537</v>
      </c>
      <c r="O225" s="14">
        <f>+SUM('31:29'!O225)</f>
        <v>0</v>
      </c>
      <c r="P225" s="145">
        <f t="shared" si="34"/>
        <v>0</v>
      </c>
      <c r="Q225" s="14">
        <f>+SUM('31:29'!Q225)</f>
        <v>0</v>
      </c>
      <c r="R225" s="19">
        <f t="shared" si="35"/>
        <v>0</v>
      </c>
      <c r="S225" s="145">
        <f t="shared" si="36"/>
        <v>0</v>
      </c>
      <c r="T225" s="20">
        <v>6</v>
      </c>
      <c r="U225" s="14">
        <f>+SUM('31:29'!U225)</f>
        <v>0</v>
      </c>
      <c r="V225" s="142" t="str">
        <f t="array" ref="V225">IF(ISERROR(L225/K225),"",L225/K225)</f>
        <v/>
      </c>
      <c r="W225" s="14">
        <f>+SUM('31:29'!W225)</f>
        <v>0</v>
      </c>
      <c r="X225" s="14">
        <f>+SUM('31:29'!X225)</f>
        <v>0</v>
      </c>
      <c r="Y225" s="14">
        <f>+SUM('31:29'!Y225)</f>
        <v>0</v>
      </c>
      <c r="Z225" s="14">
        <f>+SUM('31:29'!Z225)</f>
        <v>0</v>
      </c>
      <c r="AA225" s="14">
        <f>+SUM('31:29'!AA225)</f>
        <v>0</v>
      </c>
      <c r="AB225" s="14">
        <f>+SUM('31:29'!AB225)</f>
        <v>0</v>
      </c>
      <c r="AC225" s="14">
        <f>+SUM('31:29'!AC225)</f>
        <v>0</v>
      </c>
    </row>
    <row r="226" spans="1:29" s="2" customFormat="1" ht="21.95" customHeight="1">
      <c r="A226" s="135">
        <v>300203</v>
      </c>
      <c r="B226" s="135" t="s">
        <v>43</v>
      </c>
      <c r="C226" s="230" t="s">
        <v>44</v>
      </c>
      <c r="D226" s="231"/>
      <c r="E226" s="135" t="s">
        <v>41</v>
      </c>
      <c r="F226" s="146"/>
      <c r="G226" s="14">
        <f>+SUM('31:29'!G226)</f>
        <v>0</v>
      </c>
      <c r="H226" s="14">
        <f>+SUM('31:29'!H226)</f>
        <v>0</v>
      </c>
      <c r="I226" s="14">
        <f>+SUM('31:29'!I226)</f>
        <v>0</v>
      </c>
      <c r="J226" s="14">
        <f>+SUM('31:29'!J226)</f>
        <v>0</v>
      </c>
      <c r="K226" s="145">
        <f t="shared" si="31"/>
        <v>0</v>
      </c>
      <c r="L226" s="145">
        <f t="shared" si="32"/>
        <v>0</v>
      </c>
      <c r="M226" s="145">
        <v>212.4</v>
      </c>
      <c r="N226" s="145">
        <f>+M226*1000/(15.4*10*17*60)*T226</f>
        <v>4.0565317035905268</v>
      </c>
      <c r="O226" s="14">
        <f>+SUM('31:29'!O226)</f>
        <v>0</v>
      </c>
      <c r="P226" s="145">
        <f t="shared" si="34"/>
        <v>0</v>
      </c>
      <c r="Q226" s="14">
        <f>+SUM('31:29'!Q226)</f>
        <v>0</v>
      </c>
      <c r="R226" s="19">
        <f t="shared" si="35"/>
        <v>0</v>
      </c>
      <c r="S226" s="145">
        <f t="shared" si="36"/>
        <v>0</v>
      </c>
      <c r="T226" s="20">
        <v>3</v>
      </c>
      <c r="U226" s="14">
        <f>+SUM('31:29'!U226)</f>
        <v>0</v>
      </c>
      <c r="V226" s="142" t="str">
        <f t="array" ref="V226">IF(ISERROR(L226/K226),"",L226/K226)</f>
        <v/>
      </c>
      <c r="W226" s="14">
        <f>+SUM('31:29'!W226)</f>
        <v>0</v>
      </c>
      <c r="X226" s="14">
        <f>+SUM('31:29'!X226)</f>
        <v>0</v>
      </c>
      <c r="Y226" s="14">
        <f>+SUM('31:29'!Y226)</f>
        <v>0</v>
      </c>
      <c r="Z226" s="14">
        <f>+SUM('31:29'!Z226)</f>
        <v>0</v>
      </c>
      <c r="AA226" s="14">
        <f>+SUM('31:29'!AA226)</f>
        <v>0</v>
      </c>
      <c r="AB226" s="14">
        <f>+SUM('31:29'!AB226)</f>
        <v>0</v>
      </c>
      <c r="AC226" s="14">
        <f>+SUM('31:29'!AC226)</f>
        <v>0</v>
      </c>
    </row>
    <row r="227" spans="1:29" s="2" customFormat="1" ht="21.95" customHeight="1">
      <c r="A227" s="135">
        <v>300204</v>
      </c>
      <c r="B227" s="135" t="s">
        <v>43</v>
      </c>
      <c r="C227" s="230" t="s">
        <v>44</v>
      </c>
      <c r="D227" s="231"/>
      <c r="E227" s="135" t="s">
        <v>37</v>
      </c>
      <c r="F227" s="146"/>
      <c r="G227" s="14">
        <f>+SUM('31:29'!G227)</f>
        <v>0</v>
      </c>
      <c r="H227" s="14">
        <f>+SUM('31:29'!H227)</f>
        <v>0</v>
      </c>
      <c r="I227" s="14">
        <f>+SUM('31:29'!I227)</f>
        <v>0</v>
      </c>
      <c r="J227" s="14">
        <f>+SUM('31:29'!J227)</f>
        <v>0</v>
      </c>
      <c r="K227" s="145">
        <f t="shared" si="31"/>
        <v>0</v>
      </c>
      <c r="L227" s="145">
        <f t="shared" si="32"/>
        <v>0</v>
      </c>
      <c r="M227" s="145">
        <v>212.4</v>
      </c>
      <c r="N227" s="145">
        <f>+M227*1000/(15.4*10*17*60)*T227</f>
        <v>4.0565317035905268</v>
      </c>
      <c r="O227" s="14">
        <f>+SUM('31:29'!O227)</f>
        <v>0</v>
      </c>
      <c r="P227" s="145">
        <f t="shared" si="34"/>
        <v>0</v>
      </c>
      <c r="Q227" s="14">
        <f>+SUM('31:29'!Q227)</f>
        <v>0</v>
      </c>
      <c r="R227" s="19">
        <f t="shared" si="35"/>
        <v>0</v>
      </c>
      <c r="S227" s="145">
        <f t="shared" si="36"/>
        <v>0</v>
      </c>
      <c r="T227" s="20">
        <v>3</v>
      </c>
      <c r="U227" s="14">
        <f>+SUM('31:29'!U227)</f>
        <v>0</v>
      </c>
      <c r="V227" s="142" t="str">
        <f t="array" ref="V227">IF(ISERROR(L227/K227),"",L227/K227)</f>
        <v/>
      </c>
      <c r="W227" s="14">
        <f>+SUM('31:29'!W227)</f>
        <v>0</v>
      </c>
      <c r="X227" s="14">
        <f>+SUM('31:29'!X227)</f>
        <v>0</v>
      </c>
      <c r="Y227" s="14">
        <f>+SUM('31:29'!Y227)</f>
        <v>0</v>
      </c>
      <c r="Z227" s="14">
        <f>+SUM('31:29'!Z227)</f>
        <v>0</v>
      </c>
      <c r="AA227" s="14">
        <f>+SUM('31:29'!AA227)</f>
        <v>0</v>
      </c>
      <c r="AB227" s="14">
        <f>+SUM('31:29'!AB227)</f>
        <v>0</v>
      </c>
      <c r="AC227" s="14">
        <f>+SUM('31:29'!AC227)</f>
        <v>0</v>
      </c>
    </row>
    <row r="228" spans="1:29" s="2" customFormat="1" ht="21.95" customHeight="1">
      <c r="A228" s="141">
        <v>300269</v>
      </c>
      <c r="B228" s="135" t="s">
        <v>43</v>
      </c>
      <c r="C228" s="219" t="s">
        <v>45</v>
      </c>
      <c r="D228" s="219"/>
      <c r="E228" s="147"/>
      <c r="F228" s="146"/>
      <c r="G228" s="14">
        <f>+SUM('31:29'!G228)</f>
        <v>0</v>
      </c>
      <c r="H228" s="14">
        <f>+SUM('31:29'!H228)</f>
        <v>0</v>
      </c>
      <c r="I228" s="14">
        <f>+SUM('31:29'!I228)</f>
        <v>0</v>
      </c>
      <c r="J228" s="14">
        <f>+SUM('31:29'!J228)</f>
        <v>0</v>
      </c>
      <c r="K228" s="145">
        <f t="shared" si="31"/>
        <v>0</v>
      </c>
      <c r="L228" s="145">
        <f t="shared" si="32"/>
        <v>0</v>
      </c>
      <c r="M228" s="145">
        <v>209.4</v>
      </c>
      <c r="N228" s="145">
        <f>+M228*1000/(19.4*10*16*60)*T228</f>
        <v>3.3730670103092786</v>
      </c>
      <c r="O228" s="14">
        <f>+SUM('31:29'!O228)</f>
        <v>0</v>
      </c>
      <c r="P228" s="145">
        <f t="shared" si="34"/>
        <v>0</v>
      </c>
      <c r="Q228" s="14">
        <f>+SUM('31:29'!Q228)</f>
        <v>0</v>
      </c>
      <c r="R228" s="19">
        <f t="shared" si="35"/>
        <v>0</v>
      </c>
      <c r="S228" s="145">
        <f t="shared" si="36"/>
        <v>0</v>
      </c>
      <c r="T228" s="20">
        <v>3</v>
      </c>
      <c r="U228" s="14">
        <f>+SUM('31:29'!U228)</f>
        <v>0</v>
      </c>
      <c r="V228" s="142" t="str">
        <f t="array" ref="V228">IF(ISERROR(L228/K228),"",L228/K228)</f>
        <v/>
      </c>
      <c r="W228" s="14">
        <f>+SUM('31:29'!W228)</f>
        <v>0</v>
      </c>
      <c r="X228" s="14">
        <f>+SUM('31:29'!X228)</f>
        <v>0</v>
      </c>
      <c r="Y228" s="14">
        <f>+SUM('31:29'!Y228)</f>
        <v>0</v>
      </c>
      <c r="Z228" s="14">
        <f>+SUM('31:29'!Z228)</f>
        <v>0</v>
      </c>
      <c r="AA228" s="14">
        <f>+SUM('31:29'!AA228)</f>
        <v>0</v>
      </c>
      <c r="AB228" s="14">
        <f>+SUM('31:29'!AB228)</f>
        <v>0</v>
      </c>
      <c r="AC228" s="14">
        <f>+SUM('31:29'!AC228)</f>
        <v>0</v>
      </c>
    </row>
    <row r="229" spans="1:29" s="2" customFormat="1" ht="21.95" customHeight="1">
      <c r="A229" s="141"/>
      <c r="B229" s="135"/>
      <c r="C229" s="219" t="s">
        <v>46</v>
      </c>
      <c r="D229" s="219"/>
      <c r="E229" s="147" t="s">
        <v>47</v>
      </c>
      <c r="F229" s="146"/>
      <c r="G229" s="14">
        <f>+SUM('31:29'!G229)</f>
        <v>0</v>
      </c>
      <c r="H229" s="14">
        <f>+SUM('31:29'!H229)</f>
        <v>0</v>
      </c>
      <c r="I229" s="14">
        <f>+SUM('31:29'!I229)</f>
        <v>0</v>
      </c>
      <c r="J229" s="14">
        <f>+SUM('31:29'!J229)</f>
        <v>0</v>
      </c>
      <c r="K229" s="145">
        <f t="shared" si="31"/>
        <v>0</v>
      </c>
      <c r="L229" s="145">
        <f t="shared" si="32"/>
        <v>0</v>
      </c>
      <c r="M229" s="145">
        <v>209.9</v>
      </c>
      <c r="N229" s="145">
        <f>+M229*1000/(19*10*16*60)*T229</f>
        <v>3.4523026315789478</v>
      </c>
      <c r="O229" s="14">
        <f>+SUM('31:29'!O229)</f>
        <v>0</v>
      </c>
      <c r="P229" s="145">
        <f t="shared" si="34"/>
        <v>0</v>
      </c>
      <c r="Q229" s="14">
        <f>+SUM('31:29'!Q229)</f>
        <v>0</v>
      </c>
      <c r="R229" s="19">
        <f t="shared" si="35"/>
        <v>0</v>
      </c>
      <c r="S229" s="145">
        <f t="shared" si="36"/>
        <v>0</v>
      </c>
      <c r="T229" s="20">
        <v>3</v>
      </c>
      <c r="U229" s="14">
        <f>+SUM('31:29'!U229)</f>
        <v>0</v>
      </c>
      <c r="V229" s="142" t="str">
        <f t="array" ref="V229">IF(ISERROR(L229/K229),"",L229/K229)</f>
        <v/>
      </c>
      <c r="W229" s="14">
        <f>+SUM('31:29'!W229)</f>
        <v>0</v>
      </c>
      <c r="X229" s="14">
        <f>+SUM('31:29'!X229)</f>
        <v>0</v>
      </c>
      <c r="Y229" s="14">
        <f>+SUM('31:29'!Y229)</f>
        <v>0</v>
      </c>
      <c r="Z229" s="14">
        <f>+SUM('31:29'!Z229)</f>
        <v>0</v>
      </c>
      <c r="AA229" s="14">
        <f>+SUM('31:29'!AA229)</f>
        <v>0</v>
      </c>
      <c r="AB229" s="14">
        <f>+SUM('31:29'!AB229)</f>
        <v>0</v>
      </c>
      <c r="AC229" s="14">
        <f>+SUM('31:29'!AC229)</f>
        <v>0</v>
      </c>
    </row>
    <row r="230" spans="1:29" s="2" customFormat="1" ht="21.95" customHeight="1">
      <c r="A230" s="141">
        <v>300350</v>
      </c>
      <c r="B230" s="135" t="s">
        <v>43</v>
      </c>
      <c r="C230" s="219" t="s">
        <v>48</v>
      </c>
      <c r="D230" s="219"/>
      <c r="E230" s="147" t="s">
        <v>49</v>
      </c>
      <c r="F230" s="146"/>
      <c r="G230" s="14">
        <f>+SUM('31:29'!G230)</f>
        <v>0</v>
      </c>
      <c r="H230" s="14">
        <f>+SUM('31:29'!H230)</f>
        <v>0</v>
      </c>
      <c r="I230" s="14">
        <f>+SUM('31:29'!I230)</f>
        <v>0</v>
      </c>
      <c r="J230" s="14">
        <f>+SUM('31:29'!J230)</f>
        <v>0</v>
      </c>
      <c r="K230" s="145">
        <f t="shared" si="31"/>
        <v>0</v>
      </c>
      <c r="L230" s="145">
        <f t="shared" si="32"/>
        <v>0</v>
      </c>
      <c r="M230" s="145">
        <v>209.9</v>
      </c>
      <c r="N230" s="145">
        <f>+M230*1000/(19*10*16*60)*T230</f>
        <v>2.3015350877192984</v>
      </c>
      <c r="O230" s="14">
        <f>+SUM('31:29'!O230)</f>
        <v>0</v>
      </c>
      <c r="P230" s="145">
        <f t="shared" si="34"/>
        <v>0</v>
      </c>
      <c r="Q230" s="14">
        <f>+SUM('31:29'!Q230)</f>
        <v>0</v>
      </c>
      <c r="R230" s="19">
        <f t="shared" si="35"/>
        <v>0</v>
      </c>
      <c r="S230" s="145">
        <f t="shared" si="36"/>
        <v>0</v>
      </c>
      <c r="T230" s="20">
        <v>2</v>
      </c>
      <c r="U230" s="14">
        <f>+SUM('31:29'!U230)</f>
        <v>0</v>
      </c>
      <c r="V230" s="142" t="str">
        <f t="array" ref="V230">IF(ISERROR(L230/K230),"",L230/K230)</f>
        <v/>
      </c>
      <c r="W230" s="14">
        <f>+SUM('31:29'!W230)</f>
        <v>0</v>
      </c>
      <c r="X230" s="14">
        <f>+SUM('31:29'!X230)</f>
        <v>0</v>
      </c>
      <c r="Y230" s="14">
        <f>+SUM('31:29'!Y230)</f>
        <v>0</v>
      </c>
      <c r="Z230" s="14">
        <f>+SUM('31:29'!Z230)</f>
        <v>0</v>
      </c>
      <c r="AA230" s="14">
        <f>+SUM('31:29'!AA230)</f>
        <v>0</v>
      </c>
      <c r="AB230" s="14">
        <f>+SUM('31:29'!AB230)</f>
        <v>0</v>
      </c>
      <c r="AC230" s="14">
        <f>+SUM('31:29'!AC230)</f>
        <v>0</v>
      </c>
    </row>
    <row r="231" spans="1:29" s="2" customFormat="1" ht="21.95" customHeight="1">
      <c r="A231" s="141">
        <v>300113</v>
      </c>
      <c r="B231" s="135" t="s">
        <v>43</v>
      </c>
      <c r="C231" s="219" t="s">
        <v>50</v>
      </c>
      <c r="D231" s="219"/>
      <c r="E231" s="147" t="s">
        <v>40</v>
      </c>
      <c r="F231" s="146"/>
      <c r="G231" s="14">
        <f>+SUM('31:29'!G231)</f>
        <v>0</v>
      </c>
      <c r="H231" s="14">
        <f>+SUM('31:29'!H231)</f>
        <v>0</v>
      </c>
      <c r="I231" s="14">
        <f>+SUM('31:29'!I231)</f>
        <v>0</v>
      </c>
      <c r="J231" s="14">
        <f>+SUM('31:29'!J231)</f>
        <v>0</v>
      </c>
      <c r="K231" s="145">
        <f t="shared" si="31"/>
        <v>0</v>
      </c>
      <c r="L231" s="145">
        <f t="shared" si="32"/>
        <v>0</v>
      </c>
      <c r="M231" s="145">
        <v>210</v>
      </c>
      <c r="N231" s="145">
        <f>M231*1000/(19.2*10*17*60)*T231</f>
        <v>2.1446078431372548</v>
      </c>
      <c r="O231" s="14">
        <f>+SUM('31:29'!O231)</f>
        <v>0</v>
      </c>
      <c r="P231" s="145">
        <f t="shared" si="34"/>
        <v>0</v>
      </c>
      <c r="Q231" s="14">
        <f>+SUM('31:29'!Q231)</f>
        <v>0</v>
      </c>
      <c r="R231" s="19">
        <f t="shared" si="35"/>
        <v>0</v>
      </c>
      <c r="S231" s="145">
        <f t="shared" si="36"/>
        <v>0</v>
      </c>
      <c r="T231" s="20">
        <v>2</v>
      </c>
      <c r="U231" s="14">
        <f>+SUM('31:29'!U231)</f>
        <v>0</v>
      </c>
      <c r="V231" s="142" t="str">
        <f t="array" ref="V231">IF(ISERROR(L231/K231),"",L231/K231)</f>
        <v/>
      </c>
      <c r="W231" s="14">
        <f>+SUM('31:29'!W231)</f>
        <v>0</v>
      </c>
      <c r="X231" s="14">
        <f>+SUM('31:29'!X231)</f>
        <v>0</v>
      </c>
      <c r="Y231" s="14">
        <f>+SUM('31:29'!Y231)</f>
        <v>0</v>
      </c>
      <c r="Z231" s="14">
        <f>+SUM('31:29'!Z231)</f>
        <v>0</v>
      </c>
      <c r="AA231" s="14">
        <f>+SUM('31:29'!AA231)</f>
        <v>0</v>
      </c>
      <c r="AB231" s="14">
        <f>+SUM('31:29'!AB231)</f>
        <v>0</v>
      </c>
      <c r="AC231" s="14">
        <f>+SUM('31:29'!AC231)</f>
        <v>0</v>
      </c>
    </row>
    <row r="232" spans="1:29" s="2" customFormat="1" ht="21.95" customHeight="1">
      <c r="A232" s="141">
        <v>300114</v>
      </c>
      <c r="B232" s="135" t="s">
        <v>43</v>
      </c>
      <c r="C232" s="219" t="s">
        <v>50</v>
      </c>
      <c r="D232" s="219"/>
      <c r="E232" s="147" t="s">
        <v>42</v>
      </c>
      <c r="F232" s="146"/>
      <c r="G232" s="14">
        <f>+SUM('31:29'!G232)</f>
        <v>0</v>
      </c>
      <c r="H232" s="14">
        <f>+SUM('31:29'!H232)</f>
        <v>0</v>
      </c>
      <c r="I232" s="14">
        <f>+SUM('31:29'!I232)</f>
        <v>0</v>
      </c>
      <c r="J232" s="14">
        <f>+SUM('31:29'!J232)</f>
        <v>0</v>
      </c>
      <c r="K232" s="145">
        <f t="shared" si="31"/>
        <v>0</v>
      </c>
      <c r="L232" s="145">
        <f t="shared" si="32"/>
        <v>0</v>
      </c>
      <c r="M232" s="145">
        <v>210</v>
      </c>
      <c r="N232" s="145">
        <f>M232*1000/(19.2*10*17*60)*T232</f>
        <v>2.1446078431372548</v>
      </c>
      <c r="O232" s="14">
        <f>+SUM('31:29'!O232)</f>
        <v>0</v>
      </c>
      <c r="P232" s="145">
        <f t="shared" si="34"/>
        <v>0</v>
      </c>
      <c r="Q232" s="14">
        <f>+SUM('31:29'!Q232)</f>
        <v>0</v>
      </c>
      <c r="R232" s="19">
        <f t="shared" si="35"/>
        <v>0</v>
      </c>
      <c r="S232" s="145">
        <f t="shared" si="36"/>
        <v>0</v>
      </c>
      <c r="T232" s="20">
        <v>2</v>
      </c>
      <c r="U232" s="14">
        <f>+SUM('31:29'!U232)</f>
        <v>0</v>
      </c>
      <c r="V232" s="142" t="str">
        <f t="array" ref="V232">IF(ISERROR(L232/K232),"",L232/K232)</f>
        <v/>
      </c>
      <c r="W232" s="14">
        <f>+SUM('31:29'!W232)</f>
        <v>0</v>
      </c>
      <c r="X232" s="14">
        <f>+SUM('31:29'!X232)</f>
        <v>0</v>
      </c>
      <c r="Y232" s="14">
        <f>+SUM('31:29'!Y232)</f>
        <v>0</v>
      </c>
      <c r="Z232" s="14">
        <f>+SUM('31:29'!Z232)</f>
        <v>0</v>
      </c>
      <c r="AA232" s="14">
        <f>+SUM('31:29'!AA232)</f>
        <v>0</v>
      </c>
      <c r="AB232" s="14">
        <f>+SUM('31:29'!AB232)</f>
        <v>0</v>
      </c>
      <c r="AC232" s="14">
        <f>+SUM('31:29'!AC232)</f>
        <v>0</v>
      </c>
    </row>
    <row r="233" spans="1:29" s="2" customFormat="1" ht="21.95" customHeight="1">
      <c r="A233" s="141">
        <v>300115</v>
      </c>
      <c r="B233" s="135" t="s">
        <v>43</v>
      </c>
      <c r="C233" s="219" t="s">
        <v>50</v>
      </c>
      <c r="D233" s="219"/>
      <c r="E233" s="147" t="s">
        <v>41</v>
      </c>
      <c r="F233" s="146"/>
      <c r="G233" s="14">
        <f>+SUM('31:29'!G233)</f>
        <v>0</v>
      </c>
      <c r="H233" s="14">
        <f>+SUM('31:29'!H233)</f>
        <v>0</v>
      </c>
      <c r="I233" s="14">
        <f>+SUM('31:29'!I233)</f>
        <v>0</v>
      </c>
      <c r="J233" s="14">
        <f>+SUM('31:29'!J233)</f>
        <v>0</v>
      </c>
      <c r="K233" s="145">
        <f t="shared" si="31"/>
        <v>0</v>
      </c>
      <c r="L233" s="145">
        <f t="shared" si="32"/>
        <v>0</v>
      </c>
      <c r="M233" s="145">
        <v>210</v>
      </c>
      <c r="N233" s="145">
        <f>M233*1000/(19.2*10*17*60)*T233</f>
        <v>2.1446078431372548</v>
      </c>
      <c r="O233" s="14">
        <f>+SUM('31:29'!O233)</f>
        <v>0</v>
      </c>
      <c r="P233" s="145">
        <f t="shared" si="34"/>
        <v>0</v>
      </c>
      <c r="Q233" s="14">
        <f>+SUM('31:29'!Q233)</f>
        <v>0</v>
      </c>
      <c r="R233" s="19">
        <f t="shared" si="35"/>
        <v>0</v>
      </c>
      <c r="S233" s="145">
        <f t="shared" si="36"/>
        <v>0</v>
      </c>
      <c r="T233" s="20">
        <v>2</v>
      </c>
      <c r="U233" s="14">
        <f>+SUM('31:29'!U233)</f>
        <v>0</v>
      </c>
      <c r="V233" s="142" t="str">
        <f t="array" ref="V233">IF(ISERROR(L233/K233),"",L233/K233)</f>
        <v/>
      </c>
      <c r="W233" s="14">
        <f>+SUM('31:29'!W233)</f>
        <v>0</v>
      </c>
      <c r="X233" s="14">
        <f>+SUM('31:29'!X233)</f>
        <v>0</v>
      </c>
      <c r="Y233" s="14">
        <f>+SUM('31:29'!Y233)</f>
        <v>0</v>
      </c>
      <c r="Z233" s="14">
        <f>+SUM('31:29'!Z233)</f>
        <v>0</v>
      </c>
      <c r="AA233" s="14">
        <f>+SUM('31:29'!AA233)</f>
        <v>0</v>
      </c>
      <c r="AB233" s="14">
        <f>+SUM('31:29'!AB233)</f>
        <v>0</v>
      </c>
      <c r="AC233" s="14">
        <f>+SUM('31:29'!AC233)</f>
        <v>0</v>
      </c>
    </row>
    <row r="234" spans="1:29" s="2" customFormat="1" ht="21.95" customHeight="1">
      <c r="A234" s="141">
        <v>300011</v>
      </c>
      <c r="B234" s="135" t="s">
        <v>43</v>
      </c>
      <c r="C234" s="219" t="s">
        <v>51</v>
      </c>
      <c r="D234" s="219"/>
      <c r="E234" s="147" t="s">
        <v>40</v>
      </c>
      <c r="F234" s="146"/>
      <c r="G234" s="14">
        <f>+SUM('31:29'!G234)</f>
        <v>4.8</v>
      </c>
      <c r="H234" s="14">
        <f>+SUM('31:29'!H234)</f>
        <v>0</v>
      </c>
      <c r="I234" s="14">
        <f>+SUM('31:29'!I234)</f>
        <v>4.8</v>
      </c>
      <c r="J234" s="14">
        <f>+SUM('31:29'!J234)</f>
        <v>600</v>
      </c>
      <c r="K234" s="145">
        <f t="shared" si="31"/>
        <v>2518.08</v>
      </c>
      <c r="L234" s="145">
        <f t="shared" si="32"/>
        <v>2518.08</v>
      </c>
      <c r="M234" s="145">
        <v>524.6</v>
      </c>
      <c r="N234" s="145">
        <f>+M234*1000/(25.4*20*15*60)*T234</f>
        <v>3.4422572178477688</v>
      </c>
      <c r="O234" s="14">
        <f>+SUM('31:29'!O234)</f>
        <v>0.5</v>
      </c>
      <c r="P234" s="145">
        <f t="shared" si="34"/>
        <v>18.022834645669288</v>
      </c>
      <c r="Q234" s="14">
        <f>+SUM('31:29'!Q234)</f>
        <v>12</v>
      </c>
      <c r="R234" s="19">
        <f t="shared" si="35"/>
        <v>36</v>
      </c>
      <c r="S234" s="145">
        <f t="shared" si="36"/>
        <v>17.977165354330712</v>
      </c>
      <c r="T234" s="20">
        <v>3</v>
      </c>
      <c r="U234" s="14">
        <f>+SUM('31:29'!U234)</f>
        <v>3</v>
      </c>
      <c r="V234" s="142">
        <f t="array" ref="V234">IF(ISERROR(L234/K234),"",L234/K234)</f>
        <v>1</v>
      </c>
      <c r="W234" s="14">
        <f>+SUM('31:29'!W234)</f>
        <v>0</v>
      </c>
      <c r="X234" s="14">
        <f>+SUM('31:29'!X234)</f>
        <v>0</v>
      </c>
      <c r="Y234" s="14">
        <f>+SUM('31:29'!Y234)</f>
        <v>0</v>
      </c>
      <c r="Z234" s="14">
        <f>+SUM('31:29'!Z234)</f>
        <v>0</v>
      </c>
      <c r="AA234" s="14">
        <f>+SUM('31:29'!AA234)</f>
        <v>0</v>
      </c>
      <c r="AB234" s="14">
        <f>+SUM('31:29'!AB234)</f>
        <v>0</v>
      </c>
      <c r="AC234" s="14">
        <f>+SUM('31:29'!AC234)</f>
        <v>0</v>
      </c>
    </row>
    <row r="235" spans="1:29" s="2" customFormat="1" ht="21.95" customHeight="1">
      <c r="A235" s="141">
        <v>300012</v>
      </c>
      <c r="B235" s="135" t="s">
        <v>43</v>
      </c>
      <c r="C235" s="219" t="s">
        <v>51</v>
      </c>
      <c r="D235" s="219"/>
      <c r="E235" s="147" t="s">
        <v>41</v>
      </c>
      <c r="F235" s="146"/>
      <c r="G235" s="14">
        <f>+SUM('31:29'!G235)</f>
        <v>0</v>
      </c>
      <c r="H235" s="14">
        <f>+SUM('31:29'!H235)</f>
        <v>0</v>
      </c>
      <c r="I235" s="14">
        <f>+SUM('31:29'!I235)</f>
        <v>0</v>
      </c>
      <c r="J235" s="14">
        <f>+SUM('31:29'!J235)</f>
        <v>0</v>
      </c>
      <c r="K235" s="145">
        <f t="shared" si="31"/>
        <v>0</v>
      </c>
      <c r="L235" s="145">
        <f t="shared" si="32"/>
        <v>0</v>
      </c>
      <c r="M235" s="145">
        <v>524.6</v>
      </c>
      <c r="N235" s="145">
        <f>+M235*1000/(25.4*20*15*60)*T235</f>
        <v>3.4422572178477688</v>
      </c>
      <c r="O235" s="14">
        <f>+SUM('31:29'!O235)</f>
        <v>0</v>
      </c>
      <c r="P235" s="145">
        <f t="shared" si="34"/>
        <v>0</v>
      </c>
      <c r="Q235" s="14">
        <f>+SUM('31:29'!Q235)</f>
        <v>0</v>
      </c>
      <c r="R235" s="19">
        <f t="shared" si="35"/>
        <v>0</v>
      </c>
      <c r="S235" s="145">
        <f t="shared" si="36"/>
        <v>0</v>
      </c>
      <c r="T235" s="20">
        <v>3</v>
      </c>
      <c r="U235" s="14">
        <f>+SUM('31:29'!U235)</f>
        <v>0</v>
      </c>
      <c r="V235" s="142" t="str">
        <f t="array" ref="V235">IF(ISERROR(L235/K235),"",L235/K235)</f>
        <v/>
      </c>
      <c r="W235" s="14">
        <f>+SUM('31:29'!W235)</f>
        <v>0</v>
      </c>
      <c r="X235" s="14">
        <f>+SUM('31:29'!X235)</f>
        <v>0</v>
      </c>
      <c r="Y235" s="14">
        <f>+SUM('31:29'!Y235)</f>
        <v>0</v>
      </c>
      <c r="Z235" s="14">
        <f>+SUM('31:29'!Z235)</f>
        <v>0</v>
      </c>
      <c r="AA235" s="14">
        <f>+SUM('31:29'!AA235)</f>
        <v>0</v>
      </c>
      <c r="AB235" s="14">
        <f>+SUM('31:29'!AB235)</f>
        <v>0</v>
      </c>
      <c r="AC235" s="14">
        <f>+SUM('31:29'!AC235)</f>
        <v>0</v>
      </c>
    </row>
    <row r="236" spans="1:29" s="2" customFormat="1" ht="21.95" customHeight="1">
      <c r="A236" s="141">
        <v>300013</v>
      </c>
      <c r="B236" s="135" t="s">
        <v>213</v>
      </c>
      <c r="C236" s="219" t="s">
        <v>51</v>
      </c>
      <c r="D236" s="219"/>
      <c r="E236" s="147" t="s">
        <v>42</v>
      </c>
      <c r="F236" s="146"/>
      <c r="G236" s="14">
        <f>+SUM('31:29'!G236)</f>
        <v>11.3</v>
      </c>
      <c r="H236" s="14">
        <f>+SUM('31:29'!H236)</f>
        <v>1.3</v>
      </c>
      <c r="I236" s="14">
        <f>+SUM('31:29'!I236)</f>
        <v>11.3</v>
      </c>
      <c r="J236" s="14">
        <f>+SUM('31:29'!J236)</f>
        <v>0</v>
      </c>
      <c r="K236" s="145">
        <f t="shared" si="31"/>
        <v>5927.9800000000005</v>
      </c>
      <c r="L236" s="145">
        <f t="shared" si="32"/>
        <v>5927.9800000000005</v>
      </c>
      <c r="M236" s="145">
        <v>524.6</v>
      </c>
      <c r="N236" s="145">
        <f>+M236*1000/(25.4*20*15*60)*T236</f>
        <v>3.4422572178477688</v>
      </c>
      <c r="O236" s="14">
        <f>+SUM('31:29'!O236)</f>
        <v>0</v>
      </c>
      <c r="P236" s="145">
        <f t="shared" si="34"/>
        <v>38.897506561679791</v>
      </c>
      <c r="Q236" s="14">
        <f>+SUM('31:29'!Q236)</f>
        <v>9</v>
      </c>
      <c r="R236" s="19">
        <f t="shared" si="35"/>
        <v>27</v>
      </c>
      <c r="S236" s="145">
        <f t="shared" si="36"/>
        <v>-11.897506561679791</v>
      </c>
      <c r="T236" s="20">
        <v>3</v>
      </c>
      <c r="U236" s="14">
        <f>+SUM('31:29'!U236)</f>
        <v>3</v>
      </c>
      <c r="V236" s="142">
        <f t="array" ref="V236">IF(ISERROR(L236/K236),"",L236/K236)</f>
        <v>1</v>
      </c>
      <c r="W236" s="14">
        <f>+SUM('31:29'!W236)</f>
        <v>0</v>
      </c>
      <c r="X236" s="14">
        <f>+SUM('31:29'!X236)</f>
        <v>0</v>
      </c>
      <c r="Y236" s="14">
        <f>+SUM('31:29'!Y236)</f>
        <v>0</v>
      </c>
      <c r="Z236" s="14">
        <f>+SUM('31:29'!Z236)</f>
        <v>0</v>
      </c>
      <c r="AA236" s="14">
        <f>+SUM('31:29'!AA236)</f>
        <v>0</v>
      </c>
      <c r="AB236" s="14">
        <f>+SUM('31:29'!AB236)</f>
        <v>0</v>
      </c>
      <c r="AC236" s="14">
        <f>+SUM('31:29'!AC236)</f>
        <v>0</v>
      </c>
    </row>
    <row r="237" spans="1:29" s="2" customFormat="1" ht="21.95" customHeight="1">
      <c r="A237" s="141">
        <v>300016</v>
      </c>
      <c r="B237" s="135" t="s">
        <v>43</v>
      </c>
      <c r="C237" s="219" t="s">
        <v>51</v>
      </c>
      <c r="D237" s="219"/>
      <c r="E237" s="147" t="s">
        <v>38</v>
      </c>
      <c r="F237" s="146"/>
      <c r="G237" s="14">
        <f>+SUM('31:29'!G237)</f>
        <v>0</v>
      </c>
      <c r="H237" s="14">
        <f>+SUM('31:29'!H237)</f>
        <v>0</v>
      </c>
      <c r="I237" s="14">
        <f>+SUM('31:29'!I237)</f>
        <v>0</v>
      </c>
      <c r="J237" s="14">
        <f>+SUM('31:29'!J237)</f>
        <v>0</v>
      </c>
      <c r="K237" s="145">
        <f t="shared" si="31"/>
        <v>0</v>
      </c>
      <c r="L237" s="145">
        <f t="shared" si="32"/>
        <v>0</v>
      </c>
      <c r="M237" s="145">
        <v>524.6</v>
      </c>
      <c r="N237" s="145">
        <f>+M237*1000/(25.4*20*15*60)*T237</f>
        <v>3.4422572178477688</v>
      </c>
      <c r="O237" s="14">
        <f>+SUM('31:29'!O237)</f>
        <v>0</v>
      </c>
      <c r="P237" s="145">
        <f t="shared" si="34"/>
        <v>0</v>
      </c>
      <c r="Q237" s="14">
        <f>+SUM('31:29'!Q237)</f>
        <v>0</v>
      </c>
      <c r="R237" s="19">
        <f t="shared" si="35"/>
        <v>0</v>
      </c>
      <c r="S237" s="145">
        <f t="shared" si="36"/>
        <v>0</v>
      </c>
      <c r="T237" s="20">
        <v>3</v>
      </c>
      <c r="U237" s="14">
        <f>+SUM('31:29'!U237)</f>
        <v>0</v>
      </c>
      <c r="V237" s="142" t="str">
        <f t="array" ref="V237">IF(ISERROR(L237/K237),"",L237/K237)</f>
        <v/>
      </c>
      <c r="W237" s="14">
        <f>+SUM('31:29'!W237)</f>
        <v>0</v>
      </c>
      <c r="X237" s="14">
        <f>+SUM('31:29'!X237)</f>
        <v>0</v>
      </c>
      <c r="Y237" s="14">
        <f>+SUM('31:29'!Y237)</f>
        <v>0</v>
      </c>
      <c r="Z237" s="14">
        <f>+SUM('31:29'!Z237)</f>
        <v>0</v>
      </c>
      <c r="AA237" s="14">
        <f>+SUM('31:29'!AA237)</f>
        <v>0</v>
      </c>
      <c r="AB237" s="14">
        <f>+SUM('31:29'!AB237)</f>
        <v>0</v>
      </c>
      <c r="AC237" s="14">
        <f>+SUM('31:29'!AC237)</f>
        <v>0</v>
      </c>
    </row>
    <row r="238" spans="1:29" s="132" customFormat="1" ht="21" customHeight="1">
      <c r="A238" s="126">
        <v>3000435</v>
      </c>
      <c r="B238" s="138" t="s">
        <v>43</v>
      </c>
      <c r="C238" s="232" t="s">
        <v>51</v>
      </c>
      <c r="D238" s="232"/>
      <c r="E238" s="42" t="s">
        <v>301</v>
      </c>
      <c r="F238" s="127"/>
      <c r="G238" s="14">
        <f>+SUM('31:29'!G238)</f>
        <v>8</v>
      </c>
      <c r="H238" s="14">
        <f>+SUM('31:29'!H238)</f>
        <v>0</v>
      </c>
      <c r="I238" s="14">
        <f>+SUM('31:29'!I238)</f>
        <v>8</v>
      </c>
      <c r="J238" s="14">
        <f>+SUM('31:29'!J238)</f>
        <v>1000</v>
      </c>
      <c r="K238" s="15">
        <f t="shared" si="31"/>
        <v>4196.8</v>
      </c>
      <c r="L238" s="15">
        <f t="shared" si="32"/>
        <v>4196.8</v>
      </c>
      <c r="M238" s="15">
        <v>524.6</v>
      </c>
      <c r="N238" s="15">
        <f>+M238*1000/(25.4*20*15*60)*T238</f>
        <v>3.4422572178477688</v>
      </c>
      <c r="O238" s="14">
        <f>+SUM('31:29'!O238)</f>
        <v>0.5</v>
      </c>
      <c r="P238" s="15">
        <f t="shared" si="34"/>
        <v>28.538057742782151</v>
      </c>
      <c r="Q238" s="14">
        <f>+SUM('31:29'!Q238)</f>
        <v>12</v>
      </c>
      <c r="R238" s="129">
        <f t="shared" si="35"/>
        <v>24</v>
      </c>
      <c r="S238" s="15">
        <f t="shared" si="36"/>
        <v>-4.5380577427821507</v>
      </c>
      <c r="T238" s="130">
        <v>3</v>
      </c>
      <c r="U238" s="14">
        <f>+SUM('31:29'!U238)</f>
        <v>2</v>
      </c>
      <c r="V238" s="131"/>
      <c r="W238" s="14">
        <f>+SUM('31:29'!W238)</f>
        <v>0</v>
      </c>
      <c r="X238" s="14">
        <f>+SUM('31:29'!X238)</f>
        <v>3.5</v>
      </c>
      <c r="Y238" s="14">
        <f>+SUM('31:29'!Y238)</f>
        <v>0</v>
      </c>
      <c r="Z238" s="14">
        <f>+SUM('31:29'!Z238)</f>
        <v>0</v>
      </c>
      <c r="AA238" s="14">
        <f>+SUM('31:29'!AA238)</f>
        <v>0</v>
      </c>
      <c r="AB238" s="14">
        <f>+SUM('31:29'!AB238)</f>
        <v>0</v>
      </c>
      <c r="AC238" s="14">
        <f>+SUM('31:29'!AC238)</f>
        <v>0</v>
      </c>
    </row>
    <row r="239" spans="1:29" ht="21.95" customHeight="1">
      <c r="A239" s="141">
        <v>300276</v>
      </c>
      <c r="B239" s="135" t="s">
        <v>43</v>
      </c>
      <c r="C239" s="219" t="s">
        <v>53</v>
      </c>
      <c r="D239" s="219"/>
      <c r="E239" s="147" t="s">
        <v>41</v>
      </c>
      <c r="F239" s="13"/>
      <c r="G239" s="14">
        <f>+SUM('31:29'!G239)</f>
        <v>0</v>
      </c>
      <c r="H239" s="14">
        <f>+SUM('31:29'!H239)</f>
        <v>0</v>
      </c>
      <c r="I239" s="14">
        <f>+SUM('31:29'!I239)</f>
        <v>0</v>
      </c>
      <c r="J239" s="14">
        <f>+SUM('31:29'!J239)</f>
        <v>0</v>
      </c>
      <c r="K239" s="145">
        <f t="shared" si="31"/>
        <v>0</v>
      </c>
      <c r="L239" s="145">
        <f t="shared" si="32"/>
        <v>0</v>
      </c>
      <c r="M239" s="15">
        <v>266</v>
      </c>
      <c r="N239" s="145">
        <f>+M239*1000/(29.8*10*13*60)*T239</f>
        <v>3.4331440371708828</v>
      </c>
      <c r="O239" s="14">
        <f>+SUM('31:29'!O239)</f>
        <v>0</v>
      </c>
      <c r="P239" s="145">
        <f t="shared" si="34"/>
        <v>0</v>
      </c>
      <c r="Q239" s="14">
        <f>+SUM('31:29'!Q239)</f>
        <v>0</v>
      </c>
      <c r="R239" s="19">
        <f t="shared" si="35"/>
        <v>0</v>
      </c>
      <c r="S239" s="145">
        <f t="shared" si="36"/>
        <v>0</v>
      </c>
      <c r="T239" s="20">
        <v>3</v>
      </c>
      <c r="U239" s="14">
        <f>+SUM('31:29'!U239)</f>
        <v>0</v>
      </c>
      <c r="V239" s="142" t="str">
        <f t="array" ref="V239">IF(ISERROR(L239/K239),"",L239/K239)</f>
        <v/>
      </c>
      <c r="W239" s="14">
        <f>+SUM('31:29'!W239)</f>
        <v>0</v>
      </c>
      <c r="X239" s="14">
        <f>+SUM('31:29'!X239)</f>
        <v>0</v>
      </c>
      <c r="Y239" s="14">
        <f>+SUM('31:29'!Y239)</f>
        <v>0</v>
      </c>
      <c r="Z239" s="14">
        <f>+SUM('31:29'!Z239)</f>
        <v>0</v>
      </c>
      <c r="AA239" s="14">
        <f>+SUM('31:29'!AA239)</f>
        <v>0</v>
      </c>
      <c r="AB239" s="14">
        <f>+SUM('31:29'!AB239)</f>
        <v>0</v>
      </c>
      <c r="AC239" s="14">
        <f>+SUM('31:29'!AC239)</f>
        <v>0</v>
      </c>
    </row>
    <row r="240" spans="1:29" ht="21.95" customHeight="1">
      <c r="A240" s="141">
        <v>300277</v>
      </c>
      <c r="B240" s="135" t="s">
        <v>43</v>
      </c>
      <c r="C240" s="219" t="s">
        <v>53</v>
      </c>
      <c r="D240" s="219"/>
      <c r="E240" s="147" t="s">
        <v>39</v>
      </c>
      <c r="F240" s="13"/>
      <c r="G240" s="14">
        <f>+SUM('31:29'!G240)</f>
        <v>0</v>
      </c>
      <c r="H240" s="14">
        <f>+SUM('31:29'!H240)</f>
        <v>0</v>
      </c>
      <c r="I240" s="14">
        <f>+SUM('31:29'!I240)</f>
        <v>0</v>
      </c>
      <c r="J240" s="14">
        <f>+SUM('31:29'!J240)</f>
        <v>0</v>
      </c>
      <c r="K240" s="145">
        <f t="shared" si="31"/>
        <v>0</v>
      </c>
      <c r="L240" s="145">
        <f t="shared" si="32"/>
        <v>0</v>
      </c>
      <c r="M240" s="15">
        <v>266</v>
      </c>
      <c r="N240" s="145">
        <f>+M240*1000/(29.8*10*13*60)*T240</f>
        <v>3.4331440371708828</v>
      </c>
      <c r="O240" s="14">
        <f>+SUM('31:29'!O240)</f>
        <v>0</v>
      </c>
      <c r="P240" s="145">
        <f t="shared" si="34"/>
        <v>0</v>
      </c>
      <c r="Q240" s="14">
        <f>+SUM('31:29'!Q240)</f>
        <v>0</v>
      </c>
      <c r="R240" s="19">
        <f t="shared" si="35"/>
        <v>0</v>
      </c>
      <c r="S240" s="145">
        <f t="shared" si="36"/>
        <v>0</v>
      </c>
      <c r="T240" s="20">
        <v>3</v>
      </c>
      <c r="U240" s="14">
        <f>+SUM('31:29'!U240)</f>
        <v>0</v>
      </c>
      <c r="V240" s="142" t="str">
        <f t="array" ref="V240">IF(ISERROR(L240/K240),"",L240/K240)</f>
        <v/>
      </c>
      <c r="W240" s="14">
        <f>+SUM('31:29'!W240)</f>
        <v>0</v>
      </c>
      <c r="X240" s="14">
        <f>+SUM('31:29'!X240)</f>
        <v>0</v>
      </c>
      <c r="Y240" s="14">
        <f>+SUM('31:29'!Y240)</f>
        <v>0</v>
      </c>
      <c r="Z240" s="14">
        <f>+SUM('31:29'!Z240)</f>
        <v>0</v>
      </c>
      <c r="AA240" s="14">
        <f>+SUM('31:29'!AA240)</f>
        <v>0</v>
      </c>
      <c r="AB240" s="14">
        <f>+SUM('31:29'!AB240)</f>
        <v>0</v>
      </c>
      <c r="AC240" s="14">
        <f>+SUM('31:29'!AC240)</f>
        <v>0</v>
      </c>
    </row>
    <row r="241" spans="1:29" ht="21.95" customHeight="1">
      <c r="A241" s="141">
        <v>300278</v>
      </c>
      <c r="B241" s="135" t="s">
        <v>43</v>
      </c>
      <c r="C241" s="219" t="s">
        <v>53</v>
      </c>
      <c r="D241" s="219"/>
      <c r="E241" s="147" t="s">
        <v>54</v>
      </c>
      <c r="F241" s="13"/>
      <c r="G241" s="14">
        <f>+SUM('31:29'!G241)</f>
        <v>0</v>
      </c>
      <c r="H241" s="14">
        <f>+SUM('31:29'!H241)</f>
        <v>0</v>
      </c>
      <c r="I241" s="14">
        <f>+SUM('31:29'!I241)</f>
        <v>0</v>
      </c>
      <c r="J241" s="14">
        <f>+SUM('31:29'!J241)</f>
        <v>0</v>
      </c>
      <c r="K241" s="145">
        <f t="shared" si="31"/>
        <v>0</v>
      </c>
      <c r="L241" s="145">
        <f t="shared" si="32"/>
        <v>0</v>
      </c>
      <c r="M241" s="15">
        <v>266</v>
      </c>
      <c r="N241" s="145">
        <f>+M241*1000/(29.8*10*13*60)*T241</f>
        <v>3.4331440371708828</v>
      </c>
      <c r="O241" s="14">
        <f>+SUM('31:29'!O241)</f>
        <v>0</v>
      </c>
      <c r="P241" s="145">
        <f t="shared" si="34"/>
        <v>0</v>
      </c>
      <c r="Q241" s="14">
        <f>+SUM('31:29'!Q241)</f>
        <v>0</v>
      </c>
      <c r="R241" s="19">
        <f t="shared" si="35"/>
        <v>0</v>
      </c>
      <c r="S241" s="145">
        <f t="shared" si="36"/>
        <v>0</v>
      </c>
      <c r="T241" s="20">
        <v>3</v>
      </c>
      <c r="U241" s="14">
        <f>+SUM('31:29'!U241)</f>
        <v>0</v>
      </c>
      <c r="V241" s="142" t="str">
        <f t="array" ref="V241">IF(ISERROR(L241/K241),"",L241/K241)</f>
        <v/>
      </c>
      <c r="W241" s="14">
        <f>+SUM('31:29'!W241)</f>
        <v>0</v>
      </c>
      <c r="X241" s="14">
        <f>+SUM('31:29'!X241)</f>
        <v>0</v>
      </c>
      <c r="Y241" s="14">
        <f>+SUM('31:29'!Y241)</f>
        <v>0</v>
      </c>
      <c r="Z241" s="14">
        <f>+SUM('31:29'!Z241)</f>
        <v>0</v>
      </c>
      <c r="AA241" s="14">
        <f>+SUM('31:29'!AA241)</f>
        <v>0</v>
      </c>
      <c r="AB241" s="14">
        <f>+SUM('31:29'!AB241)</f>
        <v>0</v>
      </c>
      <c r="AC241" s="14">
        <f>+SUM('31:29'!AC241)</f>
        <v>0</v>
      </c>
    </row>
    <row r="242" spans="1:29" s="2" customFormat="1" ht="21" customHeight="1">
      <c r="A242" s="141">
        <v>300027</v>
      </c>
      <c r="B242" s="135" t="s">
        <v>55</v>
      </c>
      <c r="C242" s="219" t="s">
        <v>56</v>
      </c>
      <c r="D242" s="219"/>
      <c r="E242" s="147" t="s">
        <v>54</v>
      </c>
      <c r="F242" s="146"/>
      <c r="G242" s="14">
        <f>+SUM('31:29'!G242)</f>
        <v>15</v>
      </c>
      <c r="H242" s="14">
        <f>+SUM('31:29'!H242)</f>
        <v>1</v>
      </c>
      <c r="I242" s="14">
        <f>+SUM('31:29'!I242)</f>
        <v>15</v>
      </c>
      <c r="J242" s="14">
        <f>+SUM('31:29'!J242)</f>
        <v>0</v>
      </c>
      <c r="K242" s="145">
        <f t="shared" si="31"/>
        <v>8256</v>
      </c>
      <c r="L242" s="145">
        <f t="shared" si="32"/>
        <v>8256</v>
      </c>
      <c r="M242" s="145">
        <v>550.4</v>
      </c>
      <c r="N242" s="145">
        <f>+M242*1000/(31*20*15*60)*T242</f>
        <v>2.9591397849462364</v>
      </c>
      <c r="O242" s="14">
        <f>+SUM('31:29'!O242)</f>
        <v>0</v>
      </c>
      <c r="P242" s="145">
        <f t="shared" si="34"/>
        <v>44.387096774193544</v>
      </c>
      <c r="Q242" s="14">
        <f>+SUM('31:29'!Q242)</f>
        <v>20</v>
      </c>
      <c r="R242" s="19">
        <f t="shared" si="35"/>
        <v>80</v>
      </c>
      <c r="S242" s="145">
        <f t="shared" si="36"/>
        <v>35.612903225806456</v>
      </c>
      <c r="T242" s="20">
        <v>3</v>
      </c>
      <c r="U242" s="14">
        <f>+SUM('31:29'!U242)</f>
        <v>4</v>
      </c>
      <c r="V242" s="142">
        <f t="array" ref="V242">IF(ISERROR(L242/K242),"",L242/K242)</f>
        <v>1</v>
      </c>
      <c r="W242" s="14">
        <f>+SUM('31:29'!W242)</f>
        <v>0</v>
      </c>
      <c r="X242" s="14">
        <f>+SUM('31:29'!X242)</f>
        <v>0</v>
      </c>
      <c r="Y242" s="14">
        <f>+SUM('31:29'!Y242)</f>
        <v>0</v>
      </c>
      <c r="Z242" s="14">
        <f>+SUM('31:29'!Z242)</f>
        <v>0</v>
      </c>
      <c r="AA242" s="14">
        <f>+SUM('31:29'!AA242)</f>
        <v>0</v>
      </c>
      <c r="AB242" s="14">
        <f>+SUM('31:29'!AB242)</f>
        <v>0</v>
      </c>
      <c r="AC242" s="14">
        <f>+SUM('31:29'!AC242)</f>
        <v>0</v>
      </c>
    </row>
    <row r="243" spans="1:29" s="2" customFormat="1" ht="21.95" customHeight="1">
      <c r="A243" s="141">
        <v>300028</v>
      </c>
      <c r="B243" s="135" t="s">
        <v>55</v>
      </c>
      <c r="C243" s="219" t="s">
        <v>56</v>
      </c>
      <c r="D243" s="219"/>
      <c r="E243" s="147" t="s">
        <v>35</v>
      </c>
      <c r="F243" s="146"/>
      <c r="G243" s="14">
        <f>+SUM('31:29'!G243)</f>
        <v>4.0600000000000005</v>
      </c>
      <c r="H243" s="14">
        <f>+SUM('31:29'!H243)</f>
        <v>0.06</v>
      </c>
      <c r="I243" s="14">
        <f>+SUM('31:29'!I243)</f>
        <v>3.8600000000000003</v>
      </c>
      <c r="J243" s="14">
        <f>+SUM('31:29'!J243)</f>
        <v>100</v>
      </c>
      <c r="K243" s="145">
        <f t="shared" si="31"/>
        <v>2234.6240000000003</v>
      </c>
      <c r="L243" s="145">
        <f t="shared" si="32"/>
        <v>2124.5439999999999</v>
      </c>
      <c r="M243" s="145">
        <v>550.4</v>
      </c>
      <c r="N243" s="145">
        <f>+M243*1000/(31*20*15*60)*T243</f>
        <v>2.9591397849462364</v>
      </c>
      <c r="O243" s="14">
        <f>+SUM('31:29'!O243)</f>
        <v>0.5</v>
      </c>
      <c r="P243" s="145">
        <f t="shared" si="34"/>
        <v>14.422279569892474</v>
      </c>
      <c r="Q243" s="14">
        <f>+SUM('31:29'!Q243)</f>
        <v>9</v>
      </c>
      <c r="R243" s="19">
        <f t="shared" si="35"/>
        <v>54</v>
      </c>
      <c r="S243" s="145">
        <f t="shared" si="36"/>
        <v>39.577720430107526</v>
      </c>
      <c r="T243" s="20">
        <v>3</v>
      </c>
      <c r="U243" s="14">
        <f>+SUM('31:29'!U243)</f>
        <v>6</v>
      </c>
      <c r="V243" s="142">
        <f t="array" ref="V243">IF(ISERROR(L243/K243),"",L243/K243)</f>
        <v>0.95073891625615747</v>
      </c>
      <c r="W243" s="14">
        <f>+SUM('31:29'!W243)</f>
        <v>0</v>
      </c>
      <c r="X243" s="14">
        <f>+SUM('31:29'!X243)</f>
        <v>0</v>
      </c>
      <c r="Y243" s="14">
        <f>+SUM('31:29'!Y243)</f>
        <v>0</v>
      </c>
      <c r="Z243" s="14">
        <f>+SUM('31:29'!Z243)</f>
        <v>0</v>
      </c>
      <c r="AA243" s="14">
        <f>+SUM('31:29'!AA243)</f>
        <v>0</v>
      </c>
      <c r="AB243" s="14">
        <f>+SUM('31:29'!AB243)</f>
        <v>0</v>
      </c>
      <c r="AC243" s="14">
        <f>+SUM('31:29'!AC243)</f>
        <v>0</v>
      </c>
    </row>
    <row r="244" spans="1:29" s="2" customFormat="1" ht="21.95" customHeight="1">
      <c r="A244" s="141">
        <v>300029</v>
      </c>
      <c r="B244" s="135" t="s">
        <v>55</v>
      </c>
      <c r="C244" s="219" t="s">
        <v>56</v>
      </c>
      <c r="D244" s="219"/>
      <c r="E244" s="147" t="s">
        <v>57</v>
      </c>
      <c r="F244" s="146"/>
      <c r="G244" s="14">
        <f>+SUM('31:29'!G244)</f>
        <v>13</v>
      </c>
      <c r="H244" s="14">
        <f>+SUM('31:29'!H244)</f>
        <v>0</v>
      </c>
      <c r="I244" s="14">
        <f>+SUM('31:29'!I244)</f>
        <v>13</v>
      </c>
      <c r="J244" s="14">
        <f>+SUM('31:29'!J244)</f>
        <v>500</v>
      </c>
      <c r="K244" s="145">
        <f t="shared" si="31"/>
        <v>7155.2</v>
      </c>
      <c r="L244" s="145">
        <f t="shared" si="32"/>
        <v>7155.2</v>
      </c>
      <c r="M244" s="145">
        <v>550.4</v>
      </c>
      <c r="N244" s="145">
        <f>+M244*1000/(31*20*15*60)*T244</f>
        <v>2.9591397849462364</v>
      </c>
      <c r="O244" s="14">
        <f>+SUM('31:29'!O244)</f>
        <v>0.5</v>
      </c>
      <c r="P244" s="145">
        <f t="shared" si="34"/>
        <v>39.468817204301075</v>
      </c>
      <c r="Q244" s="14">
        <f>+SUM('31:29'!Q244)</f>
        <v>17</v>
      </c>
      <c r="R244" s="19">
        <f t="shared" si="35"/>
        <v>34</v>
      </c>
      <c r="S244" s="145">
        <f t="shared" si="36"/>
        <v>-5.4688172043010752</v>
      </c>
      <c r="T244" s="20">
        <v>3</v>
      </c>
      <c r="U244" s="14">
        <f>+SUM('31:29'!U244)</f>
        <v>2</v>
      </c>
      <c r="V244" s="142">
        <f t="array" ref="V244">IF(ISERROR(L244/K244),"",L244/K244)</f>
        <v>1</v>
      </c>
      <c r="W244" s="14">
        <f>+SUM('31:29'!W244)</f>
        <v>0</v>
      </c>
      <c r="X244" s="14">
        <f>+SUM('31:29'!X244)</f>
        <v>0</v>
      </c>
      <c r="Y244" s="14">
        <f>+SUM('31:29'!Y244)</f>
        <v>0</v>
      </c>
      <c r="Z244" s="14">
        <f>+SUM('31:29'!Z244)</f>
        <v>0</v>
      </c>
      <c r="AA244" s="14">
        <f>+SUM('31:29'!AA244)</f>
        <v>0</v>
      </c>
      <c r="AB244" s="14">
        <f>+SUM('31:29'!AB244)</f>
        <v>0</v>
      </c>
      <c r="AC244" s="14">
        <f>+SUM('31:29'!AC244)</f>
        <v>0</v>
      </c>
    </row>
    <row r="245" spans="1:29" s="2" customFormat="1" ht="21.95" customHeight="1">
      <c r="A245" s="141">
        <v>300026</v>
      </c>
      <c r="B245" s="135" t="s">
        <v>55</v>
      </c>
      <c r="C245" s="219" t="s">
        <v>56</v>
      </c>
      <c r="D245" s="219"/>
      <c r="E245" s="147" t="s">
        <v>37</v>
      </c>
      <c r="F245" s="146"/>
      <c r="G245" s="14">
        <f>+SUM('31:29'!G245)</f>
        <v>12</v>
      </c>
      <c r="H245" s="14">
        <f>+SUM('31:29'!H245)</f>
        <v>0</v>
      </c>
      <c r="I245" s="14">
        <f>+SUM('31:29'!I245)</f>
        <v>11.3</v>
      </c>
      <c r="J245" s="14">
        <f>+SUM('31:29'!J245)</f>
        <v>350</v>
      </c>
      <c r="K245" s="145">
        <f t="shared" si="31"/>
        <v>6604.7999999999993</v>
      </c>
      <c r="L245" s="145">
        <f t="shared" si="32"/>
        <v>6219.52</v>
      </c>
      <c r="M245" s="145">
        <v>550.4</v>
      </c>
      <c r="N245" s="145">
        <f>+M245*1000/(31*20*15*60)*T245</f>
        <v>2.9591397849462364</v>
      </c>
      <c r="O245" s="14">
        <f>+SUM('31:29'!O245)</f>
        <v>0</v>
      </c>
      <c r="P245" s="145">
        <f t="shared" si="34"/>
        <v>33.438279569892472</v>
      </c>
      <c r="Q245" s="14">
        <f>+SUM('31:29'!Q245)</f>
        <v>15</v>
      </c>
      <c r="R245" s="19">
        <f t="shared" si="35"/>
        <v>30</v>
      </c>
      <c r="S245" s="145">
        <f t="shared" si="36"/>
        <v>-3.4382795698924724</v>
      </c>
      <c r="T245" s="20">
        <v>3</v>
      </c>
      <c r="U245" s="14">
        <f>+SUM('31:29'!U245)</f>
        <v>2</v>
      </c>
      <c r="V245" s="142">
        <f t="array" ref="V245">IF(ISERROR(L245/K245),"",L245/K245)</f>
        <v>0.94166666666666687</v>
      </c>
      <c r="W245" s="14">
        <f>+SUM('31:29'!W245)</f>
        <v>0</v>
      </c>
      <c r="X245" s="14">
        <f>+SUM('31:29'!X245)</f>
        <v>0</v>
      </c>
      <c r="Y245" s="14">
        <f>+SUM('31:29'!Y245)</f>
        <v>0</v>
      </c>
      <c r="Z245" s="14">
        <f>+SUM('31:29'!Z245)</f>
        <v>0</v>
      </c>
      <c r="AA245" s="14">
        <f>+SUM('31:29'!AA245)</f>
        <v>4</v>
      </c>
      <c r="AB245" s="14">
        <f>+SUM('31:29'!AB245)</f>
        <v>0</v>
      </c>
      <c r="AC245" s="14">
        <f>+SUM('31:29'!AC245)</f>
        <v>0</v>
      </c>
    </row>
    <row r="246" spans="1:29" s="2" customFormat="1" ht="21.95" customHeight="1">
      <c r="A246" s="141">
        <v>300032</v>
      </c>
      <c r="B246" s="135">
        <v>3002</v>
      </c>
      <c r="C246" s="219" t="s">
        <v>58</v>
      </c>
      <c r="D246" s="219" t="s">
        <v>59</v>
      </c>
      <c r="E246" s="147" t="s">
        <v>35</v>
      </c>
      <c r="F246" s="146"/>
      <c r="G246" s="14">
        <f>+SUM('31:29'!G246)</f>
        <v>0</v>
      </c>
      <c r="H246" s="14">
        <f>+SUM('31:29'!H246)</f>
        <v>0</v>
      </c>
      <c r="I246" s="14">
        <f>+SUM('31:29'!I246)</f>
        <v>0</v>
      </c>
      <c r="J246" s="14">
        <f>+SUM('31:29'!J246)</f>
        <v>0</v>
      </c>
      <c r="K246" s="145">
        <f t="shared" si="31"/>
        <v>0</v>
      </c>
      <c r="L246" s="145">
        <f t="shared" si="32"/>
        <v>0</v>
      </c>
      <c r="M246" s="145">
        <v>285.7</v>
      </c>
      <c r="N246" s="145">
        <f>+M246*1000/(31*10*13*60)*T246</f>
        <v>7.0893300248138953</v>
      </c>
      <c r="O246" s="14">
        <f>+SUM('31:29'!O246)</f>
        <v>0</v>
      </c>
      <c r="P246" s="145">
        <f t="shared" si="34"/>
        <v>0</v>
      </c>
      <c r="Q246" s="14">
        <f>+SUM('31:29'!Q246)</f>
        <v>0</v>
      </c>
      <c r="R246" s="19">
        <f t="shared" si="35"/>
        <v>0</v>
      </c>
      <c r="S246" s="145">
        <f t="shared" si="36"/>
        <v>0</v>
      </c>
      <c r="T246" s="20">
        <v>6</v>
      </c>
      <c r="U246" s="14">
        <f>+SUM('31:29'!U246)</f>
        <v>0</v>
      </c>
      <c r="V246" s="142" t="str">
        <f t="array" ref="V246">IF(ISERROR(L246/K246),"",L246/K246)</f>
        <v/>
      </c>
      <c r="W246" s="14">
        <f>+SUM('31:29'!W246)</f>
        <v>0</v>
      </c>
      <c r="X246" s="14">
        <f>+SUM('31:29'!X246)</f>
        <v>0</v>
      </c>
      <c r="Y246" s="14">
        <f>+SUM('31:29'!Y246)</f>
        <v>0</v>
      </c>
      <c r="Z246" s="14">
        <f>+SUM('31:29'!Z246)</f>
        <v>0</v>
      </c>
      <c r="AA246" s="14">
        <f>+SUM('31:29'!AA246)</f>
        <v>0</v>
      </c>
      <c r="AB246" s="14">
        <f>+SUM('31:29'!AB246)</f>
        <v>0</v>
      </c>
      <c r="AC246" s="14">
        <f>+SUM('31:29'!AC246)</f>
        <v>0</v>
      </c>
    </row>
    <row r="247" spans="1:29" ht="21.95" customHeight="1">
      <c r="A247" s="141">
        <v>300413</v>
      </c>
      <c r="B247" s="135">
        <v>3002</v>
      </c>
      <c r="C247" s="230" t="s">
        <v>296</v>
      </c>
      <c r="D247" s="231"/>
      <c r="E247" s="147" t="s">
        <v>294</v>
      </c>
      <c r="F247" s="13"/>
      <c r="G247" s="14">
        <f>+SUM('31:29'!G247)</f>
        <v>7.3</v>
      </c>
      <c r="H247" s="14">
        <f>+SUM('31:29'!H247)</f>
        <v>1.3</v>
      </c>
      <c r="I247" s="14">
        <f>+SUM('31:29'!I247)</f>
        <v>7.3</v>
      </c>
      <c r="J247" s="14">
        <f>+SUM('31:29'!J247)</f>
        <v>0</v>
      </c>
      <c r="K247" s="145">
        <f t="shared" si="31"/>
        <v>3860.24</v>
      </c>
      <c r="L247" s="145">
        <f t="shared" si="32"/>
        <v>3860.24</v>
      </c>
      <c r="M247" s="145">
        <v>528.79999999999995</v>
      </c>
      <c r="N247" s="145">
        <f>+M247*1000/(31*10*13*60)*T247</f>
        <v>6.5607940446650126</v>
      </c>
      <c r="O247" s="14">
        <f>+SUM('31:29'!O247)</f>
        <v>0</v>
      </c>
      <c r="P247" s="145">
        <f t="shared" si="34"/>
        <v>47.893796526054594</v>
      </c>
      <c r="Q247" s="14">
        <f>+SUM('31:29'!Q247)</f>
        <v>11</v>
      </c>
      <c r="R247" s="19">
        <f t="shared" si="35"/>
        <v>22</v>
      </c>
      <c r="S247" s="145">
        <f t="shared" si="36"/>
        <v>-25.893796526054594</v>
      </c>
      <c r="T247" s="20">
        <v>3</v>
      </c>
      <c r="U247" s="14">
        <f>+SUM('31:29'!U247)</f>
        <v>2</v>
      </c>
      <c r="V247" s="142"/>
      <c r="W247" s="14">
        <f>+SUM('31:29'!W247)</f>
        <v>0</v>
      </c>
      <c r="X247" s="14">
        <f>+SUM('31:29'!X247)</f>
        <v>0</v>
      </c>
      <c r="Y247" s="14">
        <f>+SUM('31:29'!Y247)</f>
        <v>0</v>
      </c>
      <c r="Z247" s="14">
        <f>+SUM('31:29'!Z247)</f>
        <v>0</v>
      </c>
      <c r="AA247" s="14">
        <f>+SUM('31:29'!AA247)</f>
        <v>0</v>
      </c>
      <c r="AB247" s="14">
        <f>+SUM('31:29'!AB247)</f>
        <v>0</v>
      </c>
      <c r="AC247" s="14">
        <f>+SUM('31:29'!AC247)</f>
        <v>0</v>
      </c>
    </row>
    <row r="248" spans="1:29" ht="21.95" customHeight="1">
      <c r="A248" s="141">
        <v>300414</v>
      </c>
      <c r="B248" s="135">
        <v>3002</v>
      </c>
      <c r="C248" s="230" t="s">
        <v>296</v>
      </c>
      <c r="D248" s="231"/>
      <c r="E248" s="147" t="s">
        <v>291</v>
      </c>
      <c r="F248" s="13"/>
      <c r="G248" s="14">
        <f>+SUM('31:29'!G248)</f>
        <v>0</v>
      </c>
      <c r="H248" s="14">
        <f>+SUM('31:29'!H248)</f>
        <v>0</v>
      </c>
      <c r="I248" s="14">
        <f>+SUM('31:29'!I248)</f>
        <v>0</v>
      </c>
      <c r="J248" s="14">
        <f>+SUM('31:29'!J248)</f>
        <v>0</v>
      </c>
      <c r="K248" s="145">
        <f t="shared" si="31"/>
        <v>0</v>
      </c>
      <c r="L248" s="145">
        <f t="shared" si="32"/>
        <v>0</v>
      </c>
      <c r="M248" s="145">
        <v>528.79999999999995</v>
      </c>
      <c r="N248" s="145">
        <f>+M248*1000/(31*10*13*60)*T248</f>
        <v>6.5607940446650126</v>
      </c>
      <c r="O248" s="14">
        <f>+SUM('31:29'!O248)</f>
        <v>0</v>
      </c>
      <c r="P248" s="145">
        <f t="shared" si="34"/>
        <v>0</v>
      </c>
      <c r="Q248" s="14">
        <f>+SUM('31:29'!Q248)</f>
        <v>0</v>
      </c>
      <c r="R248" s="19">
        <f t="shared" si="35"/>
        <v>0</v>
      </c>
      <c r="S248" s="145">
        <f t="shared" si="36"/>
        <v>0</v>
      </c>
      <c r="T248" s="20">
        <v>3</v>
      </c>
      <c r="U248" s="14">
        <f>+SUM('31:29'!U248)</f>
        <v>0</v>
      </c>
      <c r="V248" s="142"/>
      <c r="W248" s="14">
        <f>+SUM('31:29'!W248)</f>
        <v>0</v>
      </c>
      <c r="X248" s="14">
        <f>+SUM('31:29'!X248)</f>
        <v>0</v>
      </c>
      <c r="Y248" s="14">
        <f>+SUM('31:29'!Y248)</f>
        <v>0</v>
      </c>
      <c r="Z248" s="14">
        <f>+SUM('31:29'!Z248)</f>
        <v>0</v>
      </c>
      <c r="AA248" s="14">
        <f>+SUM('31:29'!AA248)</f>
        <v>0</v>
      </c>
      <c r="AB248" s="14">
        <f>+SUM('31:29'!AB248)</f>
        <v>0</v>
      </c>
      <c r="AC248" s="14">
        <f>+SUM('31:29'!AC248)</f>
        <v>0</v>
      </c>
    </row>
    <row r="249" spans="1:29" ht="21.95" customHeight="1">
      <c r="A249" s="141">
        <v>300415</v>
      </c>
      <c r="B249" s="135">
        <v>3002</v>
      </c>
      <c r="C249" s="230" t="s">
        <v>296</v>
      </c>
      <c r="D249" s="231"/>
      <c r="E249" s="147" t="s">
        <v>295</v>
      </c>
      <c r="F249" s="13"/>
      <c r="G249" s="14">
        <f>+SUM('31:29'!G249)</f>
        <v>0</v>
      </c>
      <c r="H249" s="14">
        <f>+SUM('31:29'!H249)</f>
        <v>0</v>
      </c>
      <c r="I249" s="14">
        <f>+SUM('31:29'!I249)</f>
        <v>0</v>
      </c>
      <c r="J249" s="14">
        <f>+SUM('31:29'!J249)</f>
        <v>0</v>
      </c>
      <c r="K249" s="145">
        <f t="shared" si="31"/>
        <v>0</v>
      </c>
      <c r="L249" s="145">
        <f t="shared" si="32"/>
        <v>0</v>
      </c>
      <c r="M249" s="145">
        <v>528.79999999999995</v>
      </c>
      <c r="N249" s="145">
        <f>+M249*1000/(31*10*13*60)*T249</f>
        <v>6.5607940446650126</v>
      </c>
      <c r="O249" s="14">
        <f>+SUM('31:29'!O249)</f>
        <v>0</v>
      </c>
      <c r="P249" s="145">
        <f t="shared" si="34"/>
        <v>0</v>
      </c>
      <c r="Q249" s="14">
        <f>+SUM('31:29'!Q249)</f>
        <v>0</v>
      </c>
      <c r="R249" s="19">
        <f t="shared" si="35"/>
        <v>0</v>
      </c>
      <c r="S249" s="145">
        <f t="shared" si="36"/>
        <v>0</v>
      </c>
      <c r="T249" s="20">
        <v>3</v>
      </c>
      <c r="U249" s="14">
        <f>+SUM('31:29'!U249)</f>
        <v>0</v>
      </c>
      <c r="V249" s="142"/>
      <c r="W249" s="14">
        <f>+SUM('31:29'!W249)</f>
        <v>0</v>
      </c>
      <c r="X249" s="14">
        <f>+SUM('31:29'!X249)</f>
        <v>0</v>
      </c>
      <c r="Y249" s="14">
        <f>+SUM('31:29'!Y249)</f>
        <v>0</v>
      </c>
      <c r="Z249" s="14">
        <f>+SUM('31:29'!Z249)</f>
        <v>0</v>
      </c>
      <c r="AA249" s="14">
        <f>+SUM('31:29'!AA249)</f>
        <v>0</v>
      </c>
      <c r="AB249" s="14">
        <f>+SUM('31:29'!AB249)</f>
        <v>0</v>
      </c>
      <c r="AC249" s="14">
        <f>+SUM('31:29'!AC249)</f>
        <v>0</v>
      </c>
    </row>
    <row r="250" spans="1:29" s="2" customFormat="1" ht="21.95" customHeight="1">
      <c r="A250" s="141">
        <v>300035</v>
      </c>
      <c r="B250" s="135" t="s">
        <v>60</v>
      </c>
      <c r="C250" s="219" t="s">
        <v>61</v>
      </c>
      <c r="D250" s="219" t="s">
        <v>62</v>
      </c>
      <c r="E250" s="147" t="s">
        <v>35</v>
      </c>
      <c r="F250" s="146"/>
      <c r="G250" s="14">
        <f>+SUM('31:29'!G250)</f>
        <v>0</v>
      </c>
      <c r="H250" s="14">
        <f>+SUM('31:29'!H250)</f>
        <v>0</v>
      </c>
      <c r="I250" s="14">
        <f>+SUM('31:29'!I250)</f>
        <v>0</v>
      </c>
      <c r="J250" s="14">
        <f>+SUM('31:29'!J250)</f>
        <v>0</v>
      </c>
      <c r="K250" s="145">
        <f t="shared" si="31"/>
        <v>0</v>
      </c>
      <c r="L250" s="145">
        <f t="shared" si="32"/>
        <v>0</v>
      </c>
      <c r="M250" s="145">
        <v>366.93</v>
      </c>
      <c r="N250" s="145">
        <f>+M250*1000/(35.8*10*13*60)*T250</f>
        <v>2.6280618822518265</v>
      </c>
      <c r="O250" s="14">
        <f>+SUM('31:29'!O250)</f>
        <v>0</v>
      </c>
      <c r="P250" s="145">
        <f t="shared" si="34"/>
        <v>0</v>
      </c>
      <c r="Q250" s="14">
        <f>+SUM('31:29'!Q250)</f>
        <v>0</v>
      </c>
      <c r="R250" s="19">
        <f t="shared" si="35"/>
        <v>0</v>
      </c>
      <c r="S250" s="145">
        <f t="shared" si="36"/>
        <v>0</v>
      </c>
      <c r="T250" s="20">
        <v>2</v>
      </c>
      <c r="U250" s="14">
        <f>+SUM('31:29'!U250)</f>
        <v>0</v>
      </c>
      <c r="V250" s="142" t="str">
        <f t="array" ref="V250">IF(ISERROR(L250/K250),"",L250/K250)</f>
        <v/>
      </c>
      <c r="W250" s="14">
        <f>+SUM('31:29'!W250)</f>
        <v>0</v>
      </c>
      <c r="X250" s="14">
        <f>+SUM('31:29'!X250)</f>
        <v>0</v>
      </c>
      <c r="Y250" s="14">
        <f>+SUM('31:29'!Y250)</f>
        <v>0</v>
      </c>
      <c r="Z250" s="14">
        <f>+SUM('31:29'!Z250)</f>
        <v>0</v>
      </c>
      <c r="AA250" s="14">
        <f>+SUM('31:29'!AA250)</f>
        <v>0</v>
      </c>
      <c r="AB250" s="14">
        <f>+SUM('31:29'!AB250)</f>
        <v>0</v>
      </c>
      <c r="AC250" s="14">
        <f>+SUM('31:29'!AC250)</f>
        <v>0</v>
      </c>
    </row>
    <row r="251" spans="1:29" s="2" customFormat="1" ht="21.95" customHeight="1">
      <c r="A251" s="141">
        <v>300036</v>
      </c>
      <c r="B251" s="135" t="s">
        <v>60</v>
      </c>
      <c r="C251" s="219" t="s">
        <v>61</v>
      </c>
      <c r="D251" s="219" t="s">
        <v>62</v>
      </c>
      <c r="E251" s="147" t="s">
        <v>63</v>
      </c>
      <c r="F251" s="146"/>
      <c r="G251" s="14">
        <f>+SUM('31:29'!G251)</f>
        <v>0</v>
      </c>
      <c r="H251" s="14">
        <f>+SUM('31:29'!H251)</f>
        <v>0</v>
      </c>
      <c r="I251" s="14">
        <f>+SUM('31:29'!I251)</f>
        <v>0</v>
      </c>
      <c r="J251" s="14">
        <f>+SUM('31:29'!J251)</f>
        <v>0</v>
      </c>
      <c r="K251" s="145">
        <f t="shared" si="31"/>
        <v>0</v>
      </c>
      <c r="L251" s="145">
        <f t="shared" si="32"/>
        <v>0</v>
      </c>
      <c r="M251" s="145">
        <v>366.93</v>
      </c>
      <c r="N251" s="145">
        <f>+M251*1000/(35.8*10*13*60)*T251</f>
        <v>2.6280618822518265</v>
      </c>
      <c r="O251" s="14">
        <f>+SUM('31:29'!O251)</f>
        <v>0</v>
      </c>
      <c r="P251" s="145">
        <f t="shared" si="34"/>
        <v>0</v>
      </c>
      <c r="Q251" s="14">
        <f>+SUM('31:29'!Q251)</f>
        <v>0</v>
      </c>
      <c r="R251" s="19">
        <f t="shared" si="35"/>
        <v>0</v>
      </c>
      <c r="S251" s="145">
        <f t="shared" si="36"/>
        <v>0</v>
      </c>
      <c r="T251" s="20">
        <v>2</v>
      </c>
      <c r="U251" s="14">
        <f>+SUM('31:29'!U251)</f>
        <v>0</v>
      </c>
      <c r="V251" s="142" t="str">
        <f t="array" ref="V251">IF(ISERROR(L251/K251),"",L251/K251)</f>
        <v/>
      </c>
      <c r="W251" s="14">
        <f>+SUM('31:29'!W251)</f>
        <v>0</v>
      </c>
      <c r="X251" s="14">
        <f>+SUM('31:29'!X251)</f>
        <v>0</v>
      </c>
      <c r="Y251" s="14">
        <f>+SUM('31:29'!Y251)</f>
        <v>0</v>
      </c>
      <c r="Z251" s="14">
        <f>+SUM('31:29'!Z251)</f>
        <v>0</v>
      </c>
      <c r="AA251" s="14">
        <f>+SUM('31:29'!AA251)</f>
        <v>0</v>
      </c>
      <c r="AB251" s="14">
        <f>+SUM('31:29'!AB251)</f>
        <v>0</v>
      </c>
      <c r="AC251" s="14">
        <f>+SUM('31:29'!AC251)</f>
        <v>0</v>
      </c>
    </row>
    <row r="252" spans="1:29" s="2" customFormat="1" ht="21.95" customHeight="1">
      <c r="A252" s="141">
        <v>300037</v>
      </c>
      <c r="B252" s="135" t="s">
        <v>60</v>
      </c>
      <c r="C252" s="219" t="s">
        <v>61</v>
      </c>
      <c r="D252" s="219" t="s">
        <v>62</v>
      </c>
      <c r="E252" s="147" t="s">
        <v>37</v>
      </c>
      <c r="F252" s="146"/>
      <c r="G252" s="14">
        <f>+SUM('31:29'!G252)</f>
        <v>0</v>
      </c>
      <c r="H252" s="14">
        <f>+SUM('31:29'!H252)</f>
        <v>0</v>
      </c>
      <c r="I252" s="14">
        <f>+SUM('31:29'!I252)</f>
        <v>0</v>
      </c>
      <c r="J252" s="14">
        <f>+SUM('31:29'!J252)</f>
        <v>0</v>
      </c>
      <c r="K252" s="145">
        <f t="shared" si="31"/>
        <v>0</v>
      </c>
      <c r="L252" s="145">
        <f t="shared" si="32"/>
        <v>0</v>
      </c>
      <c r="M252" s="145">
        <v>366.93</v>
      </c>
      <c r="N252" s="145">
        <f>+M252*1000/(35.8*10*13*60)*T252</f>
        <v>2.6280618822518265</v>
      </c>
      <c r="O252" s="14">
        <f>+SUM('31:29'!O252)</f>
        <v>0</v>
      </c>
      <c r="P252" s="145">
        <f t="shared" si="34"/>
        <v>0</v>
      </c>
      <c r="Q252" s="14">
        <f>+SUM('31:29'!Q252)</f>
        <v>0</v>
      </c>
      <c r="R252" s="19">
        <f t="shared" si="35"/>
        <v>0</v>
      </c>
      <c r="S252" s="145">
        <f t="shared" si="36"/>
        <v>0</v>
      </c>
      <c r="T252" s="20">
        <v>2</v>
      </c>
      <c r="U252" s="14">
        <f>+SUM('31:29'!U252)</f>
        <v>0</v>
      </c>
      <c r="V252" s="142" t="str">
        <f t="array" ref="V252">IF(ISERROR(L252/K252),"",L252/K252)</f>
        <v/>
      </c>
      <c r="W252" s="14">
        <f>+SUM('31:29'!W252)</f>
        <v>0</v>
      </c>
      <c r="X252" s="14">
        <f>+SUM('31:29'!X252)</f>
        <v>0</v>
      </c>
      <c r="Y252" s="14">
        <f>+SUM('31:29'!Y252)</f>
        <v>0</v>
      </c>
      <c r="Z252" s="14">
        <f>+SUM('31:29'!Z252)</f>
        <v>0</v>
      </c>
      <c r="AA252" s="14">
        <f>+SUM('31:29'!AA252)</f>
        <v>0</v>
      </c>
      <c r="AB252" s="14">
        <f>+SUM('31:29'!AB252)</f>
        <v>0</v>
      </c>
      <c r="AC252" s="14">
        <f>+SUM('31:29'!AC252)</f>
        <v>0</v>
      </c>
    </row>
    <row r="253" spans="1:29" s="2" customFormat="1" ht="21.95" customHeight="1">
      <c r="A253" s="141">
        <v>300038</v>
      </c>
      <c r="B253" s="135" t="s">
        <v>60</v>
      </c>
      <c r="C253" s="219" t="s">
        <v>64</v>
      </c>
      <c r="D253" s="219" t="s">
        <v>65</v>
      </c>
      <c r="E253" s="147" t="s">
        <v>35</v>
      </c>
      <c r="F253" s="146"/>
      <c r="G253" s="14">
        <f>+SUM('31:29'!G253)</f>
        <v>0</v>
      </c>
      <c r="H253" s="14">
        <f>+SUM('31:29'!H253)</f>
        <v>0</v>
      </c>
      <c r="I253" s="14">
        <f>+SUM('31:29'!I253)</f>
        <v>0</v>
      </c>
      <c r="J253" s="14">
        <f>+SUM('31:29'!J253)</f>
        <v>0</v>
      </c>
      <c r="K253" s="145">
        <f t="shared" si="31"/>
        <v>0</v>
      </c>
      <c r="L253" s="145">
        <f t="shared" si="32"/>
        <v>0</v>
      </c>
      <c r="M253" s="145">
        <v>301.14</v>
      </c>
      <c r="N253" s="145">
        <f>+M253*1000/(35.8*10*13*60)*T253</f>
        <v>5.3921357971637294</v>
      </c>
      <c r="O253" s="14">
        <f>+SUM('31:29'!O253)</f>
        <v>0</v>
      </c>
      <c r="P253" s="145">
        <f t="shared" si="34"/>
        <v>0</v>
      </c>
      <c r="Q253" s="14">
        <f>+SUM('31:29'!Q253)</f>
        <v>0</v>
      </c>
      <c r="R253" s="19">
        <f t="shared" si="35"/>
        <v>0</v>
      </c>
      <c r="S253" s="145">
        <f t="shared" si="36"/>
        <v>0</v>
      </c>
      <c r="T253" s="20">
        <v>5</v>
      </c>
      <c r="U253" s="14">
        <f>+SUM('31:29'!U253)</f>
        <v>0</v>
      </c>
      <c r="V253" s="142" t="str">
        <f t="array" ref="V253">IF(ISERROR(L253/K253),"",L253/K253)</f>
        <v/>
      </c>
      <c r="W253" s="14">
        <f>+SUM('31:29'!W253)</f>
        <v>0</v>
      </c>
      <c r="X253" s="14">
        <f>+SUM('31:29'!X253)</f>
        <v>0</v>
      </c>
      <c r="Y253" s="14">
        <f>+SUM('31:29'!Y253)</f>
        <v>0</v>
      </c>
      <c r="Z253" s="14">
        <f>+SUM('31:29'!Z253)</f>
        <v>0</v>
      </c>
      <c r="AA253" s="14">
        <f>+SUM('31:29'!AA253)</f>
        <v>0</v>
      </c>
      <c r="AB253" s="14">
        <f>+SUM('31:29'!AB253)</f>
        <v>0</v>
      </c>
      <c r="AC253" s="14">
        <f>+SUM('31:29'!AC253)</f>
        <v>0</v>
      </c>
    </row>
    <row r="254" spans="1:29" s="2" customFormat="1" ht="21.95" customHeight="1">
      <c r="A254" s="141">
        <v>300039</v>
      </c>
      <c r="B254" s="135" t="s">
        <v>60</v>
      </c>
      <c r="C254" s="219" t="s">
        <v>64</v>
      </c>
      <c r="D254" s="219" t="s">
        <v>65</v>
      </c>
      <c r="E254" s="147" t="s">
        <v>66</v>
      </c>
      <c r="F254" s="146"/>
      <c r="G254" s="14">
        <f>+SUM('31:29'!G254)</f>
        <v>0</v>
      </c>
      <c r="H254" s="14">
        <f>+SUM('31:29'!H254)</f>
        <v>0</v>
      </c>
      <c r="I254" s="14">
        <f>+SUM('31:29'!I254)</f>
        <v>0</v>
      </c>
      <c r="J254" s="14">
        <f>+SUM('31:29'!J254)</f>
        <v>0</v>
      </c>
      <c r="K254" s="145">
        <f t="shared" si="31"/>
        <v>0</v>
      </c>
      <c r="L254" s="145">
        <f t="shared" si="32"/>
        <v>0</v>
      </c>
      <c r="M254" s="145">
        <v>310.39999999999998</v>
      </c>
      <c r="N254" s="145">
        <f>+M254*1000/(35.8*10*13*60)*T254</f>
        <v>5.557942988110586</v>
      </c>
      <c r="O254" s="14">
        <f>+SUM('31:29'!O254)</f>
        <v>0</v>
      </c>
      <c r="P254" s="145">
        <f t="shared" si="34"/>
        <v>0</v>
      </c>
      <c r="Q254" s="14">
        <f>+SUM('31:29'!Q254)</f>
        <v>0</v>
      </c>
      <c r="R254" s="19">
        <f t="shared" si="35"/>
        <v>0</v>
      </c>
      <c r="S254" s="145">
        <f t="shared" si="36"/>
        <v>0</v>
      </c>
      <c r="T254" s="20">
        <v>5</v>
      </c>
      <c r="U254" s="14">
        <f>+SUM('31:29'!U254)</f>
        <v>0</v>
      </c>
      <c r="V254" s="142" t="str">
        <f t="array" ref="V254">IF(ISERROR(L254/K254),"",L254/K254)</f>
        <v/>
      </c>
      <c r="W254" s="14">
        <f>+SUM('31:29'!W254)</f>
        <v>0</v>
      </c>
      <c r="X254" s="14">
        <f>+SUM('31:29'!X254)</f>
        <v>0</v>
      </c>
      <c r="Y254" s="14">
        <f>+SUM('31:29'!Y254)</f>
        <v>0</v>
      </c>
      <c r="Z254" s="14">
        <f>+SUM('31:29'!Z254)</f>
        <v>0</v>
      </c>
      <c r="AA254" s="14">
        <f>+SUM('31:29'!AA254)</f>
        <v>0</v>
      </c>
      <c r="AB254" s="14">
        <f>+SUM('31:29'!AB254)</f>
        <v>0</v>
      </c>
      <c r="AC254" s="14">
        <f>+SUM('31:29'!AC254)</f>
        <v>0</v>
      </c>
    </row>
    <row r="255" spans="1:29" s="2" customFormat="1" ht="21" customHeight="1">
      <c r="A255" s="141">
        <v>300416</v>
      </c>
      <c r="B255" s="135" t="s">
        <v>67</v>
      </c>
      <c r="C255" s="230" t="s">
        <v>68</v>
      </c>
      <c r="D255" s="231"/>
      <c r="E255" s="147" t="s">
        <v>69</v>
      </c>
      <c r="F255" s="146"/>
      <c r="G255" s="14">
        <f>+SUM('31:29'!G255)</f>
        <v>0</v>
      </c>
      <c r="H255" s="14">
        <f>+SUM('31:29'!H255)</f>
        <v>0</v>
      </c>
      <c r="I255" s="14">
        <f>+SUM('31:29'!I255)</f>
        <v>0</v>
      </c>
      <c r="J255" s="14">
        <f>+SUM('31:29'!J255)</f>
        <v>0</v>
      </c>
      <c r="K255" s="145">
        <f t="shared" si="31"/>
        <v>0</v>
      </c>
      <c r="L255" s="145">
        <f t="shared" si="32"/>
        <v>0</v>
      </c>
      <c r="M255" s="145">
        <v>385.6</v>
      </c>
      <c r="N255" s="145">
        <f>+M255*1000/(25.4*20*15*60)*T255</f>
        <v>2.5301837270341205</v>
      </c>
      <c r="O255" s="14">
        <f>+SUM('31:29'!O255)</f>
        <v>0</v>
      </c>
      <c r="P255" s="145">
        <f t="shared" si="34"/>
        <v>0</v>
      </c>
      <c r="Q255" s="14">
        <f>+SUM('31:29'!Q255)</f>
        <v>0</v>
      </c>
      <c r="R255" s="19">
        <f t="shared" si="35"/>
        <v>0</v>
      </c>
      <c r="S255" s="145">
        <f t="shared" si="36"/>
        <v>0</v>
      </c>
      <c r="T255" s="20">
        <v>3</v>
      </c>
      <c r="U255" s="14">
        <f>+SUM('31:29'!U255)</f>
        <v>0</v>
      </c>
      <c r="V255" s="142"/>
      <c r="W255" s="14">
        <f>+SUM('31:29'!W255)</f>
        <v>0</v>
      </c>
      <c r="X255" s="14">
        <f>+SUM('31:29'!X255)</f>
        <v>0</v>
      </c>
      <c r="Y255" s="14">
        <f>+SUM('31:29'!Y255)</f>
        <v>0</v>
      </c>
      <c r="Z255" s="14">
        <f>+SUM('31:29'!Z255)</f>
        <v>0</v>
      </c>
      <c r="AA255" s="14">
        <f>+SUM('31:29'!AA255)</f>
        <v>0</v>
      </c>
      <c r="AB255" s="14">
        <f>+SUM('31:29'!AB255)</f>
        <v>0</v>
      </c>
      <c r="AC255" s="14">
        <f>+SUM('31:29'!AC255)</f>
        <v>0</v>
      </c>
    </row>
    <row r="256" spans="1:29" s="2" customFormat="1" ht="21" customHeight="1">
      <c r="A256" s="141">
        <v>300417</v>
      </c>
      <c r="B256" s="135" t="s">
        <v>67</v>
      </c>
      <c r="C256" s="230" t="s">
        <v>68</v>
      </c>
      <c r="D256" s="231"/>
      <c r="E256" s="147" t="s">
        <v>70</v>
      </c>
      <c r="F256" s="146"/>
      <c r="G256" s="14">
        <f>+SUM('31:29'!G256)</f>
        <v>8</v>
      </c>
      <c r="H256" s="14">
        <f>+SUM('31:29'!H256)</f>
        <v>0</v>
      </c>
      <c r="I256" s="14">
        <f>+SUM('31:29'!I256)</f>
        <v>8</v>
      </c>
      <c r="J256" s="14">
        <f>+SUM('31:29'!J256)</f>
        <v>0</v>
      </c>
      <c r="K256" s="145">
        <f t="shared" si="31"/>
        <v>3084.8</v>
      </c>
      <c r="L256" s="145">
        <f t="shared" si="32"/>
        <v>3084.8</v>
      </c>
      <c r="M256" s="145">
        <v>385.6</v>
      </c>
      <c r="N256" s="145">
        <f>+M256*1000/(25.4*20*15*60)*T256</f>
        <v>2.5301837270341205</v>
      </c>
      <c r="O256" s="14">
        <f>+SUM('31:29'!O256)</f>
        <v>0</v>
      </c>
      <c r="P256" s="145">
        <f t="shared" si="34"/>
        <v>20.241469816272964</v>
      </c>
      <c r="Q256" s="14">
        <f>+SUM('31:29'!Q256)</f>
        <v>9.5</v>
      </c>
      <c r="R256" s="19">
        <f t="shared" si="35"/>
        <v>19</v>
      </c>
      <c r="S256" s="145">
        <f t="shared" si="36"/>
        <v>-1.2414698162729643</v>
      </c>
      <c r="T256" s="20">
        <v>3</v>
      </c>
      <c r="U256" s="14">
        <f>+SUM('31:29'!U256)</f>
        <v>2</v>
      </c>
      <c r="V256" s="142"/>
      <c r="W256" s="14">
        <f>+SUM('31:29'!W256)</f>
        <v>0</v>
      </c>
      <c r="X256" s="14">
        <f>+SUM('31:29'!X256)</f>
        <v>0</v>
      </c>
      <c r="Y256" s="14">
        <f>+SUM('31:29'!Y256)</f>
        <v>0</v>
      </c>
      <c r="Z256" s="14">
        <f>+SUM('31:29'!Z256)</f>
        <v>0</v>
      </c>
      <c r="AA256" s="14">
        <f>+SUM('31:29'!AA256)</f>
        <v>0</v>
      </c>
      <c r="AB256" s="14">
        <f>+SUM('31:29'!AB256)</f>
        <v>0</v>
      </c>
      <c r="AC256" s="14">
        <f>+SUM('31:29'!AC256)</f>
        <v>0</v>
      </c>
    </row>
    <row r="257" spans="1:29" s="2" customFormat="1" ht="21" customHeight="1">
      <c r="A257" s="141">
        <v>300418</v>
      </c>
      <c r="B257" s="135" t="s">
        <v>67</v>
      </c>
      <c r="C257" s="230" t="s">
        <v>68</v>
      </c>
      <c r="D257" s="231"/>
      <c r="E257" s="147" t="s">
        <v>71</v>
      </c>
      <c r="F257" s="146"/>
      <c r="G257" s="14">
        <f>+SUM('31:29'!G257)</f>
        <v>2.14</v>
      </c>
      <c r="H257" s="14">
        <f>+SUM('31:29'!H257)</f>
        <v>0</v>
      </c>
      <c r="I257" s="14">
        <f>+SUM('31:29'!I257)</f>
        <v>2.1428571428571428</v>
      </c>
      <c r="J257" s="14">
        <f>+SUM('31:29'!J257)</f>
        <v>300</v>
      </c>
      <c r="K257" s="145">
        <f t="shared" si="31"/>
        <v>825.18400000000008</v>
      </c>
      <c r="L257" s="145">
        <f t="shared" si="32"/>
        <v>826.28571428571433</v>
      </c>
      <c r="M257" s="145">
        <v>385.6</v>
      </c>
      <c r="N257" s="145">
        <f>+M257*1000/(25.4*20*15*60)*T257</f>
        <v>2.5301837270341205</v>
      </c>
      <c r="O257" s="14">
        <f>+SUM('31:29'!O257)</f>
        <v>0.5</v>
      </c>
      <c r="P257" s="145">
        <f t="shared" si="34"/>
        <v>6.4218222722159721</v>
      </c>
      <c r="Q257" s="14">
        <f>+SUM('31:29'!Q257)</f>
        <v>2</v>
      </c>
      <c r="R257" s="19">
        <f t="shared" si="35"/>
        <v>4</v>
      </c>
      <c r="S257" s="145">
        <f t="shared" si="36"/>
        <v>-2.4218222722159721</v>
      </c>
      <c r="T257" s="20">
        <v>3</v>
      </c>
      <c r="U257" s="14">
        <f>+SUM('31:29'!U257)</f>
        <v>2</v>
      </c>
      <c r="V257" s="142"/>
      <c r="W257" s="14">
        <f>+SUM('31:29'!W257)</f>
        <v>0</v>
      </c>
      <c r="X257" s="14">
        <f>+SUM('31:29'!X257)</f>
        <v>0</v>
      </c>
      <c r="Y257" s="14">
        <f>+SUM('31:29'!Y257)</f>
        <v>0</v>
      </c>
      <c r="Z257" s="14">
        <f>+SUM('31:29'!Z257)</f>
        <v>0</v>
      </c>
      <c r="AA257" s="14">
        <f>+SUM('31:29'!AA257)</f>
        <v>0</v>
      </c>
      <c r="AB257" s="14">
        <f>+SUM('31:29'!AB257)</f>
        <v>0</v>
      </c>
      <c r="AC257" s="14">
        <f>+SUM('31:29'!AC257)</f>
        <v>0</v>
      </c>
    </row>
    <row r="258" spans="1:29" s="2" customFormat="1" ht="21" customHeight="1">
      <c r="A258" s="141">
        <v>300419</v>
      </c>
      <c r="B258" s="135" t="s">
        <v>67</v>
      </c>
      <c r="C258" s="230" t="s">
        <v>68</v>
      </c>
      <c r="D258" s="231"/>
      <c r="E258" s="147" t="s">
        <v>72</v>
      </c>
      <c r="F258" s="146"/>
      <c r="G258" s="14">
        <f>+SUM('31:29'!G258)</f>
        <v>3</v>
      </c>
      <c r="H258" s="14">
        <f>+SUM('31:29'!H258)</f>
        <v>0</v>
      </c>
      <c r="I258" s="14">
        <f>+SUM('31:29'!I258)</f>
        <v>2.7142857142857144</v>
      </c>
      <c r="J258" s="14">
        <f>+SUM('31:29'!J258)</f>
        <v>100</v>
      </c>
      <c r="K258" s="145">
        <f t="shared" si="31"/>
        <v>1156.8000000000002</v>
      </c>
      <c r="L258" s="145">
        <f t="shared" si="32"/>
        <v>1046.6285714285716</v>
      </c>
      <c r="M258" s="145">
        <v>385.6</v>
      </c>
      <c r="N258" s="145">
        <f>+M258*1000/(25.4*20*15*60)*T258</f>
        <v>2.5301837270341205</v>
      </c>
      <c r="O258" s="14">
        <f>+SUM('31:29'!O258)</f>
        <v>0.5</v>
      </c>
      <c r="P258" s="145">
        <f t="shared" si="34"/>
        <v>7.867641544806899</v>
      </c>
      <c r="Q258" s="14">
        <f>+SUM('31:29'!Q258)</f>
        <v>3</v>
      </c>
      <c r="R258" s="19">
        <f t="shared" si="35"/>
        <v>6</v>
      </c>
      <c r="S258" s="145">
        <f t="shared" si="36"/>
        <v>-1.867641544806899</v>
      </c>
      <c r="T258" s="20">
        <v>3</v>
      </c>
      <c r="U258" s="14">
        <f>+SUM('31:29'!U258)</f>
        <v>2</v>
      </c>
      <c r="V258" s="142"/>
      <c r="W258" s="14">
        <f>+SUM('31:29'!W258)</f>
        <v>0</v>
      </c>
      <c r="X258" s="14">
        <f>+SUM('31:29'!X258)</f>
        <v>0</v>
      </c>
      <c r="Y258" s="14">
        <f>+SUM('31:29'!Y258)</f>
        <v>0</v>
      </c>
      <c r="Z258" s="14">
        <f>+SUM('31:29'!Z258)</f>
        <v>0</v>
      </c>
      <c r="AA258" s="14">
        <f>+SUM('31:29'!AA258)</f>
        <v>0</v>
      </c>
      <c r="AB258" s="14">
        <f>+SUM('31:29'!AB258)</f>
        <v>0</v>
      </c>
      <c r="AC258" s="14">
        <f>+SUM('31:29'!AC258)</f>
        <v>0</v>
      </c>
    </row>
    <row r="259" spans="1:29" s="2" customFormat="1" ht="21.95" customHeight="1">
      <c r="A259" s="141">
        <v>300260</v>
      </c>
      <c r="B259" s="135" t="s">
        <v>67</v>
      </c>
      <c r="C259" s="219" t="s">
        <v>73</v>
      </c>
      <c r="D259" s="219"/>
      <c r="E259" s="147" t="s">
        <v>74</v>
      </c>
      <c r="F259" s="146"/>
      <c r="G259" s="14">
        <f>+SUM('31:29'!G259)</f>
        <v>0</v>
      </c>
      <c r="H259" s="14">
        <f>+SUM('31:29'!H259)</f>
        <v>0</v>
      </c>
      <c r="I259" s="14">
        <f>+SUM('31:29'!I259)</f>
        <v>0</v>
      </c>
      <c r="J259" s="14">
        <f>+SUM('31:29'!J259)</f>
        <v>0</v>
      </c>
      <c r="K259" s="145">
        <f t="shared" si="31"/>
        <v>0</v>
      </c>
      <c r="L259" s="145">
        <f t="shared" si="32"/>
        <v>0</v>
      </c>
      <c r="M259" s="145">
        <v>434.33</v>
      </c>
      <c r="N259" s="145">
        <f>+M259*1000/(42.7*10*15*60)*T259</f>
        <v>2.2603695029924538</v>
      </c>
      <c r="O259" s="14">
        <f>+SUM('31:29'!O259)</f>
        <v>0</v>
      </c>
      <c r="P259" s="145">
        <f t="shared" si="34"/>
        <v>0</v>
      </c>
      <c r="Q259" s="14">
        <f>+SUM('31:29'!Q259)</f>
        <v>0</v>
      </c>
      <c r="R259" s="19">
        <f t="shared" si="35"/>
        <v>0</v>
      </c>
      <c r="S259" s="145">
        <f t="shared" si="36"/>
        <v>0</v>
      </c>
      <c r="T259" s="20">
        <v>2</v>
      </c>
      <c r="U259" s="14">
        <f>+SUM('31:29'!U259)</f>
        <v>0</v>
      </c>
      <c r="V259" s="142" t="str">
        <f t="array" ref="V259">IF(ISERROR(L259/K259),"",L259/K259)</f>
        <v/>
      </c>
      <c r="W259" s="14">
        <f>+SUM('31:29'!W259)</f>
        <v>0</v>
      </c>
      <c r="X259" s="14">
        <f>+SUM('31:29'!X259)</f>
        <v>0</v>
      </c>
      <c r="Y259" s="14">
        <f>+SUM('31:29'!Y259)</f>
        <v>0</v>
      </c>
      <c r="Z259" s="14">
        <f>+SUM('31:29'!Z259)</f>
        <v>0</v>
      </c>
      <c r="AA259" s="14">
        <f>+SUM('31:29'!AA259)</f>
        <v>0</v>
      </c>
      <c r="AB259" s="14">
        <f>+SUM('31:29'!AB259)</f>
        <v>0</v>
      </c>
      <c r="AC259" s="14">
        <f>+SUM('31:29'!AC259)</f>
        <v>0</v>
      </c>
    </row>
    <row r="260" spans="1:29" s="2" customFormat="1" ht="21.95" customHeight="1">
      <c r="A260" s="141">
        <v>300261</v>
      </c>
      <c r="B260" s="135" t="s">
        <v>67</v>
      </c>
      <c r="C260" s="219" t="s">
        <v>73</v>
      </c>
      <c r="D260" s="219"/>
      <c r="E260" s="147" t="s">
        <v>41</v>
      </c>
      <c r="F260" s="146"/>
      <c r="G260" s="14">
        <f>+SUM('31:29'!G260)</f>
        <v>0</v>
      </c>
      <c r="H260" s="14">
        <f>+SUM('31:29'!H260)</f>
        <v>0</v>
      </c>
      <c r="I260" s="14">
        <f>+SUM('31:29'!I260)</f>
        <v>0</v>
      </c>
      <c r="J260" s="14">
        <f>+SUM('31:29'!J260)</f>
        <v>0</v>
      </c>
      <c r="K260" s="145">
        <f t="shared" si="31"/>
        <v>0</v>
      </c>
      <c r="L260" s="145">
        <f t="shared" si="32"/>
        <v>0</v>
      </c>
      <c r="M260" s="145">
        <v>434.33</v>
      </c>
      <c r="N260" s="145">
        <f>+M260*1000/(42.7*10*15*60)*T260</f>
        <v>2.2603695029924538</v>
      </c>
      <c r="O260" s="14">
        <f>+SUM('31:29'!O260)</f>
        <v>0</v>
      </c>
      <c r="P260" s="145">
        <f t="shared" si="34"/>
        <v>0</v>
      </c>
      <c r="Q260" s="14">
        <f>+SUM('31:29'!Q260)</f>
        <v>0</v>
      </c>
      <c r="R260" s="19">
        <f t="shared" si="35"/>
        <v>0</v>
      </c>
      <c r="S260" s="145">
        <f t="shared" si="36"/>
        <v>0</v>
      </c>
      <c r="T260" s="20">
        <v>2</v>
      </c>
      <c r="U260" s="14">
        <f>+SUM('31:29'!U260)</f>
        <v>0</v>
      </c>
      <c r="V260" s="142" t="str">
        <f t="array" ref="V260">IF(ISERROR(L260/K260),"",L260/K260)</f>
        <v/>
      </c>
      <c r="W260" s="14">
        <f>+SUM('31:29'!W260)</f>
        <v>0</v>
      </c>
      <c r="X260" s="14">
        <f>+SUM('31:29'!X260)</f>
        <v>0</v>
      </c>
      <c r="Y260" s="14">
        <f>+SUM('31:29'!Y260)</f>
        <v>0</v>
      </c>
      <c r="Z260" s="14">
        <f>+SUM('31:29'!Z260)</f>
        <v>0</v>
      </c>
      <c r="AA260" s="14">
        <f>+SUM('31:29'!AA260)</f>
        <v>0</v>
      </c>
      <c r="AB260" s="14">
        <f>+SUM('31:29'!AB260)</f>
        <v>0</v>
      </c>
      <c r="AC260" s="14">
        <f>+SUM('31:29'!AC260)</f>
        <v>0</v>
      </c>
    </row>
    <row r="261" spans="1:29" s="2" customFormat="1" ht="21.95" customHeight="1">
      <c r="A261" s="141">
        <v>300262</v>
      </c>
      <c r="B261" s="135" t="s">
        <v>67</v>
      </c>
      <c r="C261" s="219" t="s">
        <v>73</v>
      </c>
      <c r="D261" s="219"/>
      <c r="E261" s="147" t="s">
        <v>39</v>
      </c>
      <c r="F261" s="146"/>
      <c r="G261" s="14">
        <f>+SUM('31:29'!G261)</f>
        <v>0</v>
      </c>
      <c r="H261" s="14">
        <f>+SUM('31:29'!H261)</f>
        <v>0</v>
      </c>
      <c r="I261" s="14">
        <f>+SUM('31:29'!I261)</f>
        <v>0</v>
      </c>
      <c r="J261" s="14">
        <f>+SUM('31:29'!J261)</f>
        <v>0</v>
      </c>
      <c r="K261" s="145">
        <f t="shared" si="31"/>
        <v>0</v>
      </c>
      <c r="L261" s="145">
        <f t="shared" si="32"/>
        <v>0</v>
      </c>
      <c r="M261" s="145">
        <v>434.33</v>
      </c>
      <c r="N261" s="145">
        <f>+M261*1000/(42.7*10*15*60)*T261</f>
        <v>2.2603695029924538</v>
      </c>
      <c r="O261" s="14">
        <f>+SUM('31:29'!O261)</f>
        <v>0</v>
      </c>
      <c r="P261" s="145">
        <f t="shared" si="34"/>
        <v>0</v>
      </c>
      <c r="Q261" s="14">
        <f>+SUM('31:29'!Q261)</f>
        <v>0</v>
      </c>
      <c r="R261" s="19">
        <f t="shared" si="35"/>
        <v>0</v>
      </c>
      <c r="S261" s="145">
        <f t="shared" si="36"/>
        <v>0</v>
      </c>
      <c r="T261" s="20">
        <v>2</v>
      </c>
      <c r="U261" s="14">
        <f>+SUM('31:29'!U261)</f>
        <v>0</v>
      </c>
      <c r="V261" s="142" t="str">
        <f t="array" ref="V261">IF(ISERROR(L261/K261),"",L261/K261)</f>
        <v/>
      </c>
      <c r="W261" s="14">
        <f>+SUM('31:29'!W261)</f>
        <v>0</v>
      </c>
      <c r="X261" s="14">
        <f>+SUM('31:29'!X261)</f>
        <v>0</v>
      </c>
      <c r="Y261" s="14">
        <f>+SUM('31:29'!Y261)</f>
        <v>0</v>
      </c>
      <c r="Z261" s="14">
        <f>+SUM('31:29'!Z261)</f>
        <v>0</v>
      </c>
      <c r="AA261" s="14">
        <f>+SUM('31:29'!AA261)</f>
        <v>0</v>
      </c>
      <c r="AB261" s="14">
        <f>+SUM('31:29'!AB261)</f>
        <v>0</v>
      </c>
      <c r="AC261" s="14">
        <f>+SUM('31:29'!AC261)</f>
        <v>0</v>
      </c>
    </row>
    <row r="262" spans="1:29" s="2" customFormat="1" ht="21.95" customHeight="1">
      <c r="A262" s="141">
        <v>300263</v>
      </c>
      <c r="B262" s="135" t="s">
        <v>67</v>
      </c>
      <c r="C262" s="219" t="s">
        <v>73</v>
      </c>
      <c r="D262" s="219"/>
      <c r="E262" s="147" t="s">
        <v>54</v>
      </c>
      <c r="F262" s="146"/>
      <c r="G262" s="14">
        <f>+SUM('31:29'!G262)</f>
        <v>0</v>
      </c>
      <c r="H262" s="14">
        <f>+SUM('31:29'!H262)</f>
        <v>0</v>
      </c>
      <c r="I262" s="14">
        <f>+SUM('31:29'!I262)</f>
        <v>0</v>
      </c>
      <c r="J262" s="14">
        <f>+SUM('31:29'!J262)</f>
        <v>0</v>
      </c>
      <c r="K262" s="145">
        <f t="shared" si="31"/>
        <v>0</v>
      </c>
      <c r="L262" s="145">
        <f t="shared" si="32"/>
        <v>0</v>
      </c>
      <c r="M262" s="145">
        <v>434.33</v>
      </c>
      <c r="N262" s="145">
        <f>+M262*1000/(42.7*10*15*60)*T262</f>
        <v>2.2603695029924538</v>
      </c>
      <c r="O262" s="14">
        <f>+SUM('31:29'!O262)</f>
        <v>0</v>
      </c>
      <c r="P262" s="145">
        <f t="shared" si="34"/>
        <v>0</v>
      </c>
      <c r="Q262" s="14">
        <f>+SUM('31:29'!Q262)</f>
        <v>0</v>
      </c>
      <c r="R262" s="19">
        <f t="shared" si="35"/>
        <v>0</v>
      </c>
      <c r="S262" s="145">
        <f t="shared" si="36"/>
        <v>0</v>
      </c>
      <c r="T262" s="20">
        <v>2</v>
      </c>
      <c r="U262" s="14">
        <f>+SUM('31:29'!U262)</f>
        <v>0</v>
      </c>
      <c r="V262" s="142" t="str">
        <f t="array" ref="V262">IF(ISERROR(L262/K262),"",L262/K262)</f>
        <v/>
      </c>
      <c r="W262" s="14">
        <f>+SUM('31:29'!W262)</f>
        <v>0</v>
      </c>
      <c r="X262" s="14">
        <f>+SUM('31:29'!X262)</f>
        <v>0</v>
      </c>
      <c r="Y262" s="14">
        <f>+SUM('31:29'!Y262)</f>
        <v>0</v>
      </c>
      <c r="Z262" s="14">
        <f>+SUM('31:29'!Z262)</f>
        <v>0</v>
      </c>
      <c r="AA262" s="14">
        <f>+SUM('31:29'!AA262)</f>
        <v>0</v>
      </c>
      <c r="AB262" s="14">
        <f>+SUM('31:29'!AB262)</f>
        <v>0</v>
      </c>
      <c r="AC262" s="14">
        <f>+SUM('31:29'!AC262)</f>
        <v>0</v>
      </c>
    </row>
    <row r="263" spans="1:29" s="2" customFormat="1" ht="21.95" customHeight="1">
      <c r="A263" s="141">
        <v>300051</v>
      </c>
      <c r="B263" s="135" t="s">
        <v>67</v>
      </c>
      <c r="C263" s="219" t="s">
        <v>75</v>
      </c>
      <c r="D263" s="219" t="s">
        <v>76</v>
      </c>
      <c r="E263" s="147" t="s">
        <v>40</v>
      </c>
      <c r="F263" s="146"/>
      <c r="G263" s="14">
        <f>+SUM('31:29'!G263)</f>
        <v>0</v>
      </c>
      <c r="H263" s="14">
        <f>+SUM('31:29'!H263)</f>
        <v>0</v>
      </c>
      <c r="I263" s="14">
        <f>+SUM('31:29'!I263)</f>
        <v>0</v>
      </c>
      <c r="J263" s="14">
        <f>+SUM('31:29'!J263)</f>
        <v>0</v>
      </c>
      <c r="K263" s="145">
        <f t="shared" si="31"/>
        <v>0</v>
      </c>
      <c r="L263" s="145">
        <f t="shared" si="32"/>
        <v>0</v>
      </c>
      <c r="M263" s="145">
        <v>545.9</v>
      </c>
      <c r="N263" s="145">
        <f>+M263*1000/(41.5*10*16*60)*T263</f>
        <v>2.7404618473895583</v>
      </c>
      <c r="O263" s="14">
        <f>+SUM('31:29'!O263)</f>
        <v>0</v>
      </c>
      <c r="P263" s="145">
        <f t="shared" si="34"/>
        <v>0</v>
      </c>
      <c r="Q263" s="14">
        <f>+SUM('31:29'!Q263)</f>
        <v>0</v>
      </c>
      <c r="R263" s="19">
        <f t="shared" si="35"/>
        <v>0</v>
      </c>
      <c r="S263" s="145">
        <f t="shared" si="36"/>
        <v>0</v>
      </c>
      <c r="T263" s="22">
        <v>2</v>
      </c>
      <c r="U263" s="14">
        <f>+SUM('31:29'!U263)</f>
        <v>0</v>
      </c>
      <c r="V263" s="142" t="str">
        <f t="array" ref="V263">IF(ISERROR(L263/K263),"",L263/K263)</f>
        <v/>
      </c>
      <c r="W263" s="14">
        <f>+SUM('31:29'!W263)</f>
        <v>0</v>
      </c>
      <c r="X263" s="14">
        <f>+SUM('31:29'!X263)</f>
        <v>0</v>
      </c>
      <c r="Y263" s="14">
        <f>+SUM('31:29'!Y263)</f>
        <v>0</v>
      </c>
      <c r="Z263" s="14">
        <f>+SUM('31:29'!Z263)</f>
        <v>0</v>
      </c>
      <c r="AA263" s="14">
        <f>+SUM('31:29'!AA263)</f>
        <v>0</v>
      </c>
      <c r="AB263" s="14">
        <f>+SUM('31:29'!AB263)</f>
        <v>0</v>
      </c>
      <c r="AC263" s="14">
        <f>+SUM('31:29'!AC263)</f>
        <v>0</v>
      </c>
    </row>
    <row r="264" spans="1:29" s="2" customFormat="1" ht="21.95" customHeight="1">
      <c r="A264" s="141">
        <v>300052</v>
      </c>
      <c r="B264" s="135" t="s">
        <v>67</v>
      </c>
      <c r="C264" s="219" t="s">
        <v>75</v>
      </c>
      <c r="D264" s="219" t="s">
        <v>76</v>
      </c>
      <c r="E264" s="147" t="s">
        <v>39</v>
      </c>
      <c r="F264" s="146"/>
      <c r="G264" s="14">
        <f>+SUM('31:29'!G264)</f>
        <v>0</v>
      </c>
      <c r="H264" s="14">
        <f>+SUM('31:29'!H264)</f>
        <v>0</v>
      </c>
      <c r="I264" s="14">
        <f>+SUM('31:29'!I264)</f>
        <v>0</v>
      </c>
      <c r="J264" s="14">
        <f>+SUM('31:29'!J264)</f>
        <v>0</v>
      </c>
      <c r="K264" s="145">
        <f t="shared" si="31"/>
        <v>0</v>
      </c>
      <c r="L264" s="145">
        <f t="shared" si="32"/>
        <v>0</v>
      </c>
      <c r="M264" s="145">
        <v>545.9</v>
      </c>
      <c r="N264" s="145">
        <f>+M264*1000/(41.5*10*16*60)*T264</f>
        <v>2.7404618473895583</v>
      </c>
      <c r="O264" s="14">
        <f>+SUM('31:29'!O264)</f>
        <v>0</v>
      </c>
      <c r="P264" s="145">
        <f t="shared" si="34"/>
        <v>0</v>
      </c>
      <c r="Q264" s="14">
        <f>+SUM('31:29'!Q264)</f>
        <v>0</v>
      </c>
      <c r="R264" s="19">
        <f t="shared" si="35"/>
        <v>0</v>
      </c>
      <c r="S264" s="145">
        <f t="shared" si="36"/>
        <v>0</v>
      </c>
      <c r="T264" s="20">
        <v>2</v>
      </c>
      <c r="U264" s="14">
        <f>+SUM('31:29'!U264)</f>
        <v>0</v>
      </c>
      <c r="V264" s="142" t="str">
        <f t="array" ref="V264">IF(ISERROR(L264/K264),"",L264/K264)</f>
        <v/>
      </c>
      <c r="W264" s="14">
        <f>+SUM('31:29'!W264)</f>
        <v>0</v>
      </c>
      <c r="X264" s="14">
        <f>+SUM('31:29'!X264)</f>
        <v>0</v>
      </c>
      <c r="Y264" s="14">
        <f>+SUM('31:29'!Y264)</f>
        <v>0</v>
      </c>
      <c r="Z264" s="14">
        <f>+SUM('31:29'!Z264)</f>
        <v>0</v>
      </c>
      <c r="AA264" s="14">
        <f>+SUM('31:29'!AA264)</f>
        <v>0</v>
      </c>
      <c r="AB264" s="14">
        <f>+SUM('31:29'!AB264)</f>
        <v>0</v>
      </c>
      <c r="AC264" s="14">
        <f>+SUM('31:29'!AC264)</f>
        <v>0</v>
      </c>
    </row>
    <row r="265" spans="1:29" s="2" customFormat="1" ht="21.95" customHeight="1">
      <c r="A265" s="141">
        <v>300054</v>
      </c>
      <c r="B265" s="135" t="s">
        <v>67</v>
      </c>
      <c r="C265" s="219" t="s">
        <v>75</v>
      </c>
      <c r="D265" s="219" t="s">
        <v>76</v>
      </c>
      <c r="E265" s="147" t="s">
        <v>38</v>
      </c>
      <c r="F265" s="146"/>
      <c r="G265" s="14">
        <f>+SUM('31:29'!G265)</f>
        <v>0</v>
      </c>
      <c r="H265" s="14">
        <f>+SUM('31:29'!H265)</f>
        <v>0</v>
      </c>
      <c r="I265" s="14">
        <f>+SUM('31:29'!I265)</f>
        <v>0</v>
      </c>
      <c r="J265" s="14">
        <f>+SUM('31:29'!J265)</f>
        <v>0</v>
      </c>
      <c r="K265" s="145">
        <f t="shared" si="31"/>
        <v>0</v>
      </c>
      <c r="L265" s="145">
        <f t="shared" si="32"/>
        <v>0</v>
      </c>
      <c r="M265" s="145">
        <v>545.9</v>
      </c>
      <c r="N265" s="145">
        <f>+M265*1000/(41.5*10*16*60)*T265</f>
        <v>2.7404618473895583</v>
      </c>
      <c r="O265" s="14">
        <f>+SUM('31:29'!O265)</f>
        <v>0</v>
      </c>
      <c r="P265" s="145">
        <f t="shared" si="34"/>
        <v>0</v>
      </c>
      <c r="Q265" s="14">
        <f>+SUM('31:29'!Q265)</f>
        <v>0</v>
      </c>
      <c r="R265" s="19">
        <f t="shared" si="35"/>
        <v>0</v>
      </c>
      <c r="S265" s="145">
        <f t="shared" si="36"/>
        <v>0</v>
      </c>
      <c r="T265" s="20">
        <v>2</v>
      </c>
      <c r="U265" s="14">
        <f>+SUM('31:29'!U265)</f>
        <v>0</v>
      </c>
      <c r="V265" s="142" t="str">
        <f t="array" ref="V265">IF(ISERROR(L265/K265),"",L265/K265)</f>
        <v/>
      </c>
      <c r="W265" s="14">
        <f>+SUM('31:29'!W265)</f>
        <v>0</v>
      </c>
      <c r="X265" s="14">
        <f>+SUM('31:29'!X265)</f>
        <v>0</v>
      </c>
      <c r="Y265" s="14">
        <f>+SUM('31:29'!Y265)</f>
        <v>0</v>
      </c>
      <c r="Z265" s="14">
        <f>+SUM('31:29'!Z265)</f>
        <v>0</v>
      </c>
      <c r="AA265" s="14">
        <f>+SUM('31:29'!AA265)</f>
        <v>0</v>
      </c>
      <c r="AB265" s="14">
        <f>+SUM('31:29'!AB265)</f>
        <v>0</v>
      </c>
      <c r="AC265" s="14">
        <f>+SUM('31:29'!AC265)</f>
        <v>0</v>
      </c>
    </row>
    <row r="266" spans="1:29" s="132" customFormat="1" ht="21.95" customHeight="1">
      <c r="A266" s="126">
        <v>300436</v>
      </c>
      <c r="B266" s="138" t="s">
        <v>67</v>
      </c>
      <c r="C266" s="232" t="s">
        <v>75</v>
      </c>
      <c r="D266" s="232" t="s">
        <v>76</v>
      </c>
      <c r="E266" s="42" t="s">
        <v>301</v>
      </c>
      <c r="F266" s="127"/>
      <c r="G266" s="14">
        <f>+SUM('31:29'!G266)</f>
        <v>0</v>
      </c>
      <c r="H266" s="14">
        <f>+SUM('31:29'!H266)</f>
        <v>0</v>
      </c>
      <c r="I266" s="14">
        <f>+SUM('31:29'!I266)</f>
        <v>0</v>
      </c>
      <c r="J266" s="14">
        <f>+SUM('31:29'!J266)</f>
        <v>0</v>
      </c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4">
        <f>+SUM('31:29'!O266)</f>
        <v>0</v>
      </c>
      <c r="P266" s="15">
        <f t="shared" si="34"/>
        <v>0</v>
      </c>
      <c r="Q266" s="14">
        <f>+SUM('31:29'!Q266)</f>
        <v>0</v>
      </c>
      <c r="R266" s="129">
        <f t="shared" si="35"/>
        <v>0</v>
      </c>
      <c r="S266" s="15">
        <f t="shared" si="36"/>
        <v>0</v>
      </c>
      <c r="T266" s="130">
        <v>2</v>
      </c>
      <c r="U266" s="14">
        <f>+SUM('31:29'!U266)</f>
        <v>0</v>
      </c>
      <c r="V266" s="131"/>
      <c r="W266" s="14">
        <f>+SUM('31:29'!W266)</f>
        <v>0</v>
      </c>
      <c r="X266" s="14">
        <f>+SUM('31:29'!X266)</f>
        <v>0</v>
      </c>
      <c r="Y266" s="14">
        <f>+SUM('31:29'!Y266)</f>
        <v>0</v>
      </c>
      <c r="Z266" s="14">
        <f>+SUM('31:29'!Z266)</f>
        <v>0</v>
      </c>
      <c r="AA266" s="14">
        <f>+SUM('31:29'!AA266)</f>
        <v>0</v>
      </c>
      <c r="AB266" s="14">
        <f>+SUM('31:29'!AB266)</f>
        <v>0</v>
      </c>
      <c r="AC266" s="14">
        <f>+SUM('31:29'!AC266)</f>
        <v>0</v>
      </c>
    </row>
    <row r="267" spans="1:29" s="2" customFormat="1" ht="21.95" customHeight="1">
      <c r="A267" s="141">
        <v>300050</v>
      </c>
      <c r="B267" s="135" t="s">
        <v>67</v>
      </c>
      <c r="C267" s="219" t="s">
        <v>77</v>
      </c>
      <c r="D267" s="219" t="s">
        <v>78</v>
      </c>
      <c r="E267" s="147" t="s">
        <v>79</v>
      </c>
      <c r="F267" s="146"/>
      <c r="G267" s="14">
        <f>+SUM('31:29'!G267)</f>
        <v>16</v>
      </c>
      <c r="H267" s="14">
        <f>+SUM('31:29'!H267)</f>
        <v>0.14285714285714285</v>
      </c>
      <c r="I267" s="14">
        <f>+SUM('31:29'!I267)</f>
        <v>15.857142857142858</v>
      </c>
      <c r="J267" s="14">
        <f>+SUM('31:29'!J267)</f>
        <v>100</v>
      </c>
      <c r="K267" s="145">
        <f t="shared" si="31"/>
        <v>6840</v>
      </c>
      <c r="L267" s="145">
        <f t="shared" si="32"/>
        <v>6778.9285714285716</v>
      </c>
      <c r="M267" s="145">
        <v>427.5</v>
      </c>
      <c r="N267" s="145">
        <f>+M267*1000/(45*10*14*60)*T267</f>
        <v>5.6547619047619051</v>
      </c>
      <c r="O267" s="14">
        <f>+SUM('31:29'!O267)</f>
        <v>0.5</v>
      </c>
      <c r="P267" s="145">
        <f t="shared" si="34"/>
        <v>95.66836734693878</v>
      </c>
      <c r="Q267" s="14">
        <f>+SUM('31:29'!Q267)</f>
        <v>22.5</v>
      </c>
      <c r="R267" s="19">
        <f t="shared" si="35"/>
        <v>270</v>
      </c>
      <c r="S267" s="145">
        <f t="shared" si="36"/>
        <v>174.33163265306121</v>
      </c>
      <c r="T267" s="20">
        <v>5</v>
      </c>
      <c r="U267" s="14">
        <f>+SUM('31:29'!U267)</f>
        <v>12</v>
      </c>
      <c r="V267" s="142">
        <f t="array" ref="V267">IF(ISERROR(L267/K267),"",L267/K267)</f>
        <v>0.9910714285714286</v>
      </c>
      <c r="W267" s="14">
        <f>+SUM('31:29'!W267)</f>
        <v>0</v>
      </c>
      <c r="X267" s="14">
        <f>+SUM('31:29'!X267)</f>
        <v>0</v>
      </c>
      <c r="Y267" s="14">
        <f>+SUM('31:29'!Y267)</f>
        <v>0</v>
      </c>
      <c r="Z267" s="14">
        <f>+SUM('31:29'!Z267)</f>
        <v>0</v>
      </c>
      <c r="AA267" s="14">
        <f>+SUM('31:29'!AA267)</f>
        <v>0</v>
      </c>
      <c r="AB267" s="14">
        <f>+SUM('31:29'!AB267)</f>
        <v>0</v>
      </c>
      <c r="AC267" s="14">
        <f>+SUM('31:29'!AC267)</f>
        <v>0</v>
      </c>
    </row>
    <row r="268" spans="1:29" s="2" customFormat="1" ht="21.95" customHeight="1">
      <c r="A268" s="141">
        <v>300045</v>
      </c>
      <c r="B268" s="135" t="s">
        <v>67</v>
      </c>
      <c r="C268" s="219" t="s">
        <v>77</v>
      </c>
      <c r="D268" s="219" t="s">
        <v>78</v>
      </c>
      <c r="E268" s="147" t="s">
        <v>35</v>
      </c>
      <c r="F268" s="146"/>
      <c r="G268" s="14">
        <f>+SUM('31:29'!G268)</f>
        <v>3</v>
      </c>
      <c r="H268" s="14">
        <f>+SUM('31:29'!H268)</f>
        <v>0</v>
      </c>
      <c r="I268" s="14">
        <f>+SUM('31:29'!I268)</f>
        <v>3</v>
      </c>
      <c r="J268" s="14">
        <f>+SUM('31:29'!J268)</f>
        <v>0</v>
      </c>
      <c r="K268" s="145">
        <f t="shared" si="31"/>
        <v>1219.8000000000002</v>
      </c>
      <c r="L268" s="145">
        <f t="shared" si="32"/>
        <v>1219.8000000000002</v>
      </c>
      <c r="M268" s="145">
        <v>406.6</v>
      </c>
      <c r="N268" s="145">
        <f>+M268*1000/(45*10*13*60)*T268</f>
        <v>5.7920227920227916</v>
      </c>
      <c r="O268" s="14">
        <f>+SUM('31:29'!O268)</f>
        <v>0.5</v>
      </c>
      <c r="P268" s="145">
        <f t="shared" si="34"/>
        <v>19.876068376068375</v>
      </c>
      <c r="Q268" s="14">
        <f>+SUM('31:29'!Q268)</f>
        <v>4</v>
      </c>
      <c r="R268" s="19">
        <f t="shared" si="35"/>
        <v>20</v>
      </c>
      <c r="S268" s="145">
        <f t="shared" si="36"/>
        <v>0.12393162393162527</v>
      </c>
      <c r="T268" s="20">
        <v>5</v>
      </c>
      <c r="U268" s="14">
        <f>+SUM('31:29'!U268)</f>
        <v>5</v>
      </c>
      <c r="V268" s="142">
        <f t="array" ref="V268">IF(ISERROR(L268/K268),"",L268/K268)</f>
        <v>1</v>
      </c>
      <c r="W268" s="14">
        <f>+SUM('31:29'!W268)</f>
        <v>0</v>
      </c>
      <c r="X268" s="14">
        <f>+SUM('31:29'!X268)</f>
        <v>0</v>
      </c>
      <c r="Y268" s="14">
        <f>+SUM('31:29'!Y268)</f>
        <v>0</v>
      </c>
      <c r="Z268" s="14">
        <f>+SUM('31:29'!Z268)</f>
        <v>0</v>
      </c>
      <c r="AA268" s="14">
        <f>+SUM('31:29'!AA268)</f>
        <v>0</v>
      </c>
      <c r="AB268" s="14">
        <f>+SUM('31:29'!AB268)</f>
        <v>0</v>
      </c>
      <c r="AC268" s="14">
        <f>+SUM('31:29'!AC268)</f>
        <v>0</v>
      </c>
    </row>
    <row r="269" spans="1:29" s="2" customFormat="1" ht="21.95" customHeight="1">
      <c r="A269" s="141">
        <v>300422</v>
      </c>
      <c r="B269" s="135" t="s">
        <v>67</v>
      </c>
      <c r="C269" s="230" t="s">
        <v>293</v>
      </c>
      <c r="D269" s="231"/>
      <c r="E269" s="147" t="s">
        <v>54</v>
      </c>
      <c r="F269" s="146"/>
      <c r="G269" s="14">
        <f>+SUM('31:29'!G269)</f>
        <v>0</v>
      </c>
      <c r="H269" s="14">
        <f>+SUM('31:29'!H269)</f>
        <v>0</v>
      </c>
      <c r="I269" s="14">
        <f>+SUM('31:29'!I269)</f>
        <v>0</v>
      </c>
      <c r="J269" s="14">
        <f>+SUM('31:29'!J269)</f>
        <v>0</v>
      </c>
      <c r="K269" s="145">
        <f t="shared" si="31"/>
        <v>0</v>
      </c>
      <c r="L269" s="145">
        <f t="shared" si="32"/>
        <v>0</v>
      </c>
      <c r="M269" s="145">
        <v>429.8</v>
      </c>
      <c r="N269" s="145">
        <f>+M269*1000/(45*10*13*60)*T269</f>
        <v>3.6735042735042738</v>
      </c>
      <c r="O269" s="14">
        <f>+SUM('31:29'!O269)</f>
        <v>0</v>
      </c>
      <c r="P269" s="145">
        <f t="shared" si="34"/>
        <v>0</v>
      </c>
      <c r="Q269" s="14">
        <f>+SUM('31:29'!Q269)</f>
        <v>0</v>
      </c>
      <c r="R269" s="19">
        <f t="shared" si="35"/>
        <v>0</v>
      </c>
      <c r="S269" s="145">
        <f t="shared" si="36"/>
        <v>0</v>
      </c>
      <c r="T269" s="20">
        <v>3</v>
      </c>
      <c r="U269" s="14">
        <f>+SUM('31:29'!U269)</f>
        <v>0</v>
      </c>
      <c r="V269" s="142"/>
      <c r="W269" s="14">
        <f>+SUM('31:29'!W269)</f>
        <v>0</v>
      </c>
      <c r="X269" s="14">
        <f>+SUM('31:29'!X269)</f>
        <v>0</v>
      </c>
      <c r="Y269" s="14">
        <f>+SUM('31:29'!Y269)</f>
        <v>0</v>
      </c>
      <c r="Z269" s="14">
        <f>+SUM('31:29'!Z269)</f>
        <v>0</v>
      </c>
      <c r="AA269" s="14">
        <f>+SUM('31:29'!AA269)</f>
        <v>0</v>
      </c>
      <c r="AB269" s="14">
        <f>+SUM('31:29'!AB269)</f>
        <v>0</v>
      </c>
      <c r="AC269" s="14">
        <f>+SUM('31:29'!AC269)</f>
        <v>0</v>
      </c>
    </row>
    <row r="270" spans="1:29" s="2" customFormat="1" ht="21.95" customHeight="1">
      <c r="A270" s="141">
        <v>300421</v>
      </c>
      <c r="B270" s="135" t="s">
        <v>67</v>
      </c>
      <c r="C270" s="230" t="s">
        <v>293</v>
      </c>
      <c r="D270" s="231"/>
      <c r="E270" s="147" t="s">
        <v>80</v>
      </c>
      <c r="F270" s="146"/>
      <c r="G270" s="14">
        <f>+SUM('31:29'!G270)</f>
        <v>7</v>
      </c>
      <c r="H270" s="14">
        <f>+SUM('31:29'!H270)</f>
        <v>0</v>
      </c>
      <c r="I270" s="14">
        <f>+SUM('31:29'!I270)</f>
        <v>6.1428571428571432</v>
      </c>
      <c r="J270" s="14">
        <f>+SUM('31:29'!J270)</f>
        <v>300</v>
      </c>
      <c r="K270" s="145">
        <f t="shared" si="31"/>
        <v>3008.6</v>
      </c>
      <c r="L270" s="145">
        <f t="shared" si="32"/>
        <v>2640.2000000000003</v>
      </c>
      <c r="M270" s="145">
        <v>429.8</v>
      </c>
      <c r="N270" s="145">
        <f>+M270*1000/(45*10*13*60)*T270</f>
        <v>3.6735042735042738</v>
      </c>
      <c r="O270" s="14">
        <f>+SUM('31:29'!O270)</f>
        <v>0</v>
      </c>
      <c r="P270" s="145">
        <f t="shared" si="34"/>
        <v>22.565811965811967</v>
      </c>
      <c r="Q270" s="14">
        <f>+SUM('31:29'!Q270)</f>
        <v>7.5</v>
      </c>
      <c r="R270" s="19">
        <f t="shared" si="35"/>
        <v>15</v>
      </c>
      <c r="S270" s="145">
        <f t="shared" si="36"/>
        <v>-7.5658119658119674</v>
      </c>
      <c r="T270" s="20">
        <v>3</v>
      </c>
      <c r="U270" s="14">
        <f>+SUM('31:29'!U270)</f>
        <v>2</v>
      </c>
      <c r="V270" s="142"/>
      <c r="W270" s="14">
        <f>+SUM('31:29'!W270)</f>
        <v>0</v>
      </c>
      <c r="X270" s="14">
        <f>+SUM('31:29'!X270)</f>
        <v>0</v>
      </c>
      <c r="Y270" s="14">
        <f>+SUM('31:29'!Y270)</f>
        <v>0</v>
      </c>
      <c r="Z270" s="14">
        <f>+SUM('31:29'!Z270)</f>
        <v>0</v>
      </c>
      <c r="AA270" s="14">
        <f>+SUM('31:29'!AA270)</f>
        <v>2</v>
      </c>
      <c r="AB270" s="14">
        <f>+SUM('31:29'!AB270)</f>
        <v>0</v>
      </c>
      <c r="AC270" s="14">
        <f>+SUM('31:29'!AC270)</f>
        <v>0</v>
      </c>
    </row>
    <row r="271" spans="1:29" s="2" customFormat="1" ht="21.95" customHeight="1">
      <c r="A271" s="141">
        <v>300149</v>
      </c>
      <c r="B271" s="135" t="s">
        <v>67</v>
      </c>
      <c r="C271" s="219" t="s">
        <v>81</v>
      </c>
      <c r="D271" s="219" t="s">
        <v>82</v>
      </c>
      <c r="E271" s="147" t="s">
        <v>80</v>
      </c>
      <c r="F271" s="146"/>
      <c r="G271" s="14">
        <f>+SUM('31:29'!G271)</f>
        <v>3</v>
      </c>
      <c r="H271" s="14">
        <f>+SUM('31:29'!H271)</f>
        <v>0</v>
      </c>
      <c r="I271" s="14">
        <f>+SUM('31:29'!I271)</f>
        <v>3</v>
      </c>
      <c r="J271" s="14">
        <f>+SUM('31:29'!J271)</f>
        <v>0</v>
      </c>
      <c r="K271" s="145">
        <f t="shared" si="31"/>
        <v>1767.3000000000002</v>
      </c>
      <c r="L271" s="145">
        <f t="shared" si="32"/>
        <v>1767.3000000000002</v>
      </c>
      <c r="M271" s="145">
        <v>589.1</v>
      </c>
      <c r="N271" s="145">
        <f>+M271*1000/(67.1*10*13*60)*T271</f>
        <v>3.3767052619511633</v>
      </c>
      <c r="O271" s="14">
        <f>+SUM('31:29'!O271)</f>
        <v>0</v>
      </c>
      <c r="P271" s="145">
        <f t="shared" si="34"/>
        <v>10.130115785853491</v>
      </c>
      <c r="Q271" s="14">
        <f>+SUM('31:29'!Q271)</f>
        <v>5</v>
      </c>
      <c r="R271" s="19">
        <f t="shared" si="35"/>
        <v>25</v>
      </c>
      <c r="S271" s="145">
        <f t="shared" si="36"/>
        <v>14.869884214146509</v>
      </c>
      <c r="T271" s="20">
        <v>3</v>
      </c>
      <c r="U271" s="14">
        <f>+SUM('31:29'!U271)</f>
        <v>5</v>
      </c>
      <c r="V271" s="142">
        <f t="array" ref="V271">IF(ISERROR(L271/K271),"",L271/K271)</f>
        <v>1</v>
      </c>
      <c r="W271" s="14">
        <f>+SUM('31:29'!W271)</f>
        <v>0</v>
      </c>
      <c r="X271" s="14">
        <f>+SUM('31:29'!X271)</f>
        <v>0</v>
      </c>
      <c r="Y271" s="14">
        <f>+SUM('31:29'!Y271)</f>
        <v>0</v>
      </c>
      <c r="Z271" s="14">
        <f>+SUM('31:29'!Z271)</f>
        <v>0</v>
      </c>
      <c r="AA271" s="14">
        <f>+SUM('31:29'!AA271)</f>
        <v>0</v>
      </c>
      <c r="AB271" s="14">
        <f>+SUM('31:29'!AB271)</f>
        <v>0</v>
      </c>
      <c r="AC271" s="14">
        <f>+SUM('31:29'!AC271)</f>
        <v>0</v>
      </c>
    </row>
    <row r="272" spans="1:29" s="2" customFormat="1" ht="21.95" customHeight="1">
      <c r="A272" s="141">
        <v>300150</v>
      </c>
      <c r="B272" s="135" t="s">
        <v>67</v>
      </c>
      <c r="C272" s="219" t="s">
        <v>81</v>
      </c>
      <c r="D272" s="219" t="s">
        <v>82</v>
      </c>
      <c r="E272" s="147" t="s">
        <v>54</v>
      </c>
      <c r="F272" s="146"/>
      <c r="G272" s="14">
        <f>+SUM('31:29'!G272)</f>
        <v>0</v>
      </c>
      <c r="H272" s="14">
        <f>+SUM('31:29'!H272)</f>
        <v>0</v>
      </c>
      <c r="I272" s="14">
        <f>+SUM('31:29'!I272)</f>
        <v>0</v>
      </c>
      <c r="J272" s="14">
        <f>+SUM('31:29'!J272)</f>
        <v>0</v>
      </c>
      <c r="K272" s="145">
        <f t="shared" si="31"/>
        <v>0</v>
      </c>
      <c r="L272" s="145">
        <f t="shared" si="32"/>
        <v>0</v>
      </c>
      <c r="M272" s="145">
        <v>589.1</v>
      </c>
      <c r="N272" s="145">
        <f>+M272*1000/(67.1*10*13*60)*T272</f>
        <v>3.3767052619511633</v>
      </c>
      <c r="O272" s="14">
        <f>+SUM('31:29'!O272)</f>
        <v>0</v>
      </c>
      <c r="P272" s="145">
        <f t="shared" si="34"/>
        <v>0</v>
      </c>
      <c r="Q272" s="14">
        <f>+SUM('31:29'!Q272)</f>
        <v>0</v>
      </c>
      <c r="R272" s="19">
        <f t="shared" si="35"/>
        <v>0</v>
      </c>
      <c r="S272" s="145">
        <f t="shared" si="36"/>
        <v>0</v>
      </c>
      <c r="T272" s="20">
        <v>3</v>
      </c>
      <c r="U272" s="14">
        <f>+SUM('31:29'!U272)</f>
        <v>0</v>
      </c>
      <c r="V272" s="142" t="str">
        <f t="array" ref="V272">IF(ISERROR(L272/K272),"",L272/K272)</f>
        <v/>
      </c>
      <c r="W272" s="14">
        <f>+SUM('31:29'!W272)</f>
        <v>0</v>
      </c>
      <c r="X272" s="14">
        <f>+SUM('31:29'!X272)</f>
        <v>0</v>
      </c>
      <c r="Y272" s="14">
        <f>+SUM('31:29'!Y272)</f>
        <v>0</v>
      </c>
      <c r="Z272" s="14">
        <f>+SUM('31:29'!Z272)</f>
        <v>0</v>
      </c>
      <c r="AA272" s="14">
        <f>+SUM('31:29'!AA272)</f>
        <v>0</v>
      </c>
      <c r="AB272" s="14">
        <f>+SUM('31:29'!AB272)</f>
        <v>0</v>
      </c>
      <c r="AC272" s="14">
        <f>+SUM('31:29'!AC272)</f>
        <v>0</v>
      </c>
    </row>
    <row r="273" spans="1:29" s="2" customFormat="1" ht="21.95" customHeight="1">
      <c r="A273" s="141">
        <v>300330</v>
      </c>
      <c r="B273" s="135" t="s">
        <v>67</v>
      </c>
      <c r="C273" s="230" t="s">
        <v>83</v>
      </c>
      <c r="D273" s="231"/>
      <c r="E273" s="147" t="s">
        <v>84</v>
      </c>
      <c r="F273" s="146"/>
      <c r="G273" s="14">
        <f>+SUM('31:29'!G273)</f>
        <v>0</v>
      </c>
      <c r="H273" s="14">
        <f>+SUM('31:29'!H273)</f>
        <v>0</v>
      </c>
      <c r="I273" s="14">
        <f>+SUM('31:29'!I273)</f>
        <v>0</v>
      </c>
      <c r="J273" s="14">
        <f>+SUM('31:29'!J273)</f>
        <v>0</v>
      </c>
      <c r="K273" s="145">
        <f t="shared" si="31"/>
        <v>0</v>
      </c>
      <c r="L273" s="145">
        <f t="shared" si="32"/>
        <v>0</v>
      </c>
      <c r="M273" s="145">
        <v>416.3</v>
      </c>
      <c r="N273" s="145">
        <f t="shared" ref="N273:N278" si="37">+M273*1000/(45*10*18*60)*T273</f>
        <v>1.7131687242798355</v>
      </c>
      <c r="O273" s="14">
        <f>+SUM('31:29'!O273)</f>
        <v>0</v>
      </c>
      <c r="P273" s="145">
        <f t="shared" si="34"/>
        <v>0</v>
      </c>
      <c r="Q273" s="14">
        <f>+SUM('31:29'!Q273)</f>
        <v>0</v>
      </c>
      <c r="R273" s="19">
        <f t="shared" si="35"/>
        <v>0</v>
      </c>
      <c r="S273" s="145">
        <f t="shared" si="36"/>
        <v>0</v>
      </c>
      <c r="T273" s="20">
        <v>2</v>
      </c>
      <c r="U273" s="14">
        <f>+SUM('31:29'!U273)</f>
        <v>0</v>
      </c>
      <c r="V273" s="142" t="str">
        <f t="array" ref="V273">IF(ISERROR(L273/K273),"",L273/K273)</f>
        <v/>
      </c>
      <c r="W273" s="14">
        <f>+SUM('31:29'!W273)</f>
        <v>0</v>
      </c>
      <c r="X273" s="14">
        <f>+SUM('31:29'!X273)</f>
        <v>0</v>
      </c>
      <c r="Y273" s="14">
        <f>+SUM('31:29'!Y273)</f>
        <v>0</v>
      </c>
      <c r="Z273" s="14">
        <f>+SUM('31:29'!Z273)</f>
        <v>0</v>
      </c>
      <c r="AA273" s="14">
        <f>+SUM('31:29'!AA273)</f>
        <v>0</v>
      </c>
      <c r="AB273" s="14">
        <f>+SUM('31:29'!AB273)</f>
        <v>0</v>
      </c>
      <c r="AC273" s="14">
        <f>+SUM('31:29'!AC273)</f>
        <v>0</v>
      </c>
    </row>
    <row r="274" spans="1:29" s="2" customFormat="1" ht="21.95" customHeight="1">
      <c r="A274" s="141">
        <v>300331</v>
      </c>
      <c r="B274" s="135" t="s">
        <v>67</v>
      </c>
      <c r="C274" s="230" t="s">
        <v>83</v>
      </c>
      <c r="D274" s="231"/>
      <c r="E274" s="147" t="s">
        <v>49</v>
      </c>
      <c r="F274" s="146"/>
      <c r="G274" s="14">
        <f>+SUM('31:29'!G274)</f>
        <v>0</v>
      </c>
      <c r="H274" s="14">
        <f>+SUM('31:29'!H274)</f>
        <v>0</v>
      </c>
      <c r="I274" s="14">
        <f>+SUM('31:29'!I274)</f>
        <v>0</v>
      </c>
      <c r="J274" s="14">
        <f>+SUM('31:29'!J274)</f>
        <v>0</v>
      </c>
      <c r="K274" s="145">
        <f t="shared" si="31"/>
        <v>0</v>
      </c>
      <c r="L274" s="145">
        <f t="shared" si="32"/>
        <v>0</v>
      </c>
      <c r="M274" s="145">
        <v>416.3</v>
      </c>
      <c r="N274" s="145">
        <f t="shared" si="37"/>
        <v>1.7131687242798355</v>
      </c>
      <c r="O274" s="14">
        <f>+SUM('31:29'!O274)</f>
        <v>0</v>
      </c>
      <c r="P274" s="145">
        <f t="shared" si="34"/>
        <v>0</v>
      </c>
      <c r="Q274" s="14">
        <f>+SUM('31:29'!Q274)</f>
        <v>0</v>
      </c>
      <c r="R274" s="19">
        <f t="shared" si="35"/>
        <v>0</v>
      </c>
      <c r="S274" s="145">
        <f t="shared" si="36"/>
        <v>0</v>
      </c>
      <c r="T274" s="20">
        <v>2</v>
      </c>
      <c r="U274" s="14">
        <f>+SUM('31:29'!U274)</f>
        <v>0</v>
      </c>
      <c r="V274" s="142"/>
      <c r="W274" s="14">
        <f>+SUM('31:29'!W274)</f>
        <v>0</v>
      </c>
      <c r="X274" s="14">
        <f>+SUM('31:29'!X274)</f>
        <v>0</v>
      </c>
      <c r="Y274" s="14">
        <f>+SUM('31:29'!Y274)</f>
        <v>0</v>
      </c>
      <c r="Z274" s="14">
        <f>+SUM('31:29'!Z274)</f>
        <v>0</v>
      </c>
      <c r="AA274" s="14">
        <f>+SUM('31:29'!AA274)</f>
        <v>0</v>
      </c>
      <c r="AB274" s="14">
        <f>+SUM('31:29'!AB274)</f>
        <v>0</v>
      </c>
      <c r="AC274" s="14">
        <f>+SUM('31:29'!AC274)</f>
        <v>0</v>
      </c>
    </row>
    <row r="275" spans="1:29" s="2" customFormat="1" ht="21.95" customHeight="1">
      <c r="A275" s="141">
        <v>300332</v>
      </c>
      <c r="B275" s="135" t="s">
        <v>67</v>
      </c>
      <c r="C275" s="230" t="s">
        <v>83</v>
      </c>
      <c r="D275" s="231"/>
      <c r="E275" s="147" t="s">
        <v>85</v>
      </c>
      <c r="F275" s="146"/>
      <c r="G275" s="14">
        <f>+SUM('31:29'!G275)</f>
        <v>0</v>
      </c>
      <c r="H275" s="14">
        <f>+SUM('31:29'!H275)</f>
        <v>0</v>
      </c>
      <c r="I275" s="14">
        <f>+SUM('31:29'!I275)</f>
        <v>0</v>
      </c>
      <c r="J275" s="14">
        <f>+SUM('31:29'!J275)</f>
        <v>0</v>
      </c>
      <c r="K275" s="145">
        <f t="shared" si="31"/>
        <v>0</v>
      </c>
      <c r="L275" s="145">
        <f t="shared" si="32"/>
        <v>0</v>
      </c>
      <c r="M275" s="145">
        <v>416.3</v>
      </c>
      <c r="N275" s="145">
        <f t="shared" si="37"/>
        <v>1.7131687242798355</v>
      </c>
      <c r="O275" s="14">
        <f>+SUM('31:29'!O275)</f>
        <v>0</v>
      </c>
      <c r="P275" s="145">
        <f t="shared" si="34"/>
        <v>0</v>
      </c>
      <c r="Q275" s="14">
        <f>+SUM('31:29'!Q275)</f>
        <v>0</v>
      </c>
      <c r="R275" s="19">
        <f t="shared" si="35"/>
        <v>0</v>
      </c>
      <c r="S275" s="145">
        <f t="shared" si="36"/>
        <v>0</v>
      </c>
      <c r="T275" s="20">
        <v>2</v>
      </c>
      <c r="U275" s="14">
        <f>+SUM('31:29'!U275)</f>
        <v>0</v>
      </c>
      <c r="V275" s="142"/>
      <c r="W275" s="14">
        <f>+SUM('31:29'!W275)</f>
        <v>0</v>
      </c>
      <c r="X275" s="14">
        <f>+SUM('31:29'!X275)</f>
        <v>0</v>
      </c>
      <c r="Y275" s="14">
        <f>+SUM('31:29'!Y275)</f>
        <v>0</v>
      </c>
      <c r="Z275" s="14">
        <f>+SUM('31:29'!Z275)</f>
        <v>0</v>
      </c>
      <c r="AA275" s="14">
        <f>+SUM('31:29'!AA275)</f>
        <v>0</v>
      </c>
      <c r="AB275" s="14">
        <f>+SUM('31:29'!AB275)</f>
        <v>0</v>
      </c>
      <c r="AC275" s="14">
        <f>+SUM('31:29'!AC275)</f>
        <v>0</v>
      </c>
    </row>
    <row r="276" spans="1:29" s="2" customFormat="1" ht="21.95" customHeight="1">
      <c r="A276" s="141">
        <v>300333</v>
      </c>
      <c r="B276" s="135" t="s">
        <v>67</v>
      </c>
      <c r="C276" s="230" t="s">
        <v>86</v>
      </c>
      <c r="D276" s="231"/>
      <c r="E276" s="147" t="s">
        <v>84</v>
      </c>
      <c r="F276" s="146"/>
      <c r="G276" s="14">
        <f>+SUM('31:29'!G276)</f>
        <v>0</v>
      </c>
      <c r="H276" s="14">
        <f>+SUM('31:29'!H276)</f>
        <v>0</v>
      </c>
      <c r="I276" s="14">
        <f>+SUM('31:29'!I276)</f>
        <v>0</v>
      </c>
      <c r="J276" s="14">
        <f>+SUM('31:29'!J276)</f>
        <v>0</v>
      </c>
      <c r="K276" s="145">
        <f t="shared" si="31"/>
        <v>0</v>
      </c>
      <c r="L276" s="145">
        <f t="shared" si="32"/>
        <v>0</v>
      </c>
      <c r="M276" s="145">
        <v>416.3</v>
      </c>
      <c r="N276" s="145">
        <f t="shared" si="37"/>
        <v>1.7131687242798355</v>
      </c>
      <c r="O276" s="14">
        <f>+SUM('31:29'!O276)</f>
        <v>0</v>
      </c>
      <c r="P276" s="145">
        <f t="shared" si="34"/>
        <v>0</v>
      </c>
      <c r="Q276" s="14">
        <f>+SUM('31:29'!Q276)</f>
        <v>0</v>
      </c>
      <c r="R276" s="19">
        <f t="shared" si="35"/>
        <v>0</v>
      </c>
      <c r="S276" s="145">
        <f t="shared" si="36"/>
        <v>0</v>
      </c>
      <c r="T276" s="20">
        <v>2</v>
      </c>
      <c r="U276" s="14">
        <f>+SUM('31:29'!U276)</f>
        <v>0</v>
      </c>
      <c r="V276" s="142"/>
      <c r="W276" s="14">
        <f>+SUM('31:29'!W276)</f>
        <v>0</v>
      </c>
      <c r="X276" s="14">
        <f>+SUM('31:29'!X276)</f>
        <v>0</v>
      </c>
      <c r="Y276" s="14">
        <f>+SUM('31:29'!Y276)</f>
        <v>0</v>
      </c>
      <c r="Z276" s="14">
        <f>+SUM('31:29'!Z276)</f>
        <v>0</v>
      </c>
      <c r="AA276" s="14">
        <f>+SUM('31:29'!AA276)</f>
        <v>0</v>
      </c>
      <c r="AB276" s="14">
        <f>+SUM('31:29'!AB276)</f>
        <v>0</v>
      </c>
      <c r="AC276" s="14">
        <f>+SUM('31:29'!AC276)</f>
        <v>0</v>
      </c>
    </row>
    <row r="277" spans="1:29" s="2" customFormat="1" ht="21.95" customHeight="1">
      <c r="A277" s="141">
        <v>300334</v>
      </c>
      <c r="B277" s="135" t="s">
        <v>67</v>
      </c>
      <c r="C277" s="230" t="s">
        <v>86</v>
      </c>
      <c r="D277" s="231"/>
      <c r="E277" s="147" t="s">
        <v>85</v>
      </c>
      <c r="F277" s="146"/>
      <c r="G277" s="14">
        <f>+SUM('31:29'!G277)</f>
        <v>0</v>
      </c>
      <c r="H277" s="14">
        <f>+SUM('31:29'!H277)</f>
        <v>0</v>
      </c>
      <c r="I277" s="14">
        <f>+SUM('31:29'!I277)</f>
        <v>0</v>
      </c>
      <c r="J277" s="14">
        <f>+SUM('31:29'!J277)</f>
        <v>0</v>
      </c>
      <c r="K277" s="145">
        <f t="shared" si="31"/>
        <v>0</v>
      </c>
      <c r="L277" s="145">
        <f t="shared" si="32"/>
        <v>0</v>
      </c>
      <c r="M277" s="145">
        <v>416.3</v>
      </c>
      <c r="N277" s="145">
        <f t="shared" si="37"/>
        <v>1.7131687242798355</v>
      </c>
      <c r="O277" s="14">
        <f>+SUM('31:29'!O277)</f>
        <v>0</v>
      </c>
      <c r="P277" s="145">
        <f t="shared" si="34"/>
        <v>0</v>
      </c>
      <c r="Q277" s="14">
        <f>+SUM('31:29'!Q277)</f>
        <v>0</v>
      </c>
      <c r="R277" s="19">
        <f t="shared" si="35"/>
        <v>0</v>
      </c>
      <c r="S277" s="145">
        <f t="shared" si="36"/>
        <v>0</v>
      </c>
      <c r="T277" s="20">
        <v>2</v>
      </c>
      <c r="U277" s="14">
        <f>+SUM('31:29'!U277)</f>
        <v>0</v>
      </c>
      <c r="V277" s="142"/>
      <c r="W277" s="14">
        <f>+SUM('31:29'!W277)</f>
        <v>0</v>
      </c>
      <c r="X277" s="14">
        <f>+SUM('31:29'!X277)</f>
        <v>0</v>
      </c>
      <c r="Y277" s="14">
        <f>+SUM('31:29'!Y277)</f>
        <v>0</v>
      </c>
      <c r="Z277" s="14">
        <f>+SUM('31:29'!Z277)</f>
        <v>0</v>
      </c>
      <c r="AA277" s="14">
        <f>+SUM('31:29'!AA277)</f>
        <v>0</v>
      </c>
      <c r="AB277" s="14">
        <f>+SUM('31:29'!AB277)</f>
        <v>0</v>
      </c>
      <c r="AC277" s="14">
        <f>+SUM('31:29'!AC277)</f>
        <v>0</v>
      </c>
    </row>
    <row r="278" spans="1:29" s="2" customFormat="1" ht="21.95" customHeight="1">
      <c r="A278" s="141">
        <v>300335</v>
      </c>
      <c r="B278" s="135" t="s">
        <v>67</v>
      </c>
      <c r="C278" s="230" t="s">
        <v>86</v>
      </c>
      <c r="D278" s="231"/>
      <c r="E278" s="147" t="s">
        <v>49</v>
      </c>
      <c r="F278" s="146"/>
      <c r="G278" s="14">
        <f>+SUM('31:29'!G278)</f>
        <v>0</v>
      </c>
      <c r="H278" s="14">
        <f>+SUM('31:29'!H278)</f>
        <v>0</v>
      </c>
      <c r="I278" s="14">
        <f>+SUM('31:29'!I278)</f>
        <v>0</v>
      </c>
      <c r="J278" s="14">
        <f>+SUM('31:29'!J278)</f>
        <v>0</v>
      </c>
      <c r="K278" s="145">
        <f t="shared" si="31"/>
        <v>0</v>
      </c>
      <c r="L278" s="145">
        <f t="shared" si="32"/>
        <v>0</v>
      </c>
      <c r="M278" s="145">
        <v>416.3</v>
      </c>
      <c r="N278" s="145">
        <f t="shared" si="37"/>
        <v>1.7131687242798355</v>
      </c>
      <c r="O278" s="14">
        <f>+SUM('31:29'!O278)</f>
        <v>0</v>
      </c>
      <c r="P278" s="145">
        <f t="shared" si="34"/>
        <v>0</v>
      </c>
      <c r="Q278" s="14">
        <f>+SUM('31:29'!Q278)</f>
        <v>0</v>
      </c>
      <c r="R278" s="19">
        <f t="shared" si="35"/>
        <v>0</v>
      </c>
      <c r="S278" s="145">
        <f t="shared" si="36"/>
        <v>0</v>
      </c>
      <c r="T278" s="20">
        <v>2</v>
      </c>
      <c r="U278" s="14">
        <f>+SUM('31:29'!U278)</f>
        <v>0</v>
      </c>
      <c r="V278" s="142"/>
      <c r="W278" s="14">
        <f>+SUM('31:29'!W278)</f>
        <v>0</v>
      </c>
      <c r="X278" s="14">
        <f>+SUM('31:29'!X278)</f>
        <v>0</v>
      </c>
      <c r="Y278" s="14">
        <f>+SUM('31:29'!Y278)</f>
        <v>0</v>
      </c>
      <c r="Z278" s="14">
        <f>+SUM('31:29'!Z278)</f>
        <v>0</v>
      </c>
      <c r="AA278" s="14">
        <f>+SUM('31:29'!AA278)</f>
        <v>0</v>
      </c>
      <c r="AB278" s="14">
        <f>+SUM('31:29'!AB278)</f>
        <v>0</v>
      </c>
      <c r="AC278" s="14">
        <f>+SUM('31:29'!AC278)</f>
        <v>0</v>
      </c>
    </row>
    <row r="279" spans="1:29" s="2" customFormat="1" ht="21.95" customHeight="1">
      <c r="A279" s="141">
        <v>300291</v>
      </c>
      <c r="B279" s="135" t="s">
        <v>87</v>
      </c>
      <c r="C279" s="219" t="s">
        <v>88</v>
      </c>
      <c r="D279" s="219" t="s">
        <v>89</v>
      </c>
      <c r="E279" s="147" t="s">
        <v>42</v>
      </c>
      <c r="F279" s="146"/>
      <c r="G279" s="14">
        <f>+SUM('31:29'!G279)</f>
        <v>0</v>
      </c>
      <c r="H279" s="14">
        <f>+SUM('31:29'!H279)</f>
        <v>0</v>
      </c>
      <c r="I279" s="14">
        <f>+SUM('31:29'!I279)</f>
        <v>0</v>
      </c>
      <c r="J279" s="14">
        <f>+SUM('31:29'!J279)</f>
        <v>0</v>
      </c>
      <c r="K279" s="145">
        <f t="shared" si="31"/>
        <v>0</v>
      </c>
      <c r="L279" s="145">
        <f t="shared" si="32"/>
        <v>0</v>
      </c>
      <c r="M279" s="145">
        <v>517.79999999999995</v>
      </c>
      <c r="N279" s="145">
        <f>+M279*1000/(66.6*1*110*60)*T279</f>
        <v>4.7119847119847122</v>
      </c>
      <c r="O279" s="14">
        <f>+SUM('31:29'!O279)</f>
        <v>0</v>
      </c>
      <c r="P279" s="145">
        <f t="shared" si="34"/>
        <v>0</v>
      </c>
      <c r="Q279" s="14">
        <f>+SUM('31:29'!Q279)</f>
        <v>0</v>
      </c>
      <c r="R279" s="19">
        <f t="shared" si="35"/>
        <v>0</v>
      </c>
      <c r="S279" s="145">
        <f t="shared" si="36"/>
        <v>0</v>
      </c>
      <c r="T279" s="20">
        <v>4</v>
      </c>
      <c r="U279" s="14">
        <f>+SUM('31:29'!U279)</f>
        <v>0</v>
      </c>
      <c r="V279" s="142" t="str">
        <f t="array" ref="V279">IF(ISERROR(L279/K279),"",L279/K279)</f>
        <v/>
      </c>
      <c r="W279" s="14">
        <f>+SUM('31:29'!W279)</f>
        <v>0</v>
      </c>
      <c r="X279" s="14">
        <f>+SUM('31:29'!X279)</f>
        <v>0</v>
      </c>
      <c r="Y279" s="14">
        <f>+SUM('31:29'!Y279)</f>
        <v>0</v>
      </c>
      <c r="Z279" s="14">
        <f>+SUM('31:29'!Z279)</f>
        <v>0</v>
      </c>
      <c r="AA279" s="14">
        <f>+SUM('31:29'!AA279)</f>
        <v>0</v>
      </c>
      <c r="AB279" s="14">
        <f>+SUM('31:29'!AB279)</f>
        <v>0</v>
      </c>
      <c r="AC279" s="14">
        <f>+SUM('31:29'!AC279)</f>
        <v>0</v>
      </c>
    </row>
    <row r="280" spans="1:29" s="2" customFormat="1" ht="21.95" customHeight="1">
      <c r="A280" s="141">
        <v>300292</v>
      </c>
      <c r="B280" s="135" t="s">
        <v>87</v>
      </c>
      <c r="C280" s="219" t="s">
        <v>88</v>
      </c>
      <c r="D280" s="219" t="s">
        <v>89</v>
      </c>
      <c r="E280" s="147" t="s">
        <v>41</v>
      </c>
      <c r="F280" s="146"/>
      <c r="G280" s="14">
        <f>+SUM('31:29'!G280)</f>
        <v>0</v>
      </c>
      <c r="H280" s="14">
        <f>+SUM('31:29'!H280)</f>
        <v>0</v>
      </c>
      <c r="I280" s="14">
        <f>+SUM('31:29'!I280)</f>
        <v>0</v>
      </c>
      <c r="J280" s="14">
        <f>+SUM('31:29'!J280)</f>
        <v>0</v>
      </c>
      <c r="K280" s="145">
        <f t="shared" si="31"/>
        <v>0</v>
      </c>
      <c r="L280" s="145">
        <f t="shared" si="32"/>
        <v>0</v>
      </c>
      <c r="M280" s="145">
        <v>517.79999999999995</v>
      </c>
      <c r="N280" s="145">
        <f>+M280*1000/(66.8*1*110*60)*T280</f>
        <v>4.6978769733260748</v>
      </c>
      <c r="O280" s="14">
        <f>+SUM('31:29'!O280)</f>
        <v>0</v>
      </c>
      <c r="P280" s="145">
        <f t="shared" si="34"/>
        <v>0</v>
      </c>
      <c r="Q280" s="14">
        <f>+SUM('31:29'!Q280)</f>
        <v>0</v>
      </c>
      <c r="R280" s="19">
        <f t="shared" si="35"/>
        <v>0</v>
      </c>
      <c r="S280" s="145">
        <f t="shared" si="36"/>
        <v>0</v>
      </c>
      <c r="T280" s="20">
        <v>4</v>
      </c>
      <c r="U280" s="14">
        <f>+SUM('31:29'!U280)</f>
        <v>0</v>
      </c>
      <c r="V280" s="142" t="str">
        <f t="array" ref="V280">IF(ISERROR(L280/K280),"",L280/K280)</f>
        <v/>
      </c>
      <c r="W280" s="14">
        <f>+SUM('31:29'!W280)</f>
        <v>0</v>
      </c>
      <c r="X280" s="14">
        <f>+SUM('31:29'!X280)</f>
        <v>0</v>
      </c>
      <c r="Y280" s="14">
        <f>+SUM('31:29'!Y280)</f>
        <v>0</v>
      </c>
      <c r="Z280" s="14">
        <f>+SUM('31:29'!Z280)</f>
        <v>0</v>
      </c>
      <c r="AA280" s="14">
        <f>+SUM('31:29'!AA280)</f>
        <v>0</v>
      </c>
      <c r="AB280" s="14">
        <f>+SUM('31:29'!AB280)</f>
        <v>0</v>
      </c>
      <c r="AC280" s="14">
        <f>+SUM('31:29'!AC280)</f>
        <v>0</v>
      </c>
    </row>
    <row r="281" spans="1:29" s="2" customFormat="1" ht="21.95" customHeight="1">
      <c r="A281" s="141">
        <v>300293</v>
      </c>
      <c r="B281" s="135" t="s">
        <v>87</v>
      </c>
      <c r="C281" s="219" t="s">
        <v>88</v>
      </c>
      <c r="D281" s="219" t="s">
        <v>89</v>
      </c>
      <c r="E281" s="147" t="s">
        <v>57</v>
      </c>
      <c r="F281" s="146"/>
      <c r="G281" s="14">
        <f>+SUM('31:29'!G281)</f>
        <v>0</v>
      </c>
      <c r="H281" s="14">
        <f>+SUM('31:29'!H281)</f>
        <v>0</v>
      </c>
      <c r="I281" s="14">
        <f>+SUM('31:29'!I281)</f>
        <v>0</v>
      </c>
      <c r="J281" s="14">
        <f>+SUM('31:29'!J281)</f>
        <v>0</v>
      </c>
      <c r="K281" s="145">
        <f t="shared" si="31"/>
        <v>0</v>
      </c>
      <c r="L281" s="145">
        <f t="shared" si="32"/>
        <v>0</v>
      </c>
      <c r="M281" s="145">
        <v>517.9</v>
      </c>
      <c r="N281" s="145">
        <f>+M281*1000/(67.1*1*110*60)*T281</f>
        <v>4.6777762724111467</v>
      </c>
      <c r="O281" s="14">
        <f>+SUM('31:29'!O281)</f>
        <v>0</v>
      </c>
      <c r="P281" s="145">
        <f t="shared" si="34"/>
        <v>0</v>
      </c>
      <c r="Q281" s="14">
        <f>+SUM('31:29'!Q281)</f>
        <v>0</v>
      </c>
      <c r="R281" s="19">
        <f t="shared" si="35"/>
        <v>0</v>
      </c>
      <c r="S281" s="145">
        <f t="shared" si="36"/>
        <v>0</v>
      </c>
      <c r="T281" s="20">
        <v>4</v>
      </c>
      <c r="U281" s="14">
        <f>+SUM('31:29'!U281)</f>
        <v>0</v>
      </c>
      <c r="V281" s="142" t="str">
        <f t="array" ref="V281">IF(ISERROR(L281/K281),"",L281/K281)</f>
        <v/>
      </c>
      <c r="W281" s="14">
        <f>+SUM('31:29'!W281)</f>
        <v>0</v>
      </c>
      <c r="X281" s="14">
        <f>+SUM('31:29'!X281)</f>
        <v>0</v>
      </c>
      <c r="Y281" s="14">
        <f>+SUM('31:29'!Y281)</f>
        <v>0</v>
      </c>
      <c r="Z281" s="14">
        <f>+SUM('31:29'!Z281)</f>
        <v>0</v>
      </c>
      <c r="AA281" s="14">
        <f>+SUM('31:29'!AA281)</f>
        <v>0</v>
      </c>
      <c r="AB281" s="14">
        <f>+SUM('31:29'!AB281)</f>
        <v>0</v>
      </c>
      <c r="AC281" s="14">
        <f>+SUM('31:29'!AC281)</f>
        <v>0</v>
      </c>
    </row>
    <row r="282" spans="1:29" s="2" customFormat="1" ht="21.95" customHeight="1">
      <c r="A282" s="141">
        <v>300290</v>
      </c>
      <c r="B282" s="135" t="s">
        <v>87</v>
      </c>
      <c r="C282" s="219" t="s">
        <v>88</v>
      </c>
      <c r="D282" s="219" t="s">
        <v>89</v>
      </c>
      <c r="E282" s="147" t="s">
        <v>35</v>
      </c>
      <c r="F282" s="146"/>
      <c r="G282" s="14">
        <f>+SUM('31:29'!G282)</f>
        <v>0</v>
      </c>
      <c r="H282" s="14">
        <f>+SUM('31:29'!H282)</f>
        <v>0</v>
      </c>
      <c r="I282" s="14">
        <f>+SUM('31:29'!I282)</f>
        <v>0</v>
      </c>
      <c r="J282" s="14">
        <f>+SUM('31:29'!J282)</f>
        <v>0</v>
      </c>
      <c r="K282" s="145">
        <f t="shared" si="31"/>
        <v>0</v>
      </c>
      <c r="L282" s="145">
        <f t="shared" si="32"/>
        <v>0</v>
      </c>
      <c r="M282" s="145">
        <v>520</v>
      </c>
      <c r="N282" s="145">
        <f>+M282*1000/(67.5*1*110*60)*T282</f>
        <v>4.6689113355780023</v>
      </c>
      <c r="O282" s="14">
        <f>+SUM('31:29'!O282)</f>
        <v>0</v>
      </c>
      <c r="P282" s="145">
        <f t="shared" si="34"/>
        <v>0</v>
      </c>
      <c r="Q282" s="14">
        <f>+SUM('31:29'!Q282)</f>
        <v>0</v>
      </c>
      <c r="R282" s="19">
        <f t="shared" si="35"/>
        <v>0</v>
      </c>
      <c r="S282" s="145">
        <f t="shared" si="36"/>
        <v>0</v>
      </c>
      <c r="T282" s="20">
        <v>4</v>
      </c>
      <c r="U282" s="14">
        <f>+SUM('31:29'!U282)</f>
        <v>0</v>
      </c>
      <c r="V282" s="142" t="str">
        <f t="array" ref="V282">IF(ISERROR(L282/K282),"",L282/K282)</f>
        <v/>
      </c>
      <c r="W282" s="14">
        <f>+SUM('31:29'!W282)</f>
        <v>0</v>
      </c>
      <c r="X282" s="14">
        <f>+SUM('31:29'!X282)</f>
        <v>0</v>
      </c>
      <c r="Y282" s="14">
        <f>+SUM('31:29'!Y282)</f>
        <v>0</v>
      </c>
      <c r="Z282" s="14">
        <f>+SUM('31:29'!Z282)</f>
        <v>0</v>
      </c>
      <c r="AA282" s="14">
        <f>+SUM('31:29'!AA282)</f>
        <v>0</v>
      </c>
      <c r="AB282" s="14">
        <f>+SUM('31:29'!AB282)</f>
        <v>0</v>
      </c>
      <c r="AC282" s="14">
        <f>+SUM('31:29'!AC282)</f>
        <v>0</v>
      </c>
    </row>
    <row r="283" spans="1:29" s="2" customFormat="1" ht="21.95" customHeight="1">
      <c r="A283" s="141">
        <v>300389</v>
      </c>
      <c r="B283" s="135" t="s">
        <v>87</v>
      </c>
      <c r="C283" s="219" t="s">
        <v>308</v>
      </c>
      <c r="D283" s="219" t="s">
        <v>89</v>
      </c>
      <c r="E283" s="147" t="s">
        <v>35</v>
      </c>
      <c r="F283" s="146"/>
      <c r="G283" s="14">
        <f>+SUM('31:29'!G283)</f>
        <v>6</v>
      </c>
      <c r="H283" s="14">
        <f>+SUM('31:29'!H283)</f>
        <v>0</v>
      </c>
      <c r="I283" s="14">
        <f>+SUM('31:29'!I283)</f>
        <v>5.125</v>
      </c>
      <c r="J283" s="14">
        <f>+SUM('31:29'!J283)</f>
        <v>350</v>
      </c>
      <c r="K283" s="145">
        <f t="shared" si="31"/>
        <v>2576.3999999999996</v>
      </c>
      <c r="L283" s="145">
        <f t="shared" si="32"/>
        <v>2200.6749999999997</v>
      </c>
      <c r="M283" s="145">
        <v>429.4</v>
      </c>
      <c r="N283" s="145">
        <f>+M283*1000/(47*1*110*60)*T283</f>
        <v>5.5370728562217923</v>
      </c>
      <c r="O283" s="14">
        <f>+SUM('31:29'!O283)</f>
        <v>0.5</v>
      </c>
      <c r="P283" s="145">
        <f t="shared" si="34"/>
        <v>30.377498388136686</v>
      </c>
      <c r="Q283" s="14">
        <f>+SUM('31:29'!Q283)</f>
        <v>7</v>
      </c>
      <c r="R283" s="19">
        <f t="shared" si="35"/>
        <v>28</v>
      </c>
      <c r="S283" s="145">
        <f t="shared" si="36"/>
        <v>-2.3774983881366865</v>
      </c>
      <c r="T283" s="20">
        <v>4</v>
      </c>
      <c r="U283" s="14">
        <f>+SUM('31:29'!U283)</f>
        <v>4</v>
      </c>
      <c r="V283" s="142">
        <f t="array" ref="V283">IF(ISERROR(L283/K283),"",L283/K283)</f>
        <v>0.85416666666666663</v>
      </c>
      <c r="W283" s="14">
        <f>+SUM('31:29'!W283)</f>
        <v>0</v>
      </c>
      <c r="X283" s="14">
        <f>+SUM('31:29'!X283)</f>
        <v>0</v>
      </c>
      <c r="Y283" s="14">
        <f>+SUM('31:29'!Y283)</f>
        <v>0</v>
      </c>
      <c r="Z283" s="14">
        <f>+SUM('31:29'!Z283)</f>
        <v>0</v>
      </c>
      <c r="AA283" s="14">
        <f>+SUM('31:29'!AA283)</f>
        <v>0</v>
      </c>
      <c r="AB283" s="14">
        <f>+SUM('31:29'!AB283)</f>
        <v>0</v>
      </c>
      <c r="AC283" s="14">
        <f>+SUM('31:29'!AC283)</f>
        <v>0</v>
      </c>
    </row>
    <row r="284" spans="1:29" s="2" customFormat="1" ht="21.95" customHeight="1">
      <c r="A284" s="141">
        <v>300058</v>
      </c>
      <c r="B284" s="135" t="s">
        <v>87</v>
      </c>
      <c r="C284" s="219" t="s">
        <v>308</v>
      </c>
      <c r="D284" s="219" t="s">
        <v>89</v>
      </c>
      <c r="E284" s="147" t="s">
        <v>42</v>
      </c>
      <c r="F284" s="146"/>
      <c r="G284" s="14">
        <f>+SUM('31:29'!G284)</f>
        <v>0</v>
      </c>
      <c r="H284" s="14">
        <f>+SUM('31:29'!H284)</f>
        <v>0</v>
      </c>
      <c r="I284" s="14">
        <f>+SUM('31:29'!I284)</f>
        <v>0</v>
      </c>
      <c r="J284" s="14">
        <f>+SUM('31:29'!J284)</f>
        <v>0</v>
      </c>
      <c r="K284" s="145">
        <f t="shared" si="31"/>
        <v>0</v>
      </c>
      <c r="L284" s="145">
        <f t="shared" si="32"/>
        <v>0</v>
      </c>
      <c r="M284" s="145">
        <v>419.2</v>
      </c>
      <c r="N284" s="145">
        <f>+M284*1000/(51.5*1*110*60)*T284</f>
        <v>4.9332156516622536</v>
      </c>
      <c r="O284" s="14">
        <f>+SUM('31:29'!O284)</f>
        <v>0</v>
      </c>
      <c r="P284" s="145">
        <f t="shared" si="34"/>
        <v>0</v>
      </c>
      <c r="Q284" s="14">
        <f>+SUM('31:29'!Q284)</f>
        <v>0</v>
      </c>
      <c r="R284" s="19">
        <f t="shared" si="35"/>
        <v>0</v>
      </c>
      <c r="S284" s="145">
        <f t="shared" si="36"/>
        <v>0</v>
      </c>
      <c r="T284" s="20">
        <v>4</v>
      </c>
      <c r="U284" s="14">
        <f>+SUM('31:29'!U284)</f>
        <v>0</v>
      </c>
      <c r="V284" s="142" t="str">
        <f t="array" ref="V284">IF(ISERROR(L284/K284),"",L284/K284)</f>
        <v/>
      </c>
      <c r="W284" s="14">
        <f>+SUM('31:29'!W284)</f>
        <v>0</v>
      </c>
      <c r="X284" s="14">
        <f>+SUM('31:29'!X284)</f>
        <v>0</v>
      </c>
      <c r="Y284" s="14">
        <f>+SUM('31:29'!Y284)</f>
        <v>0</v>
      </c>
      <c r="Z284" s="14">
        <f>+SUM('31:29'!Z284)</f>
        <v>0</v>
      </c>
      <c r="AA284" s="14">
        <f>+SUM('31:29'!AA284)</f>
        <v>0</v>
      </c>
      <c r="AB284" s="14">
        <f>+SUM('31:29'!AB284)</f>
        <v>0</v>
      </c>
      <c r="AC284" s="14">
        <f>+SUM('31:29'!AC284)</f>
        <v>0</v>
      </c>
    </row>
    <row r="285" spans="1:29" s="2" customFormat="1" ht="21.95" customHeight="1">
      <c r="A285" s="141">
        <v>300061</v>
      </c>
      <c r="B285" s="135" t="s">
        <v>87</v>
      </c>
      <c r="C285" s="219" t="s">
        <v>309</v>
      </c>
      <c r="D285" s="219" t="s">
        <v>91</v>
      </c>
      <c r="E285" s="147" t="s">
        <v>41</v>
      </c>
      <c r="F285" s="146"/>
      <c r="G285" s="14">
        <f>+SUM('31:29'!G285)</f>
        <v>0</v>
      </c>
      <c r="H285" s="14">
        <f>+SUM('31:29'!H285)</f>
        <v>0</v>
      </c>
      <c r="I285" s="14">
        <f>+SUM('31:29'!I285)</f>
        <v>0</v>
      </c>
      <c r="J285" s="14">
        <f>+SUM('31:29'!J285)</f>
        <v>0</v>
      </c>
      <c r="K285" s="145">
        <f t="shared" si="31"/>
        <v>0</v>
      </c>
      <c r="L285" s="145">
        <f t="shared" si="32"/>
        <v>0</v>
      </c>
      <c r="M285" s="145">
        <v>418.4</v>
      </c>
      <c r="N285" s="145">
        <f>+M285*1000/(51*1*110*60)*T285</f>
        <v>4.9720736779560308</v>
      </c>
      <c r="O285" s="14">
        <f>+SUM('31:29'!O285)</f>
        <v>0</v>
      </c>
      <c r="P285" s="145">
        <f t="shared" si="34"/>
        <v>0</v>
      </c>
      <c r="Q285" s="14">
        <f>+SUM('31:29'!Q285)</f>
        <v>0</v>
      </c>
      <c r="R285" s="19">
        <f t="shared" si="35"/>
        <v>0</v>
      </c>
      <c r="S285" s="145">
        <f t="shared" si="36"/>
        <v>0</v>
      </c>
      <c r="T285" s="20">
        <v>4</v>
      </c>
      <c r="U285" s="14">
        <f>+SUM('31:29'!U285)</f>
        <v>0</v>
      </c>
      <c r="V285" s="142" t="str">
        <f t="array" ref="V285">IF(ISERROR(L285/K285),"",L285/K285)</f>
        <v/>
      </c>
      <c r="W285" s="14">
        <f>+SUM('31:29'!W285)</f>
        <v>0</v>
      </c>
      <c r="X285" s="14">
        <f>+SUM('31:29'!X285)</f>
        <v>0</v>
      </c>
      <c r="Y285" s="14">
        <f>+SUM('31:29'!Y285)</f>
        <v>0</v>
      </c>
      <c r="Z285" s="14">
        <f>+SUM('31:29'!Z285)</f>
        <v>0</v>
      </c>
      <c r="AA285" s="14">
        <f>+SUM('31:29'!AA285)</f>
        <v>0</v>
      </c>
      <c r="AB285" s="14">
        <f>+SUM('31:29'!AB285)</f>
        <v>0</v>
      </c>
      <c r="AC285" s="14">
        <f>+SUM('31:29'!AC285)</f>
        <v>0</v>
      </c>
    </row>
    <row r="286" spans="1:29" s="2" customFormat="1" ht="21.95" customHeight="1">
      <c r="A286" s="141">
        <v>300064</v>
      </c>
      <c r="B286" s="135">
        <v>5002</v>
      </c>
      <c r="C286" s="219" t="s">
        <v>309</v>
      </c>
      <c r="D286" s="219" t="s">
        <v>91</v>
      </c>
      <c r="E286" s="147" t="s">
        <v>35</v>
      </c>
      <c r="F286" s="146"/>
      <c r="G286" s="14">
        <f>+SUM('31:29'!G286)</f>
        <v>0</v>
      </c>
      <c r="H286" s="14">
        <f>+SUM('31:29'!H286)</f>
        <v>0</v>
      </c>
      <c r="I286" s="14">
        <f>+SUM('31:29'!I286)</f>
        <v>0</v>
      </c>
      <c r="J286" s="14">
        <f>+SUM('31:29'!J286)</f>
        <v>0</v>
      </c>
      <c r="K286" s="145">
        <f t="shared" ref="K286:K362" si="38">G286*M286</f>
        <v>0</v>
      </c>
      <c r="L286" s="145">
        <f t="shared" ref="L286:L362" si="39">I286*M286</f>
        <v>0</v>
      </c>
      <c r="M286" s="145">
        <v>419.2</v>
      </c>
      <c r="N286" s="145">
        <f>+M286*1000/(51.9*1*110*60)*T286</f>
        <v>4.8951947217843168</v>
      </c>
      <c r="O286" s="14">
        <f>+SUM('31:29'!O286)</f>
        <v>0</v>
      </c>
      <c r="P286" s="145">
        <f t="shared" ref="P286:P362" si="40">N286*I286+O286*U286</f>
        <v>0</v>
      </c>
      <c r="Q286" s="14">
        <f>+SUM('31:29'!Q286)</f>
        <v>0</v>
      </c>
      <c r="R286" s="19">
        <f t="shared" ref="R286:R362" si="41">Q286*U286</f>
        <v>0</v>
      </c>
      <c r="S286" s="145">
        <f t="shared" ref="S286:S362" si="42">R286-P286</f>
        <v>0</v>
      </c>
      <c r="T286" s="20">
        <v>4</v>
      </c>
      <c r="U286" s="14">
        <f>+SUM('31:29'!U286)</f>
        <v>0</v>
      </c>
      <c r="V286" s="142" t="str">
        <f t="array" ref="V286">IF(ISERROR(L286/K286),"",L286/K286)</f>
        <v/>
      </c>
      <c r="W286" s="14">
        <f>+SUM('31:29'!W286)</f>
        <v>0</v>
      </c>
      <c r="X286" s="14">
        <f>+SUM('31:29'!X286)</f>
        <v>0</v>
      </c>
      <c r="Y286" s="14">
        <f>+SUM('31:29'!Y286)</f>
        <v>0</v>
      </c>
      <c r="Z286" s="14">
        <f>+SUM('31:29'!Z286)</f>
        <v>0</v>
      </c>
      <c r="AA286" s="14">
        <f>+SUM('31:29'!AA286)</f>
        <v>0</v>
      </c>
      <c r="AB286" s="14">
        <f>+SUM('31:29'!AB286)</f>
        <v>0</v>
      </c>
      <c r="AC286" s="14">
        <f>+SUM('31:29'!AC286)</f>
        <v>0</v>
      </c>
    </row>
    <row r="287" spans="1:29" s="2" customFormat="1" ht="21.95" customHeight="1">
      <c r="A287" s="141">
        <v>300060</v>
      </c>
      <c r="B287" s="135" t="s">
        <v>87</v>
      </c>
      <c r="C287" s="219" t="s">
        <v>309</v>
      </c>
      <c r="D287" s="219" t="s">
        <v>91</v>
      </c>
      <c r="E287" s="147" t="s">
        <v>57</v>
      </c>
      <c r="F287" s="146"/>
      <c r="G287" s="14">
        <f>+SUM('31:29'!G287)</f>
        <v>9</v>
      </c>
      <c r="H287" s="14">
        <f>+SUM('31:29'!H287)</f>
        <v>0.45</v>
      </c>
      <c r="I287" s="14">
        <f>+SUM('31:29'!I287)</f>
        <v>8.4499999999999993</v>
      </c>
      <c r="J287" s="14">
        <f>+SUM('31:29'!J287)</f>
        <v>400</v>
      </c>
      <c r="K287" s="145">
        <f t="shared" si="38"/>
        <v>3752.1</v>
      </c>
      <c r="L287" s="145">
        <f t="shared" si="39"/>
        <v>3522.8049999999994</v>
      </c>
      <c r="M287" s="145">
        <v>416.9</v>
      </c>
      <c r="N287" s="145">
        <f>+M287*1000/(51*1*110*60)*T287</f>
        <v>4.9542483660130721</v>
      </c>
      <c r="O287" s="14">
        <f>+SUM('31:29'!O287)</f>
        <v>0</v>
      </c>
      <c r="P287" s="145">
        <f t="shared" si="40"/>
        <v>41.863398692810456</v>
      </c>
      <c r="Q287" s="14">
        <f>+SUM('31:29'!Q287)</f>
        <v>11.5</v>
      </c>
      <c r="R287" s="19">
        <f t="shared" si="41"/>
        <v>46</v>
      </c>
      <c r="S287" s="145">
        <f t="shared" si="42"/>
        <v>4.1366013071895438</v>
      </c>
      <c r="T287" s="20">
        <v>4</v>
      </c>
      <c r="U287" s="14">
        <f>+SUM('31:29'!U287)</f>
        <v>4</v>
      </c>
      <c r="V287" s="142">
        <f t="array" ref="V287">IF(ISERROR(L287/K287),"",L287/K287)</f>
        <v>0.93888888888888877</v>
      </c>
      <c r="W287" s="14">
        <f>+SUM('31:29'!W287)</f>
        <v>0</v>
      </c>
      <c r="X287" s="14">
        <f>+SUM('31:29'!X287)</f>
        <v>0</v>
      </c>
      <c r="Y287" s="14">
        <f>+SUM('31:29'!Y287)</f>
        <v>0</v>
      </c>
      <c r="Z287" s="14">
        <f>+SUM('31:29'!Z287)</f>
        <v>0</v>
      </c>
      <c r="AA287" s="14">
        <f>+SUM('31:29'!AA287)</f>
        <v>0</v>
      </c>
      <c r="AB287" s="14">
        <f>+SUM('31:29'!AB287)</f>
        <v>0</v>
      </c>
      <c r="AC287" s="14">
        <f>+SUM('31:29'!AC287)</f>
        <v>0</v>
      </c>
    </row>
    <row r="288" spans="1:29" s="2" customFormat="1" ht="21.95" customHeight="1">
      <c r="A288" s="141">
        <v>300068</v>
      </c>
      <c r="B288" s="135" t="s">
        <v>87</v>
      </c>
      <c r="C288" s="219" t="s">
        <v>92</v>
      </c>
      <c r="D288" s="219" t="s">
        <v>93</v>
      </c>
      <c r="E288" s="147" t="s">
        <v>37</v>
      </c>
      <c r="F288" s="146"/>
      <c r="G288" s="14">
        <f>+SUM('31:29'!G288)</f>
        <v>0</v>
      </c>
      <c r="H288" s="14">
        <f>+SUM('31:29'!H288)</f>
        <v>0</v>
      </c>
      <c r="I288" s="14">
        <f>+SUM('31:29'!I288)</f>
        <v>0</v>
      </c>
      <c r="J288" s="14">
        <f>+SUM('31:29'!J288)</f>
        <v>0</v>
      </c>
      <c r="K288" s="145">
        <f t="shared" si="38"/>
        <v>0</v>
      </c>
      <c r="L288" s="145">
        <f t="shared" si="39"/>
        <v>0</v>
      </c>
      <c r="M288" s="145">
        <v>438.4</v>
      </c>
      <c r="N288" s="145">
        <f>+M288*1000/(50*1*120*60)*T288</f>
        <v>4.8711111111111114</v>
      </c>
      <c r="O288" s="14">
        <f>+SUM('31:29'!O288)</f>
        <v>0</v>
      </c>
      <c r="P288" s="145">
        <f t="shared" si="40"/>
        <v>0</v>
      </c>
      <c r="Q288" s="14">
        <f>+SUM('31:29'!Q288)</f>
        <v>0</v>
      </c>
      <c r="R288" s="19">
        <f t="shared" si="41"/>
        <v>0</v>
      </c>
      <c r="S288" s="145">
        <f t="shared" si="42"/>
        <v>0</v>
      </c>
      <c r="T288" s="20">
        <v>4</v>
      </c>
      <c r="U288" s="14">
        <f>+SUM('31:29'!U288)</f>
        <v>0</v>
      </c>
      <c r="V288" s="142" t="str">
        <f t="array" ref="V288">IF(ISERROR(L288/K288),"",L288/K288)</f>
        <v/>
      </c>
      <c r="W288" s="14">
        <f>+SUM('31:29'!W288)</f>
        <v>0</v>
      </c>
      <c r="X288" s="14">
        <f>+SUM('31:29'!X288)</f>
        <v>0</v>
      </c>
      <c r="Y288" s="14">
        <f>+SUM('31:29'!Y288)</f>
        <v>0</v>
      </c>
      <c r="Z288" s="14">
        <f>+SUM('31:29'!Z288)</f>
        <v>0</v>
      </c>
      <c r="AA288" s="14">
        <f>+SUM('31:29'!AA288)</f>
        <v>0</v>
      </c>
      <c r="AB288" s="14">
        <f>+SUM('31:29'!AB288)</f>
        <v>0</v>
      </c>
      <c r="AC288" s="14">
        <f>+SUM('31:29'!AC288)</f>
        <v>0</v>
      </c>
    </row>
    <row r="289" spans="1:29" s="2" customFormat="1" ht="21.95" customHeight="1">
      <c r="A289" s="141">
        <v>300065</v>
      </c>
      <c r="B289" s="135" t="s">
        <v>87</v>
      </c>
      <c r="C289" s="219" t="s">
        <v>92</v>
      </c>
      <c r="D289" s="219" t="s">
        <v>93</v>
      </c>
      <c r="E289" s="147" t="s">
        <v>35</v>
      </c>
      <c r="F289" s="146"/>
      <c r="G289" s="14">
        <f>+SUM('31:29'!G289)</f>
        <v>0</v>
      </c>
      <c r="H289" s="14">
        <f>+SUM('31:29'!H289)</f>
        <v>0</v>
      </c>
      <c r="I289" s="14">
        <f>+SUM('31:29'!I289)</f>
        <v>0</v>
      </c>
      <c r="J289" s="14">
        <f>+SUM('31:29'!J289)</f>
        <v>0</v>
      </c>
      <c r="K289" s="145">
        <f t="shared" si="38"/>
        <v>0</v>
      </c>
      <c r="L289" s="145">
        <f t="shared" si="39"/>
        <v>0</v>
      </c>
      <c r="M289" s="145">
        <v>438.8</v>
      </c>
      <c r="N289" s="145">
        <f>+M289*1000/(50*1*120*60)*T289</f>
        <v>4.8755555555555556</v>
      </c>
      <c r="O289" s="14">
        <f>+SUM('31:29'!O289)</f>
        <v>0</v>
      </c>
      <c r="P289" s="145">
        <f t="shared" si="40"/>
        <v>0</v>
      </c>
      <c r="Q289" s="14">
        <f>+SUM('31:29'!Q289)</f>
        <v>0</v>
      </c>
      <c r="R289" s="19">
        <f t="shared" si="41"/>
        <v>0</v>
      </c>
      <c r="S289" s="145">
        <f t="shared" si="42"/>
        <v>0</v>
      </c>
      <c r="T289" s="20">
        <v>4</v>
      </c>
      <c r="U289" s="14">
        <f>+SUM('31:29'!U289)</f>
        <v>0</v>
      </c>
      <c r="V289" s="142" t="str">
        <f t="array" ref="V289">IF(ISERROR(L289/K289),"",L289/K289)</f>
        <v/>
      </c>
      <c r="W289" s="14">
        <f>+SUM('31:29'!W289)</f>
        <v>0</v>
      </c>
      <c r="X289" s="14">
        <f>+SUM('31:29'!X289)</f>
        <v>0</v>
      </c>
      <c r="Y289" s="14">
        <f>+SUM('31:29'!Y289)</f>
        <v>0</v>
      </c>
      <c r="Z289" s="14">
        <f>+SUM('31:29'!Z289)</f>
        <v>0</v>
      </c>
      <c r="AA289" s="14">
        <f>+SUM('31:29'!AA289)</f>
        <v>0</v>
      </c>
      <c r="AB289" s="14">
        <f>+SUM('31:29'!AB289)</f>
        <v>0</v>
      </c>
      <c r="AC289" s="14">
        <f>+SUM('31:29'!AC289)</f>
        <v>0</v>
      </c>
    </row>
    <row r="290" spans="1:29" s="2" customFormat="1" ht="21.95" customHeight="1">
      <c r="A290" s="141">
        <v>300066</v>
      </c>
      <c r="B290" s="135" t="s">
        <v>87</v>
      </c>
      <c r="C290" s="219" t="s">
        <v>92</v>
      </c>
      <c r="D290" s="219" t="s">
        <v>93</v>
      </c>
      <c r="E290" s="147" t="s">
        <v>66</v>
      </c>
      <c r="F290" s="146"/>
      <c r="G290" s="14">
        <f>+SUM('31:29'!G290)</f>
        <v>0</v>
      </c>
      <c r="H290" s="14">
        <f>+SUM('31:29'!H290)</f>
        <v>0</v>
      </c>
      <c r="I290" s="14">
        <f>+SUM('31:29'!I290)</f>
        <v>0</v>
      </c>
      <c r="J290" s="14">
        <f>+SUM('31:29'!J290)</f>
        <v>0</v>
      </c>
      <c r="K290" s="145">
        <f t="shared" si="38"/>
        <v>0</v>
      </c>
      <c r="L290" s="145">
        <f t="shared" si="39"/>
        <v>0</v>
      </c>
      <c r="M290" s="145">
        <v>438.4</v>
      </c>
      <c r="N290" s="145">
        <f>+M290*1000/(50*1*120*60)*T290</f>
        <v>4.8711111111111114</v>
      </c>
      <c r="O290" s="14">
        <f>+SUM('31:29'!O290)</f>
        <v>0</v>
      </c>
      <c r="P290" s="145">
        <f t="shared" si="40"/>
        <v>0</v>
      </c>
      <c r="Q290" s="14">
        <f>+SUM('31:29'!Q290)</f>
        <v>0</v>
      </c>
      <c r="R290" s="19">
        <f t="shared" si="41"/>
        <v>0</v>
      </c>
      <c r="S290" s="145">
        <f t="shared" si="42"/>
        <v>0</v>
      </c>
      <c r="T290" s="20">
        <v>4</v>
      </c>
      <c r="U290" s="14">
        <f>+SUM('31:29'!U290)</f>
        <v>0</v>
      </c>
      <c r="V290" s="142"/>
      <c r="W290" s="14">
        <f>+SUM('31:29'!W290)</f>
        <v>0</v>
      </c>
      <c r="X290" s="14">
        <f>+SUM('31:29'!X290)</f>
        <v>0</v>
      </c>
      <c r="Y290" s="14">
        <f>+SUM('31:29'!Y290)</f>
        <v>0</v>
      </c>
      <c r="Z290" s="14">
        <f>+SUM('31:29'!Z290)</f>
        <v>0</v>
      </c>
      <c r="AA290" s="14">
        <f>+SUM('31:29'!AA290)</f>
        <v>0</v>
      </c>
      <c r="AB290" s="14">
        <f>+SUM('31:29'!AB290)</f>
        <v>0</v>
      </c>
      <c r="AC290" s="14">
        <f>+SUM('31:29'!AC290)</f>
        <v>0</v>
      </c>
    </row>
    <row r="291" spans="1:29" s="2" customFormat="1" ht="21.95" customHeight="1">
      <c r="A291" s="141">
        <v>300067</v>
      </c>
      <c r="B291" s="135" t="s">
        <v>87</v>
      </c>
      <c r="C291" s="219" t="s">
        <v>92</v>
      </c>
      <c r="D291" s="219" t="s">
        <v>93</v>
      </c>
      <c r="E291" s="147" t="s">
        <v>41</v>
      </c>
      <c r="F291" s="146"/>
      <c r="G291" s="14">
        <f>+SUM('31:29'!G291)</f>
        <v>0</v>
      </c>
      <c r="H291" s="14">
        <f>+SUM('31:29'!H291)</f>
        <v>0</v>
      </c>
      <c r="I291" s="14">
        <f>+SUM('31:29'!I291)</f>
        <v>0</v>
      </c>
      <c r="J291" s="14">
        <f>+SUM('31:29'!J291)</f>
        <v>0</v>
      </c>
      <c r="K291" s="145">
        <f t="shared" si="38"/>
        <v>0</v>
      </c>
      <c r="L291" s="145">
        <f t="shared" si="39"/>
        <v>0</v>
      </c>
      <c r="M291" s="145">
        <v>438.8</v>
      </c>
      <c r="N291" s="145">
        <f>+M291*1000/(50*1*120*60)*T291</f>
        <v>4.8755555555555556</v>
      </c>
      <c r="O291" s="14">
        <f>+SUM('31:29'!O291)</f>
        <v>0</v>
      </c>
      <c r="P291" s="145">
        <f t="shared" si="40"/>
        <v>0</v>
      </c>
      <c r="Q291" s="14">
        <f>+SUM('31:29'!Q291)</f>
        <v>0</v>
      </c>
      <c r="R291" s="19">
        <f t="shared" si="41"/>
        <v>0</v>
      </c>
      <c r="S291" s="145">
        <f t="shared" si="42"/>
        <v>0</v>
      </c>
      <c r="T291" s="20">
        <v>4</v>
      </c>
      <c r="U291" s="14">
        <f>+SUM('31:29'!U291)</f>
        <v>0</v>
      </c>
      <c r="V291" s="142" t="str">
        <f t="array" ref="V291">IF(ISERROR(L291/K291),"",L291/K291)</f>
        <v/>
      </c>
      <c r="W291" s="14">
        <f>+SUM('31:29'!W291)</f>
        <v>0</v>
      </c>
      <c r="X291" s="14">
        <f>+SUM('31:29'!X291)</f>
        <v>0</v>
      </c>
      <c r="Y291" s="14">
        <f>+SUM('31:29'!Y291)</f>
        <v>0</v>
      </c>
      <c r="Z291" s="14">
        <f>+SUM('31:29'!Z291)</f>
        <v>0</v>
      </c>
      <c r="AA291" s="14">
        <f>+SUM('31:29'!AA291)</f>
        <v>0</v>
      </c>
      <c r="AB291" s="14">
        <f>+SUM('31:29'!AB291)</f>
        <v>0</v>
      </c>
      <c r="AC291" s="14">
        <f>+SUM('31:29'!AC291)</f>
        <v>0</v>
      </c>
    </row>
    <row r="292" spans="1:29" s="132" customFormat="1" ht="21.95" customHeight="1">
      <c r="A292" s="126">
        <v>300437</v>
      </c>
      <c r="B292" s="138" t="s">
        <v>87</v>
      </c>
      <c r="C292" s="232" t="s">
        <v>92</v>
      </c>
      <c r="D292" s="232" t="s">
        <v>93</v>
      </c>
      <c r="E292" s="42" t="s">
        <v>302</v>
      </c>
      <c r="F292" s="127"/>
      <c r="G292" s="14">
        <f>+SUM('31:29'!G292)</f>
        <v>0</v>
      </c>
      <c r="H292" s="14">
        <f>+SUM('31:29'!H292)</f>
        <v>0</v>
      </c>
      <c r="I292" s="14">
        <f>+SUM('31:29'!I292)</f>
        <v>0</v>
      </c>
      <c r="J292" s="14">
        <f>+SUM('31:29'!J292)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+SUM('31:29'!O292)</f>
        <v>0</v>
      </c>
      <c r="P292" s="15">
        <f t="shared" si="40"/>
        <v>0</v>
      </c>
      <c r="Q292" s="14">
        <f>+SUM('31:29'!Q292)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+SUM('31:29'!U292)</f>
        <v>0</v>
      </c>
      <c r="V292" s="131"/>
      <c r="W292" s="14">
        <f>+SUM('31:29'!W292)</f>
        <v>0</v>
      </c>
      <c r="X292" s="14">
        <f>+SUM('31:29'!X292)</f>
        <v>0</v>
      </c>
      <c r="Y292" s="14">
        <f>+SUM('31:29'!Y292)</f>
        <v>0</v>
      </c>
      <c r="Z292" s="14">
        <f>+SUM('31:29'!Z292)</f>
        <v>0</v>
      </c>
      <c r="AA292" s="14">
        <f>+SUM('31:29'!AA292)</f>
        <v>0</v>
      </c>
      <c r="AB292" s="14">
        <f>+SUM('31:29'!AB292)</f>
        <v>0</v>
      </c>
      <c r="AC292" s="14">
        <f>+SUM('31:29'!AC292)</f>
        <v>0</v>
      </c>
    </row>
    <row r="293" spans="1:29" s="2" customFormat="1" ht="21.95" customHeight="1">
      <c r="A293" s="141">
        <v>300384</v>
      </c>
      <c r="B293" s="135" t="s">
        <v>87</v>
      </c>
      <c r="C293" s="219" t="s">
        <v>94</v>
      </c>
      <c r="D293" s="219" t="s">
        <v>95</v>
      </c>
      <c r="E293" s="147" t="s">
        <v>35</v>
      </c>
      <c r="F293" s="146"/>
      <c r="G293" s="14">
        <f>+SUM('31:29'!G293)</f>
        <v>0</v>
      </c>
      <c r="H293" s="14">
        <f>+SUM('31:29'!H293)</f>
        <v>0</v>
      </c>
      <c r="I293" s="14">
        <f>+SUM('31:29'!I293)</f>
        <v>0</v>
      </c>
      <c r="J293" s="14">
        <f>+SUM('31:29'!J293)</f>
        <v>0</v>
      </c>
      <c r="K293" s="145">
        <f t="shared" si="38"/>
        <v>0</v>
      </c>
      <c r="L293" s="145">
        <f t="shared" si="39"/>
        <v>0</v>
      </c>
      <c r="M293" s="145">
        <v>415.5</v>
      </c>
      <c r="N293" s="145">
        <f>+M293*1000/(51*1*110*60)*T293</f>
        <v>8.6408199643493759</v>
      </c>
      <c r="O293" s="14">
        <f>+SUM('31:29'!O293)</f>
        <v>0</v>
      </c>
      <c r="P293" s="145">
        <f t="shared" si="40"/>
        <v>0</v>
      </c>
      <c r="Q293" s="14">
        <f>+SUM('31:29'!Q293)</f>
        <v>0</v>
      </c>
      <c r="R293" s="19">
        <f t="shared" si="41"/>
        <v>0</v>
      </c>
      <c r="S293" s="145">
        <f t="shared" si="42"/>
        <v>0</v>
      </c>
      <c r="T293" s="20">
        <v>7</v>
      </c>
      <c r="U293" s="14">
        <f>+SUM('31:29'!U293)</f>
        <v>0</v>
      </c>
      <c r="V293" s="142" t="str">
        <f t="array" ref="V293">IF(ISERROR(L293/K293),"",L293/K293)</f>
        <v/>
      </c>
      <c r="W293" s="14">
        <f>+SUM('31:29'!W293)</f>
        <v>0</v>
      </c>
      <c r="X293" s="14">
        <f>+SUM('31:29'!X293)</f>
        <v>0</v>
      </c>
      <c r="Y293" s="14">
        <f>+SUM('31:29'!Y293)</f>
        <v>0</v>
      </c>
      <c r="Z293" s="14">
        <f>+SUM('31:29'!Z293)</f>
        <v>0</v>
      </c>
      <c r="AA293" s="14">
        <f>+SUM('31:29'!AA293)</f>
        <v>0</v>
      </c>
      <c r="AB293" s="14">
        <f>+SUM('31:29'!AB293)</f>
        <v>0</v>
      </c>
      <c r="AC293" s="14">
        <f>+SUM('31:29'!AC293)</f>
        <v>0</v>
      </c>
    </row>
    <row r="294" spans="1:29" s="2" customFormat="1" ht="21.95" customHeight="1">
      <c r="A294" s="141">
        <v>300383</v>
      </c>
      <c r="B294" s="135" t="s">
        <v>87</v>
      </c>
      <c r="C294" s="219" t="s">
        <v>94</v>
      </c>
      <c r="D294" s="219" t="s">
        <v>96</v>
      </c>
      <c r="E294" s="147" t="s">
        <v>41</v>
      </c>
      <c r="F294" s="146"/>
      <c r="G294" s="14">
        <f>+SUM('31:29'!G294)</f>
        <v>0</v>
      </c>
      <c r="H294" s="14">
        <f>+SUM('31:29'!H294)</f>
        <v>0</v>
      </c>
      <c r="I294" s="14">
        <f>+SUM('31:29'!I294)</f>
        <v>0</v>
      </c>
      <c r="J294" s="14">
        <f>+SUM('31:29'!J294)</f>
        <v>0</v>
      </c>
      <c r="K294" s="145">
        <f t="shared" si="38"/>
        <v>0</v>
      </c>
      <c r="L294" s="145">
        <f t="shared" si="39"/>
        <v>0</v>
      </c>
      <c r="M294" s="145">
        <v>415.5</v>
      </c>
      <c r="N294" s="145">
        <f>+M294*1000/(51*1*110*60)*T294</f>
        <v>8.6408199643493759</v>
      </c>
      <c r="O294" s="14">
        <f>+SUM('31:29'!O294)</f>
        <v>0</v>
      </c>
      <c r="P294" s="145">
        <f t="shared" si="40"/>
        <v>0</v>
      </c>
      <c r="Q294" s="14">
        <f>+SUM('31:29'!Q294)</f>
        <v>0</v>
      </c>
      <c r="R294" s="19">
        <f t="shared" si="41"/>
        <v>0</v>
      </c>
      <c r="S294" s="145">
        <f t="shared" si="42"/>
        <v>0</v>
      </c>
      <c r="T294" s="20">
        <v>7</v>
      </c>
      <c r="U294" s="14">
        <f>+SUM('31:29'!U294)</f>
        <v>0</v>
      </c>
      <c r="V294" s="142"/>
      <c r="W294" s="14">
        <f>+SUM('31:29'!W294)</f>
        <v>0</v>
      </c>
      <c r="X294" s="14">
        <f>+SUM('31:29'!X294)</f>
        <v>0</v>
      </c>
      <c r="Y294" s="14">
        <f>+SUM('31:29'!Y294)</f>
        <v>0</v>
      </c>
      <c r="Z294" s="14">
        <f>+SUM('31:29'!Z294)</f>
        <v>0</v>
      </c>
      <c r="AA294" s="14">
        <f>+SUM('31:29'!AA294)</f>
        <v>0</v>
      </c>
      <c r="AB294" s="14">
        <f>+SUM('31:29'!AB294)</f>
        <v>0</v>
      </c>
      <c r="AC294" s="14">
        <f>+SUM('31:29'!AC294)</f>
        <v>0</v>
      </c>
    </row>
    <row r="295" spans="1:29" s="2" customFormat="1" ht="21.95" customHeight="1">
      <c r="A295" s="141">
        <v>300386</v>
      </c>
      <c r="B295" s="135" t="s">
        <v>87</v>
      </c>
      <c r="C295" s="219" t="s">
        <v>94</v>
      </c>
      <c r="D295" s="219" t="s">
        <v>97</v>
      </c>
      <c r="E295" s="147" t="s">
        <v>66</v>
      </c>
      <c r="F295" s="146"/>
      <c r="G295" s="14">
        <f>+SUM('31:29'!G295)</f>
        <v>0</v>
      </c>
      <c r="H295" s="14">
        <f>+SUM('31:29'!H295)</f>
        <v>0</v>
      </c>
      <c r="I295" s="14">
        <f>+SUM('31:29'!I295)</f>
        <v>0</v>
      </c>
      <c r="J295" s="14">
        <f>+SUM('31:29'!J295)</f>
        <v>0</v>
      </c>
      <c r="K295" s="145">
        <f t="shared" si="38"/>
        <v>0</v>
      </c>
      <c r="L295" s="145">
        <f t="shared" si="39"/>
        <v>0</v>
      </c>
      <c r="M295" s="145">
        <v>415.5</v>
      </c>
      <c r="N295" s="145">
        <f>+M295*1000/(51*1*110*60)*T295</f>
        <v>8.6408199643493759</v>
      </c>
      <c r="O295" s="14">
        <f>+SUM('31:29'!O295)</f>
        <v>0</v>
      </c>
      <c r="P295" s="145">
        <f t="shared" si="40"/>
        <v>0</v>
      </c>
      <c r="Q295" s="14">
        <f>+SUM('31:29'!Q295)</f>
        <v>0</v>
      </c>
      <c r="R295" s="19">
        <f t="shared" si="41"/>
        <v>0</v>
      </c>
      <c r="S295" s="145">
        <f t="shared" si="42"/>
        <v>0</v>
      </c>
      <c r="T295" s="20">
        <v>7</v>
      </c>
      <c r="U295" s="14">
        <f>+SUM('31:29'!U295)</f>
        <v>0</v>
      </c>
      <c r="V295" s="142"/>
      <c r="W295" s="14">
        <f>+SUM('31:29'!W295)</f>
        <v>0</v>
      </c>
      <c r="X295" s="14">
        <f>+SUM('31:29'!X295)</f>
        <v>0</v>
      </c>
      <c r="Y295" s="14">
        <f>+SUM('31:29'!Y295)</f>
        <v>0</v>
      </c>
      <c r="Z295" s="14">
        <f>+SUM('31:29'!Z295)</f>
        <v>0</v>
      </c>
      <c r="AA295" s="14">
        <f>+SUM('31:29'!AA295)</f>
        <v>0</v>
      </c>
      <c r="AB295" s="14">
        <f>+SUM('31:29'!AB295)</f>
        <v>0</v>
      </c>
      <c r="AC295" s="14">
        <f>+SUM('31:29'!AC295)</f>
        <v>0</v>
      </c>
    </row>
    <row r="296" spans="1:29" s="2" customFormat="1" ht="21.95" customHeight="1">
      <c r="A296" s="141">
        <v>300385</v>
      </c>
      <c r="B296" s="135" t="s">
        <v>87</v>
      </c>
      <c r="C296" s="219" t="s">
        <v>94</v>
      </c>
      <c r="D296" s="219" t="s">
        <v>98</v>
      </c>
      <c r="E296" s="147" t="s">
        <v>99</v>
      </c>
      <c r="F296" s="146"/>
      <c r="G296" s="14">
        <f>+SUM('31:29'!G296)</f>
        <v>0</v>
      </c>
      <c r="H296" s="14">
        <f>+SUM('31:29'!H296)</f>
        <v>0</v>
      </c>
      <c r="I296" s="14">
        <f>+SUM('31:29'!I296)</f>
        <v>0</v>
      </c>
      <c r="J296" s="14">
        <f>+SUM('31:29'!J296)</f>
        <v>0</v>
      </c>
      <c r="K296" s="145">
        <f t="shared" si="38"/>
        <v>0</v>
      </c>
      <c r="L296" s="145">
        <f t="shared" si="39"/>
        <v>0</v>
      </c>
      <c r="M296" s="145">
        <v>415.5</v>
      </c>
      <c r="N296" s="145">
        <f>+M296*1000/(51*1*110*60)*T296</f>
        <v>8.6408199643493759</v>
      </c>
      <c r="O296" s="14">
        <f>+SUM('31:29'!O296)</f>
        <v>0</v>
      </c>
      <c r="P296" s="145">
        <f t="shared" si="40"/>
        <v>0</v>
      </c>
      <c r="Q296" s="14">
        <f>+SUM('31:29'!Q296)</f>
        <v>0</v>
      </c>
      <c r="R296" s="19">
        <f t="shared" si="41"/>
        <v>0</v>
      </c>
      <c r="S296" s="145">
        <f t="shared" si="42"/>
        <v>0</v>
      </c>
      <c r="T296" s="20">
        <v>7</v>
      </c>
      <c r="U296" s="14">
        <f>+SUM('31:29'!U296)</f>
        <v>0</v>
      </c>
      <c r="V296" s="142"/>
      <c r="W296" s="14">
        <f>+SUM('31:29'!W296)</f>
        <v>0</v>
      </c>
      <c r="X296" s="14">
        <f>+SUM('31:29'!X296)</f>
        <v>0</v>
      </c>
      <c r="Y296" s="14">
        <f>+SUM('31:29'!Y296)</f>
        <v>0</v>
      </c>
      <c r="Z296" s="14">
        <f>+SUM('31:29'!Z296)</f>
        <v>0</v>
      </c>
      <c r="AA296" s="14">
        <f>+SUM('31:29'!AA296)</f>
        <v>0</v>
      </c>
      <c r="AB296" s="14">
        <f>+SUM('31:29'!AB296)</f>
        <v>0</v>
      </c>
      <c r="AC296" s="14">
        <f>+SUM('31:29'!AC296)</f>
        <v>0</v>
      </c>
    </row>
    <row r="297" spans="1:29" s="2" customFormat="1" ht="21.95" customHeight="1">
      <c r="A297" s="141">
        <v>300352</v>
      </c>
      <c r="B297" s="135" t="s">
        <v>87</v>
      </c>
      <c r="C297" s="219" t="s">
        <v>100</v>
      </c>
      <c r="D297" s="219" t="s">
        <v>95</v>
      </c>
      <c r="E297" s="147" t="s">
        <v>35</v>
      </c>
      <c r="F297" s="146"/>
      <c r="G297" s="14">
        <f>+SUM('31:29'!G297)</f>
        <v>0</v>
      </c>
      <c r="H297" s="14">
        <f>+SUM('31:29'!H297)</f>
        <v>0</v>
      </c>
      <c r="I297" s="14">
        <f>+SUM('31:29'!I297)</f>
        <v>0</v>
      </c>
      <c r="J297" s="14">
        <f>+SUM('31:29'!J297)</f>
        <v>0</v>
      </c>
      <c r="K297" s="145">
        <f t="shared" si="38"/>
        <v>0</v>
      </c>
      <c r="L297" s="145">
        <f t="shared" si="39"/>
        <v>0</v>
      </c>
      <c r="M297" s="145">
        <v>515.9</v>
      </c>
      <c r="N297" s="145">
        <f>+M297*1000/(80*1*110*60)*T297</f>
        <v>6.8395833333333336</v>
      </c>
      <c r="O297" s="14">
        <f>+SUM('31:29'!O297)</f>
        <v>0</v>
      </c>
      <c r="P297" s="145">
        <f t="shared" si="40"/>
        <v>0</v>
      </c>
      <c r="Q297" s="14">
        <f>+SUM('31:29'!Q297)</f>
        <v>0</v>
      </c>
      <c r="R297" s="19">
        <f t="shared" si="41"/>
        <v>0</v>
      </c>
      <c r="S297" s="145">
        <f t="shared" si="42"/>
        <v>0</v>
      </c>
      <c r="T297" s="20">
        <v>7</v>
      </c>
      <c r="U297" s="14">
        <f>+SUM('31:29'!U297)</f>
        <v>0</v>
      </c>
      <c r="V297" s="142" t="str">
        <f t="array" ref="V297">IF(ISERROR(L297/K297),"",L297/K297)</f>
        <v/>
      </c>
      <c r="W297" s="14">
        <f>+SUM('31:29'!W297)</f>
        <v>0</v>
      </c>
      <c r="X297" s="14">
        <f>+SUM('31:29'!X297)</f>
        <v>0</v>
      </c>
      <c r="Y297" s="14">
        <f>+SUM('31:29'!Y297)</f>
        <v>0</v>
      </c>
      <c r="Z297" s="14">
        <f>+SUM('31:29'!Z297)</f>
        <v>0</v>
      </c>
      <c r="AA297" s="14">
        <f>+SUM('31:29'!AA297)</f>
        <v>0</v>
      </c>
      <c r="AB297" s="14">
        <f>+SUM('31:29'!AB297)</f>
        <v>0</v>
      </c>
      <c r="AC297" s="14">
        <f>+SUM('31:29'!AC297)</f>
        <v>0</v>
      </c>
    </row>
    <row r="298" spans="1:29" s="2" customFormat="1" ht="21.95" customHeight="1">
      <c r="A298" s="141">
        <v>300353</v>
      </c>
      <c r="B298" s="135" t="s">
        <v>87</v>
      </c>
      <c r="C298" s="219" t="s">
        <v>100</v>
      </c>
      <c r="D298" s="219" t="s">
        <v>95</v>
      </c>
      <c r="E298" s="147" t="s">
        <v>99</v>
      </c>
      <c r="F298" s="146"/>
      <c r="G298" s="14">
        <f>+SUM('31:29'!G298)</f>
        <v>0</v>
      </c>
      <c r="H298" s="14">
        <f>+SUM('31:29'!H298)</f>
        <v>0</v>
      </c>
      <c r="I298" s="14">
        <f>+SUM('31:29'!I298)</f>
        <v>0</v>
      </c>
      <c r="J298" s="14">
        <f>+SUM('31:29'!J298)</f>
        <v>0</v>
      </c>
      <c r="K298" s="145">
        <f t="shared" si="38"/>
        <v>0</v>
      </c>
      <c r="L298" s="145">
        <f t="shared" si="39"/>
        <v>0</v>
      </c>
      <c r="M298" s="145">
        <v>515.9</v>
      </c>
      <c r="N298" s="145">
        <f>+M298*1000/(80*1*110*60)*T298</f>
        <v>6.8395833333333336</v>
      </c>
      <c r="O298" s="14">
        <f>+SUM('31:29'!O298)</f>
        <v>0</v>
      </c>
      <c r="P298" s="145">
        <f t="shared" si="40"/>
        <v>0</v>
      </c>
      <c r="Q298" s="14">
        <f>+SUM('31:29'!Q298)</f>
        <v>0</v>
      </c>
      <c r="R298" s="19">
        <f t="shared" si="41"/>
        <v>0</v>
      </c>
      <c r="S298" s="145">
        <f t="shared" si="42"/>
        <v>0</v>
      </c>
      <c r="T298" s="20">
        <v>7</v>
      </c>
      <c r="U298" s="14">
        <f>+SUM('31:29'!U298)</f>
        <v>0</v>
      </c>
      <c r="V298" s="142" t="str">
        <f t="array" ref="V298">IF(ISERROR(L298/K298),"",L298/K298)</f>
        <v/>
      </c>
      <c r="W298" s="14">
        <f>+SUM('31:29'!W298)</f>
        <v>0</v>
      </c>
      <c r="X298" s="14">
        <f>+SUM('31:29'!X298)</f>
        <v>0</v>
      </c>
      <c r="Y298" s="14">
        <f>+SUM('31:29'!Y298)</f>
        <v>0</v>
      </c>
      <c r="Z298" s="14">
        <f>+SUM('31:29'!Z298)</f>
        <v>0</v>
      </c>
      <c r="AA298" s="14">
        <f>+SUM('31:29'!AA298)</f>
        <v>0</v>
      </c>
      <c r="AB298" s="14">
        <f>+SUM('31:29'!AB298)</f>
        <v>0</v>
      </c>
      <c r="AC298" s="14">
        <f>+SUM('31:29'!AC298)</f>
        <v>0</v>
      </c>
    </row>
    <row r="299" spans="1:29" s="2" customFormat="1" ht="21.95" customHeight="1">
      <c r="A299" s="141">
        <v>300351</v>
      </c>
      <c r="B299" s="135" t="s">
        <v>87</v>
      </c>
      <c r="C299" s="219" t="s">
        <v>100</v>
      </c>
      <c r="D299" s="219" t="s">
        <v>95</v>
      </c>
      <c r="E299" s="147" t="s">
        <v>41</v>
      </c>
      <c r="F299" s="146"/>
      <c r="G299" s="14">
        <f>+SUM('31:29'!G299)</f>
        <v>0</v>
      </c>
      <c r="H299" s="14">
        <f>+SUM('31:29'!H299)</f>
        <v>0</v>
      </c>
      <c r="I299" s="14">
        <f>+SUM('31:29'!I299)</f>
        <v>0</v>
      </c>
      <c r="J299" s="14">
        <f>+SUM('31:29'!J299)</f>
        <v>0</v>
      </c>
      <c r="K299" s="145">
        <f t="shared" si="38"/>
        <v>0</v>
      </c>
      <c r="L299" s="145">
        <f t="shared" si="39"/>
        <v>0</v>
      </c>
      <c r="M299" s="145">
        <v>515.9</v>
      </c>
      <c r="N299" s="145">
        <f>+M299*1000/(80*1*110*60)*T299</f>
        <v>6.8395833333333336</v>
      </c>
      <c r="O299" s="14">
        <f>+SUM('31:29'!O299)</f>
        <v>0</v>
      </c>
      <c r="P299" s="145">
        <f t="shared" si="40"/>
        <v>0</v>
      </c>
      <c r="Q299" s="14">
        <f>+SUM('31:29'!Q299)</f>
        <v>0</v>
      </c>
      <c r="R299" s="19">
        <f t="shared" si="41"/>
        <v>0</v>
      </c>
      <c r="S299" s="145">
        <f t="shared" si="42"/>
        <v>0</v>
      </c>
      <c r="T299" s="20">
        <v>7</v>
      </c>
      <c r="U299" s="14">
        <f>+SUM('31:29'!U299)</f>
        <v>0</v>
      </c>
      <c r="V299" s="142" t="str">
        <f t="array" ref="V299">IF(ISERROR(L299/K299),"",L299/K299)</f>
        <v/>
      </c>
      <c r="W299" s="14">
        <f>+SUM('31:29'!W299)</f>
        <v>0</v>
      </c>
      <c r="X299" s="14">
        <f>+SUM('31:29'!X299)</f>
        <v>0</v>
      </c>
      <c r="Y299" s="14">
        <f>+SUM('31:29'!Y299)</f>
        <v>0</v>
      </c>
      <c r="Z299" s="14">
        <f>+SUM('31:29'!Z299)</f>
        <v>0</v>
      </c>
      <c r="AA299" s="14">
        <f>+SUM('31:29'!AA299)</f>
        <v>0</v>
      </c>
      <c r="AB299" s="14">
        <f>+SUM('31:29'!AB299)</f>
        <v>0</v>
      </c>
      <c r="AC299" s="14">
        <f>+SUM('31:29'!AC299)</f>
        <v>0</v>
      </c>
    </row>
    <row r="300" spans="1:29" s="2" customFormat="1" ht="21.95" customHeight="1">
      <c r="A300" s="141">
        <v>300354</v>
      </c>
      <c r="B300" s="135" t="s">
        <v>87</v>
      </c>
      <c r="C300" s="219" t="s">
        <v>100</v>
      </c>
      <c r="D300" s="219" t="s">
        <v>95</v>
      </c>
      <c r="E300" s="147" t="s">
        <v>66</v>
      </c>
      <c r="F300" s="146"/>
      <c r="G300" s="14">
        <f>+SUM('31:29'!G300)</f>
        <v>0</v>
      </c>
      <c r="H300" s="14">
        <f>+SUM('31:29'!H300)</f>
        <v>0</v>
      </c>
      <c r="I300" s="14">
        <f>+SUM('31:29'!I300)</f>
        <v>0</v>
      </c>
      <c r="J300" s="14">
        <f>+SUM('31:29'!J300)</f>
        <v>0</v>
      </c>
      <c r="K300" s="145">
        <f t="shared" si="38"/>
        <v>0</v>
      </c>
      <c r="L300" s="145">
        <f t="shared" si="39"/>
        <v>0</v>
      </c>
      <c r="M300" s="145">
        <v>515.9</v>
      </c>
      <c r="N300" s="145">
        <f>+M300*1000/(80*1*110*60)*T300</f>
        <v>6.8395833333333336</v>
      </c>
      <c r="O300" s="14">
        <f>+SUM('31:29'!O300)</f>
        <v>0</v>
      </c>
      <c r="P300" s="145">
        <f t="shared" si="40"/>
        <v>0</v>
      </c>
      <c r="Q300" s="14">
        <f>+SUM('31:29'!Q300)</f>
        <v>0</v>
      </c>
      <c r="R300" s="19">
        <f t="shared" si="41"/>
        <v>0</v>
      </c>
      <c r="S300" s="145">
        <f t="shared" si="42"/>
        <v>0</v>
      </c>
      <c r="T300" s="20">
        <v>7</v>
      </c>
      <c r="U300" s="14">
        <f>+SUM('31:29'!U300)</f>
        <v>0</v>
      </c>
      <c r="V300" s="142" t="str">
        <f t="array" ref="V300">IF(ISERROR(L300/K300),"",L300/K300)</f>
        <v/>
      </c>
      <c r="W300" s="14">
        <f>+SUM('31:29'!W300)</f>
        <v>0</v>
      </c>
      <c r="X300" s="14">
        <f>+SUM('31:29'!X300)</f>
        <v>0</v>
      </c>
      <c r="Y300" s="14">
        <f>+SUM('31:29'!Y300)</f>
        <v>0</v>
      </c>
      <c r="Z300" s="14">
        <f>+SUM('31:29'!Z300)</f>
        <v>0</v>
      </c>
      <c r="AA300" s="14">
        <f>+SUM('31:29'!AA300)</f>
        <v>0</v>
      </c>
      <c r="AB300" s="14">
        <f>+SUM('31:29'!AB300)</f>
        <v>0</v>
      </c>
      <c r="AC300" s="14">
        <f>+SUM('31:29'!AC300)</f>
        <v>0</v>
      </c>
    </row>
    <row r="301" spans="1:29" s="2" customFormat="1" ht="21.95" customHeight="1">
      <c r="A301" s="141">
        <v>300250</v>
      </c>
      <c r="B301" s="135" t="s">
        <v>87</v>
      </c>
      <c r="C301" s="219" t="s">
        <v>101</v>
      </c>
      <c r="D301" s="219" t="s">
        <v>95</v>
      </c>
      <c r="E301" s="147" t="s">
        <v>35</v>
      </c>
      <c r="F301" s="146"/>
      <c r="G301" s="14">
        <f>+SUM('31:29'!G301)</f>
        <v>0</v>
      </c>
      <c r="H301" s="14">
        <f>+SUM('31:29'!H301)</f>
        <v>0</v>
      </c>
      <c r="I301" s="14">
        <f>+SUM('31:29'!I301)</f>
        <v>0</v>
      </c>
      <c r="J301" s="14">
        <f>+SUM('31:29'!J301)</f>
        <v>0</v>
      </c>
      <c r="K301" s="145">
        <f t="shared" si="38"/>
        <v>0</v>
      </c>
      <c r="L301" s="145">
        <f t="shared" si="39"/>
        <v>0</v>
      </c>
      <c r="M301" s="145">
        <v>412.5</v>
      </c>
      <c r="N301" s="145">
        <f>+M301*1000/(84*1*110*60)*T301</f>
        <v>5.2083333333333339</v>
      </c>
      <c r="O301" s="14">
        <f>+SUM('31:29'!O301)</f>
        <v>0</v>
      </c>
      <c r="P301" s="145">
        <f t="shared" si="40"/>
        <v>0</v>
      </c>
      <c r="Q301" s="14">
        <f>+SUM('31:29'!Q301)</f>
        <v>0</v>
      </c>
      <c r="R301" s="19">
        <f t="shared" si="41"/>
        <v>0</v>
      </c>
      <c r="S301" s="145">
        <f t="shared" si="42"/>
        <v>0</v>
      </c>
      <c r="T301" s="20">
        <v>7</v>
      </c>
      <c r="U301" s="14">
        <f>+SUM('31:29'!U301)</f>
        <v>0</v>
      </c>
      <c r="V301" s="142" t="str">
        <f t="array" ref="V301">IF(ISERROR(L301/K301),"",L301/K301)</f>
        <v/>
      </c>
      <c r="W301" s="14">
        <f>+SUM('31:29'!W301)</f>
        <v>0</v>
      </c>
      <c r="X301" s="14">
        <f>+SUM('31:29'!X301)</f>
        <v>0</v>
      </c>
      <c r="Y301" s="14">
        <f>+SUM('31:29'!Y301)</f>
        <v>0</v>
      </c>
      <c r="Z301" s="14">
        <f>+SUM('31:29'!Z301)</f>
        <v>0</v>
      </c>
      <c r="AA301" s="14">
        <f>+SUM('31:29'!AA301)</f>
        <v>0</v>
      </c>
      <c r="AB301" s="14">
        <f>+SUM('31:29'!AB301)</f>
        <v>0</v>
      </c>
      <c r="AC301" s="14">
        <f>+SUM('31:29'!AC301)</f>
        <v>0</v>
      </c>
    </row>
    <row r="302" spans="1:29" s="2" customFormat="1" ht="21.95" customHeight="1">
      <c r="A302" s="141">
        <v>300251</v>
      </c>
      <c r="B302" s="135" t="s">
        <v>87</v>
      </c>
      <c r="C302" s="219" t="s">
        <v>101</v>
      </c>
      <c r="D302" s="219" t="s">
        <v>95</v>
      </c>
      <c r="E302" s="147" t="s">
        <v>99</v>
      </c>
      <c r="F302" s="146"/>
      <c r="G302" s="14">
        <f>+SUM('31:29'!G302)</f>
        <v>0</v>
      </c>
      <c r="H302" s="14">
        <f>+SUM('31:29'!H302)</f>
        <v>0</v>
      </c>
      <c r="I302" s="14">
        <f>+SUM('31:29'!I302)</f>
        <v>0</v>
      </c>
      <c r="J302" s="14">
        <f>+SUM('31:29'!J302)</f>
        <v>0</v>
      </c>
      <c r="K302" s="145">
        <f t="shared" si="38"/>
        <v>0</v>
      </c>
      <c r="L302" s="145">
        <f t="shared" si="39"/>
        <v>0</v>
      </c>
      <c r="M302" s="145">
        <v>412.5</v>
      </c>
      <c r="N302" s="145">
        <f>+M302*1000/(84*1*110*60)*T302</f>
        <v>5.2083333333333339</v>
      </c>
      <c r="O302" s="14">
        <f>+SUM('31:29'!O302)</f>
        <v>0</v>
      </c>
      <c r="P302" s="145">
        <f t="shared" si="40"/>
        <v>0</v>
      </c>
      <c r="Q302" s="14">
        <f>+SUM('31:29'!Q302)</f>
        <v>0</v>
      </c>
      <c r="R302" s="19">
        <f t="shared" si="41"/>
        <v>0</v>
      </c>
      <c r="S302" s="145">
        <f t="shared" si="42"/>
        <v>0</v>
      </c>
      <c r="T302" s="20">
        <v>7</v>
      </c>
      <c r="U302" s="14">
        <f>+SUM('31:29'!U302)</f>
        <v>0</v>
      </c>
      <c r="V302" s="142" t="str">
        <f t="array" ref="V302">IF(ISERROR(L302/K302),"",L302/K302)</f>
        <v/>
      </c>
      <c r="W302" s="14">
        <f>+SUM('31:29'!W302)</f>
        <v>0</v>
      </c>
      <c r="X302" s="14">
        <f>+SUM('31:29'!X302)</f>
        <v>0</v>
      </c>
      <c r="Y302" s="14">
        <f>+SUM('31:29'!Y302)</f>
        <v>0</v>
      </c>
      <c r="Z302" s="14">
        <f>+SUM('31:29'!Z302)</f>
        <v>0</v>
      </c>
      <c r="AA302" s="14">
        <f>+SUM('31:29'!AA302)</f>
        <v>0</v>
      </c>
      <c r="AB302" s="14">
        <f>+SUM('31:29'!AB302)</f>
        <v>0</v>
      </c>
      <c r="AC302" s="14">
        <f>+SUM('31:29'!AC302)</f>
        <v>0</v>
      </c>
    </row>
    <row r="303" spans="1:29" s="2" customFormat="1" ht="21.95" customHeight="1">
      <c r="A303" s="141">
        <v>300254</v>
      </c>
      <c r="B303" s="135" t="s">
        <v>87</v>
      </c>
      <c r="C303" s="219" t="s">
        <v>101</v>
      </c>
      <c r="D303" s="219" t="s">
        <v>95</v>
      </c>
      <c r="E303" s="147" t="s">
        <v>41</v>
      </c>
      <c r="F303" s="146"/>
      <c r="G303" s="14">
        <f>+SUM('31:29'!G303)</f>
        <v>0</v>
      </c>
      <c r="H303" s="14">
        <f>+SUM('31:29'!H303)</f>
        <v>0</v>
      </c>
      <c r="I303" s="14">
        <f>+SUM('31:29'!I303)</f>
        <v>0</v>
      </c>
      <c r="J303" s="14">
        <f>+SUM('31:29'!J303)</f>
        <v>0</v>
      </c>
      <c r="K303" s="145">
        <f t="shared" si="38"/>
        <v>0</v>
      </c>
      <c r="L303" s="145">
        <f t="shared" si="39"/>
        <v>0</v>
      </c>
      <c r="M303" s="145">
        <v>412.5</v>
      </c>
      <c r="N303" s="145">
        <f>+M303*1000/(84*1*110*60)*T303</f>
        <v>5.2083333333333339</v>
      </c>
      <c r="O303" s="14">
        <f>+SUM('31:29'!O303)</f>
        <v>0</v>
      </c>
      <c r="P303" s="145">
        <f t="shared" si="40"/>
        <v>0</v>
      </c>
      <c r="Q303" s="14">
        <f>+SUM('31:29'!Q303)</f>
        <v>0</v>
      </c>
      <c r="R303" s="19">
        <f t="shared" si="41"/>
        <v>0</v>
      </c>
      <c r="S303" s="145">
        <f t="shared" si="42"/>
        <v>0</v>
      </c>
      <c r="T303" s="20">
        <v>7</v>
      </c>
      <c r="U303" s="14">
        <f>+SUM('31:29'!U303)</f>
        <v>0</v>
      </c>
      <c r="V303" s="142" t="str">
        <f t="array" ref="V303">IF(ISERROR(L303/K303),"",L303/K303)</f>
        <v/>
      </c>
      <c r="W303" s="14">
        <f>+SUM('31:29'!W303)</f>
        <v>0</v>
      </c>
      <c r="X303" s="14">
        <f>+SUM('31:29'!X303)</f>
        <v>0</v>
      </c>
      <c r="Y303" s="14">
        <f>+SUM('31:29'!Y303)</f>
        <v>0</v>
      </c>
      <c r="Z303" s="14">
        <f>+SUM('31:29'!Z303)</f>
        <v>0</v>
      </c>
      <c r="AA303" s="14">
        <f>+SUM('31:29'!AA303)</f>
        <v>0</v>
      </c>
      <c r="AB303" s="14">
        <f>+SUM('31:29'!AB303)</f>
        <v>0</v>
      </c>
      <c r="AC303" s="14">
        <f>+SUM('31:29'!AC303)</f>
        <v>0</v>
      </c>
    </row>
    <row r="304" spans="1:29" s="2" customFormat="1" ht="21.95" customHeight="1">
      <c r="A304" s="141">
        <v>300253</v>
      </c>
      <c r="B304" s="135" t="s">
        <v>87</v>
      </c>
      <c r="C304" s="219" t="s">
        <v>101</v>
      </c>
      <c r="D304" s="219" t="s">
        <v>95</v>
      </c>
      <c r="E304" s="147" t="s">
        <v>66</v>
      </c>
      <c r="F304" s="146"/>
      <c r="G304" s="14">
        <f>+SUM('31:29'!G304)</f>
        <v>0</v>
      </c>
      <c r="H304" s="14">
        <f>+SUM('31:29'!H304)</f>
        <v>0</v>
      </c>
      <c r="I304" s="14">
        <f>+SUM('31:29'!I304)</f>
        <v>0</v>
      </c>
      <c r="J304" s="14">
        <f>+SUM('31:29'!J304)</f>
        <v>0</v>
      </c>
      <c r="K304" s="145">
        <f t="shared" si="38"/>
        <v>0</v>
      </c>
      <c r="L304" s="145">
        <f t="shared" si="39"/>
        <v>0</v>
      </c>
      <c r="M304" s="145">
        <v>412.5</v>
      </c>
      <c r="N304" s="145">
        <f>+M304*1000/(84*1*110*60)*T304</f>
        <v>5.2083333333333339</v>
      </c>
      <c r="O304" s="14">
        <f>+SUM('31:29'!O304)</f>
        <v>0</v>
      </c>
      <c r="P304" s="145">
        <f t="shared" si="40"/>
        <v>0</v>
      </c>
      <c r="Q304" s="14">
        <f>+SUM('31:29'!Q304)</f>
        <v>0</v>
      </c>
      <c r="R304" s="19">
        <f t="shared" si="41"/>
        <v>0</v>
      </c>
      <c r="S304" s="145">
        <f t="shared" si="42"/>
        <v>0</v>
      </c>
      <c r="T304" s="20">
        <v>7</v>
      </c>
      <c r="U304" s="14">
        <f>+SUM('31:29'!U304)</f>
        <v>0</v>
      </c>
      <c r="V304" s="142" t="str">
        <f t="array" ref="V304">IF(ISERROR(L304/K304),"",L304/K304)</f>
        <v/>
      </c>
      <c r="W304" s="14">
        <f>+SUM('31:29'!W304)</f>
        <v>0</v>
      </c>
      <c r="X304" s="14">
        <f>+SUM('31:29'!X304)</f>
        <v>0</v>
      </c>
      <c r="Y304" s="14">
        <f>+SUM('31:29'!Y304)</f>
        <v>0</v>
      </c>
      <c r="Z304" s="14">
        <f>+SUM('31:29'!Z304)</f>
        <v>0</v>
      </c>
      <c r="AA304" s="14">
        <f>+SUM('31:29'!AA304)</f>
        <v>0</v>
      </c>
      <c r="AB304" s="14">
        <f>+SUM('31:29'!AB304)</f>
        <v>0</v>
      </c>
      <c r="AC304" s="14">
        <f>+SUM('31:29'!AC304)</f>
        <v>0</v>
      </c>
    </row>
    <row r="305" spans="1:29" s="2" customFormat="1" ht="23.25" customHeight="1">
      <c r="A305" s="141">
        <v>300255</v>
      </c>
      <c r="B305" s="135" t="s">
        <v>87</v>
      </c>
      <c r="C305" s="219" t="s">
        <v>101</v>
      </c>
      <c r="D305" s="219" t="s">
        <v>95</v>
      </c>
      <c r="E305" s="147" t="s">
        <v>102</v>
      </c>
      <c r="F305" s="146"/>
      <c r="G305" s="14">
        <f>+SUM('31:29'!G305)</f>
        <v>0</v>
      </c>
      <c r="H305" s="14">
        <f>+SUM('31:29'!H305)</f>
        <v>0</v>
      </c>
      <c r="I305" s="14">
        <f>+SUM('31:29'!I305)</f>
        <v>0</v>
      </c>
      <c r="J305" s="14">
        <f>+SUM('31:29'!J305)</f>
        <v>0</v>
      </c>
      <c r="K305" s="145">
        <f t="shared" si="38"/>
        <v>0</v>
      </c>
      <c r="L305" s="145">
        <f t="shared" si="39"/>
        <v>0</v>
      </c>
      <c r="M305" s="145">
        <v>412.5</v>
      </c>
      <c r="N305" s="145">
        <f>+M305*1000/(84*1*110*60)*T305</f>
        <v>5.2083333333333339</v>
      </c>
      <c r="O305" s="14">
        <f>+SUM('31:29'!O305)</f>
        <v>0</v>
      </c>
      <c r="P305" s="145">
        <f t="shared" si="40"/>
        <v>0</v>
      </c>
      <c r="Q305" s="14">
        <f>+SUM('31:29'!Q305)</f>
        <v>0</v>
      </c>
      <c r="R305" s="19">
        <f t="shared" si="41"/>
        <v>0</v>
      </c>
      <c r="S305" s="145">
        <f t="shared" si="42"/>
        <v>0</v>
      </c>
      <c r="T305" s="20">
        <v>7</v>
      </c>
      <c r="U305" s="14">
        <f>+SUM('31:29'!U305)</f>
        <v>0</v>
      </c>
      <c r="V305" s="142" t="str">
        <f t="array" ref="V305">IF(ISERROR(L305/K305),"",L305/K305)</f>
        <v/>
      </c>
      <c r="W305" s="14">
        <f>+SUM('31:29'!W305)</f>
        <v>0</v>
      </c>
      <c r="X305" s="14">
        <f>+SUM('31:29'!X305)</f>
        <v>0</v>
      </c>
      <c r="Y305" s="14">
        <f>+SUM('31:29'!Y305)</f>
        <v>0</v>
      </c>
      <c r="Z305" s="14">
        <f>+SUM('31:29'!Z305)</f>
        <v>0</v>
      </c>
      <c r="AA305" s="14">
        <f>+SUM('31:29'!AA305)</f>
        <v>0</v>
      </c>
      <c r="AB305" s="14">
        <f>+SUM('31:29'!AB305)</f>
        <v>0</v>
      </c>
      <c r="AC305" s="14">
        <f>+SUM('31:29'!AC305)</f>
        <v>0</v>
      </c>
    </row>
    <row r="306" spans="1:29" s="5" customFormat="1" ht="23.25" customHeight="1">
      <c r="A306" s="141">
        <v>300392</v>
      </c>
      <c r="B306" s="135" t="s">
        <v>87</v>
      </c>
      <c r="C306" s="230" t="s">
        <v>103</v>
      </c>
      <c r="D306" s="231"/>
      <c r="E306" s="147" t="s">
        <v>99</v>
      </c>
      <c r="F306" s="141"/>
      <c r="G306" s="14">
        <f>+SUM('31:29'!G306)</f>
        <v>0</v>
      </c>
      <c r="H306" s="14">
        <f>+SUM('31:29'!H306)</f>
        <v>0</v>
      </c>
      <c r="I306" s="14">
        <f>+SUM('31:29'!I306)</f>
        <v>0</v>
      </c>
      <c r="J306" s="14">
        <f>+SUM('31:29'!J306)</f>
        <v>0</v>
      </c>
      <c r="K306" s="145">
        <f t="shared" si="38"/>
        <v>0</v>
      </c>
      <c r="L306" s="145">
        <f t="shared" si="39"/>
        <v>0</v>
      </c>
      <c r="M306" s="145">
        <v>523</v>
      </c>
      <c r="N306" s="145">
        <f>+M306*1000/(98*1*80*60)*T306</f>
        <v>7.7827380952380958</v>
      </c>
      <c r="O306" s="14">
        <f>+SUM('31:29'!O306)</f>
        <v>0</v>
      </c>
      <c r="P306" s="145">
        <f t="shared" si="40"/>
        <v>0</v>
      </c>
      <c r="Q306" s="14">
        <f>+SUM('31:29'!Q306)</f>
        <v>0</v>
      </c>
      <c r="R306" s="19">
        <f t="shared" si="41"/>
        <v>0</v>
      </c>
      <c r="S306" s="145">
        <f t="shared" si="42"/>
        <v>0</v>
      </c>
      <c r="T306" s="20">
        <v>7</v>
      </c>
      <c r="U306" s="14">
        <f>+SUM('31:29'!U306)</f>
        <v>0</v>
      </c>
      <c r="V306" s="142" t="str">
        <f t="array" ref="V306">IF(ISERROR(L306/K306),"",L306/K306)</f>
        <v/>
      </c>
      <c r="W306" s="14">
        <f>+SUM('31:29'!W306)</f>
        <v>0</v>
      </c>
      <c r="X306" s="14">
        <f>+SUM('31:29'!X306)</f>
        <v>0</v>
      </c>
      <c r="Y306" s="14">
        <f>+SUM('31:29'!Y306)</f>
        <v>0</v>
      </c>
      <c r="Z306" s="14">
        <f>+SUM('31:29'!Z306)</f>
        <v>0</v>
      </c>
      <c r="AA306" s="14">
        <f>+SUM('31:29'!AA306)</f>
        <v>0</v>
      </c>
      <c r="AB306" s="14">
        <f>+SUM('31:29'!AB306)</f>
        <v>0</v>
      </c>
      <c r="AC306" s="14">
        <f>+SUM('31:29'!AC306)</f>
        <v>0</v>
      </c>
    </row>
    <row r="307" spans="1:29" s="2" customFormat="1" ht="21.95" customHeight="1">
      <c r="A307" s="141">
        <v>300088</v>
      </c>
      <c r="B307" s="135" t="s">
        <v>87</v>
      </c>
      <c r="C307" s="219" t="s">
        <v>310</v>
      </c>
      <c r="D307" s="219" t="s">
        <v>91</v>
      </c>
      <c r="E307" s="147" t="s">
        <v>39</v>
      </c>
      <c r="F307" s="146"/>
      <c r="G307" s="14">
        <f>+SUM('31:29'!G307)</f>
        <v>0</v>
      </c>
      <c r="H307" s="14">
        <f>+SUM('31:29'!H307)</f>
        <v>0</v>
      </c>
      <c r="I307" s="14">
        <f>+SUM('31:29'!I307)</f>
        <v>0</v>
      </c>
      <c r="J307" s="14">
        <f>+SUM('31:29'!J307)</f>
        <v>0</v>
      </c>
      <c r="K307" s="145">
        <f t="shared" si="38"/>
        <v>0</v>
      </c>
      <c r="L307" s="145">
        <f t="shared" si="39"/>
        <v>0</v>
      </c>
      <c r="M307" s="145">
        <v>617.79999999999995</v>
      </c>
      <c r="N307" s="145">
        <f>+M307*1000/(123*1*80*60)*T307</f>
        <v>3.1392276422764223</v>
      </c>
      <c r="O307" s="14">
        <f>+SUM('31:29'!O307)</f>
        <v>0</v>
      </c>
      <c r="P307" s="145">
        <f t="shared" si="40"/>
        <v>0</v>
      </c>
      <c r="Q307" s="14">
        <f>+SUM('31:29'!Q307)</f>
        <v>0</v>
      </c>
      <c r="R307" s="19">
        <f t="shared" si="41"/>
        <v>0</v>
      </c>
      <c r="S307" s="145">
        <f t="shared" si="42"/>
        <v>0</v>
      </c>
      <c r="T307" s="20">
        <v>3</v>
      </c>
      <c r="U307" s="14">
        <f>+SUM('31:29'!U307)</f>
        <v>0</v>
      </c>
      <c r="V307" s="142" t="str">
        <f t="array" ref="V307">IF(ISERROR(L307/K307),"",L307/K307)</f>
        <v/>
      </c>
      <c r="W307" s="14">
        <f>+SUM('31:29'!W307)</f>
        <v>0</v>
      </c>
      <c r="X307" s="14">
        <f>+SUM('31:29'!X307)</f>
        <v>0</v>
      </c>
      <c r="Y307" s="14">
        <f>+SUM('31:29'!Y307)</f>
        <v>0</v>
      </c>
      <c r="Z307" s="14">
        <f>+SUM('31:29'!Z307)</f>
        <v>0</v>
      </c>
      <c r="AA307" s="14">
        <f>+SUM('31:29'!AA307)</f>
        <v>0</v>
      </c>
      <c r="AB307" s="14">
        <f>+SUM('31:29'!AB307)</f>
        <v>0</v>
      </c>
      <c r="AC307" s="14">
        <f>+SUM('31:29'!AC307)</f>
        <v>0</v>
      </c>
    </row>
    <row r="308" spans="1:29" s="2" customFormat="1" ht="21.95" customHeight="1">
      <c r="A308" s="141">
        <v>300089</v>
      </c>
      <c r="B308" s="135" t="s">
        <v>87</v>
      </c>
      <c r="C308" s="219" t="s">
        <v>310</v>
      </c>
      <c r="D308" s="219" t="s">
        <v>91</v>
      </c>
      <c r="E308" s="147" t="s">
        <v>42</v>
      </c>
      <c r="F308" s="146"/>
      <c r="G308" s="14">
        <f>+SUM('31:29'!G308)</f>
        <v>0</v>
      </c>
      <c r="H308" s="14">
        <f>+SUM('31:29'!H308)</f>
        <v>0</v>
      </c>
      <c r="I308" s="14">
        <f>+SUM('31:29'!I308)</f>
        <v>0</v>
      </c>
      <c r="J308" s="14">
        <f>+SUM('31:29'!J308)</f>
        <v>0</v>
      </c>
      <c r="K308" s="145">
        <f t="shared" si="38"/>
        <v>0</v>
      </c>
      <c r="L308" s="145">
        <f t="shared" si="39"/>
        <v>0</v>
      </c>
      <c r="M308" s="145">
        <v>618.6</v>
      </c>
      <c r="N308" s="145">
        <f>+M308*1000/(124*1*80*60)*T308</f>
        <v>3.117943548387097</v>
      </c>
      <c r="O308" s="14">
        <f>+SUM('31:29'!O308)</f>
        <v>0</v>
      </c>
      <c r="P308" s="145">
        <f t="shared" si="40"/>
        <v>0</v>
      </c>
      <c r="Q308" s="14">
        <f>+SUM('31:29'!Q308)</f>
        <v>0</v>
      </c>
      <c r="R308" s="19">
        <f t="shared" si="41"/>
        <v>0</v>
      </c>
      <c r="S308" s="145">
        <f t="shared" si="42"/>
        <v>0</v>
      </c>
      <c r="T308" s="20">
        <v>3</v>
      </c>
      <c r="U308" s="14">
        <f>+SUM('31:29'!U308)</f>
        <v>0</v>
      </c>
      <c r="V308" s="142" t="str">
        <f t="array" ref="V308">IF(ISERROR(L308/K308),"",L308/K308)</f>
        <v/>
      </c>
      <c r="W308" s="14">
        <f>+SUM('31:29'!W308)</f>
        <v>0</v>
      </c>
      <c r="X308" s="14">
        <f>+SUM('31:29'!X308)</f>
        <v>0</v>
      </c>
      <c r="Y308" s="14">
        <f>+SUM('31:29'!Y308)</f>
        <v>0</v>
      </c>
      <c r="Z308" s="14">
        <f>+SUM('31:29'!Z308)</f>
        <v>0</v>
      </c>
      <c r="AA308" s="14">
        <f>+SUM('31:29'!AA308)</f>
        <v>0</v>
      </c>
      <c r="AB308" s="14">
        <f>+SUM('31:29'!AB308)</f>
        <v>0</v>
      </c>
      <c r="AC308" s="14">
        <f>+SUM('31:29'!AC308)</f>
        <v>0</v>
      </c>
    </row>
    <row r="309" spans="1:29" s="2" customFormat="1" ht="21.95" customHeight="1">
      <c r="A309" s="141">
        <v>300128</v>
      </c>
      <c r="B309" s="135" t="s">
        <v>87</v>
      </c>
      <c r="C309" s="219" t="s">
        <v>104</v>
      </c>
      <c r="D309" s="219" t="s">
        <v>105</v>
      </c>
      <c r="E309" s="147" t="s">
        <v>35</v>
      </c>
      <c r="F309" s="146"/>
      <c r="G309" s="14">
        <f>+SUM('31:29'!G309)</f>
        <v>0</v>
      </c>
      <c r="H309" s="14">
        <f>+SUM('31:29'!H309)</f>
        <v>0</v>
      </c>
      <c r="I309" s="14">
        <f>+SUM('31:29'!I309)</f>
        <v>0</v>
      </c>
      <c r="J309" s="14">
        <f>+SUM('31:29'!J309)</f>
        <v>0</v>
      </c>
      <c r="K309" s="145">
        <f t="shared" si="38"/>
        <v>0</v>
      </c>
      <c r="L309" s="145">
        <f t="shared" si="39"/>
        <v>0</v>
      </c>
      <c r="M309" s="145">
        <v>621.29999999999995</v>
      </c>
      <c r="N309" s="145">
        <f t="shared" ref="N309:N314" si="43">+M309*1000/(130.5*1*80*60)*T309</f>
        <v>3.9674329501915708</v>
      </c>
      <c r="O309" s="14">
        <f>+SUM('31:29'!O309)</f>
        <v>0</v>
      </c>
      <c r="P309" s="145">
        <f t="shared" si="40"/>
        <v>0</v>
      </c>
      <c r="Q309" s="14">
        <f>+SUM('31:29'!Q309)</f>
        <v>0</v>
      </c>
      <c r="R309" s="19">
        <f t="shared" si="41"/>
        <v>0</v>
      </c>
      <c r="S309" s="145">
        <f t="shared" si="42"/>
        <v>0</v>
      </c>
      <c r="T309" s="20">
        <v>4</v>
      </c>
      <c r="U309" s="14">
        <f>+SUM('31:29'!U309)</f>
        <v>0</v>
      </c>
      <c r="V309" s="142" t="str">
        <f t="array" ref="V309">IF(ISERROR(L309/K309),"",L309/K309)</f>
        <v/>
      </c>
      <c r="W309" s="14">
        <f>+SUM('31:29'!W309)</f>
        <v>0</v>
      </c>
      <c r="X309" s="14">
        <f>+SUM('31:29'!X309)</f>
        <v>0</v>
      </c>
      <c r="Y309" s="14">
        <f>+SUM('31:29'!Y309)</f>
        <v>0</v>
      </c>
      <c r="Z309" s="14">
        <f>+SUM('31:29'!Z309)</f>
        <v>0</v>
      </c>
      <c r="AA309" s="14">
        <f>+SUM('31:29'!AA309)</f>
        <v>0</v>
      </c>
      <c r="AB309" s="14">
        <f>+SUM('31:29'!AB309)</f>
        <v>0</v>
      </c>
      <c r="AC309" s="14">
        <f>+SUM('31:29'!AC309)</f>
        <v>0</v>
      </c>
    </row>
    <row r="310" spans="1:29" s="2" customFormat="1" ht="21.95" customHeight="1">
      <c r="A310" s="141">
        <v>300129</v>
      </c>
      <c r="B310" s="135" t="s">
        <v>87</v>
      </c>
      <c r="C310" s="219" t="s">
        <v>104</v>
      </c>
      <c r="D310" s="219" t="s">
        <v>105</v>
      </c>
      <c r="E310" s="147" t="s">
        <v>41</v>
      </c>
      <c r="F310" s="146"/>
      <c r="G310" s="14">
        <f>+SUM('31:29'!G310)</f>
        <v>0</v>
      </c>
      <c r="H310" s="14">
        <f>+SUM('31:29'!H310)</f>
        <v>0</v>
      </c>
      <c r="I310" s="14">
        <f>+SUM('31:29'!I310)</f>
        <v>0</v>
      </c>
      <c r="J310" s="14">
        <f>+SUM('31:29'!J310)</f>
        <v>0</v>
      </c>
      <c r="K310" s="145">
        <f t="shared" si="38"/>
        <v>0</v>
      </c>
      <c r="L310" s="145">
        <f t="shared" si="39"/>
        <v>0</v>
      </c>
      <c r="M310" s="145">
        <v>621.29999999999995</v>
      </c>
      <c r="N310" s="145">
        <f t="shared" si="43"/>
        <v>3.9674329501915708</v>
      </c>
      <c r="O310" s="14">
        <f>+SUM('31:29'!O310)</f>
        <v>0</v>
      </c>
      <c r="P310" s="145">
        <f t="shared" si="40"/>
        <v>0</v>
      </c>
      <c r="Q310" s="14">
        <f>+SUM('31:29'!Q310)</f>
        <v>0</v>
      </c>
      <c r="R310" s="19">
        <f t="shared" si="41"/>
        <v>0</v>
      </c>
      <c r="S310" s="145">
        <f t="shared" si="42"/>
        <v>0</v>
      </c>
      <c r="T310" s="20">
        <v>4</v>
      </c>
      <c r="U310" s="14">
        <f>+SUM('31:29'!U310)</f>
        <v>0</v>
      </c>
      <c r="V310" s="142" t="str">
        <f t="array" ref="V310">IF(ISERROR(L310/K310),"",L310/K310)</f>
        <v/>
      </c>
      <c r="W310" s="14">
        <f>+SUM('31:29'!W310)</f>
        <v>0</v>
      </c>
      <c r="X310" s="14">
        <f>+SUM('31:29'!X310)</f>
        <v>0</v>
      </c>
      <c r="Y310" s="14">
        <f>+SUM('31:29'!Y310)</f>
        <v>0</v>
      </c>
      <c r="Z310" s="14">
        <f>+SUM('31:29'!Z310)</f>
        <v>0</v>
      </c>
      <c r="AA310" s="14">
        <f>+SUM('31:29'!AA310)</f>
        <v>0</v>
      </c>
      <c r="AB310" s="14">
        <f>+SUM('31:29'!AB310)</f>
        <v>0</v>
      </c>
      <c r="AC310" s="14">
        <f>+SUM('31:29'!AC310)</f>
        <v>0</v>
      </c>
    </row>
    <row r="311" spans="1:29" s="2" customFormat="1" ht="21.95" customHeight="1">
      <c r="A311" s="141">
        <v>300130</v>
      </c>
      <c r="B311" s="135" t="s">
        <v>87</v>
      </c>
      <c r="C311" s="219" t="s">
        <v>104</v>
      </c>
      <c r="D311" s="219" t="s">
        <v>105</v>
      </c>
      <c r="E311" s="147" t="s">
        <v>37</v>
      </c>
      <c r="F311" s="146"/>
      <c r="G311" s="14">
        <f>+SUM('31:29'!G311)</f>
        <v>0</v>
      </c>
      <c r="H311" s="14">
        <f>+SUM('31:29'!H311)</f>
        <v>0</v>
      </c>
      <c r="I311" s="14">
        <f>+SUM('31:29'!I311)</f>
        <v>0</v>
      </c>
      <c r="J311" s="14">
        <f>+SUM('31:29'!J311)</f>
        <v>0</v>
      </c>
      <c r="K311" s="145">
        <f t="shared" si="38"/>
        <v>0</v>
      </c>
      <c r="L311" s="145">
        <f t="shared" si="39"/>
        <v>0</v>
      </c>
      <c r="M311" s="145">
        <v>621.29999999999995</v>
      </c>
      <c r="N311" s="145">
        <f t="shared" si="43"/>
        <v>3.9674329501915708</v>
      </c>
      <c r="O311" s="14">
        <f>+SUM('31:29'!O311)</f>
        <v>0</v>
      </c>
      <c r="P311" s="145">
        <f t="shared" si="40"/>
        <v>0</v>
      </c>
      <c r="Q311" s="14">
        <f>+SUM('31:29'!Q311)</f>
        <v>0</v>
      </c>
      <c r="R311" s="19">
        <f t="shared" si="41"/>
        <v>0</v>
      </c>
      <c r="S311" s="145">
        <f t="shared" si="42"/>
        <v>0</v>
      </c>
      <c r="T311" s="20">
        <v>4</v>
      </c>
      <c r="U311" s="14">
        <f>+SUM('31:29'!U311)</f>
        <v>0</v>
      </c>
      <c r="V311" s="142" t="str">
        <f t="array" ref="V311">IF(ISERROR(L311/K311),"",L311/K311)</f>
        <v/>
      </c>
      <c r="W311" s="14">
        <f>+SUM('31:29'!W311)</f>
        <v>0</v>
      </c>
      <c r="X311" s="14">
        <f>+SUM('31:29'!X311)</f>
        <v>0</v>
      </c>
      <c r="Y311" s="14">
        <f>+SUM('31:29'!Y311)</f>
        <v>0</v>
      </c>
      <c r="Z311" s="14">
        <f>+SUM('31:29'!Z311)</f>
        <v>0</v>
      </c>
      <c r="AA311" s="14">
        <f>+SUM('31:29'!AA311)</f>
        <v>0</v>
      </c>
      <c r="AB311" s="14">
        <f>+SUM('31:29'!AB311)</f>
        <v>0</v>
      </c>
      <c r="AC311" s="14">
        <f>+SUM('31:29'!AC311)</f>
        <v>0</v>
      </c>
    </row>
    <row r="312" spans="1:29" ht="21.95" customHeight="1">
      <c r="A312" s="141">
        <v>300423</v>
      </c>
      <c r="B312" s="135" t="s">
        <v>292</v>
      </c>
      <c r="C312" s="230" t="s">
        <v>288</v>
      </c>
      <c r="D312" s="231"/>
      <c r="E312" s="147" t="s">
        <v>289</v>
      </c>
      <c r="F312" s="13"/>
      <c r="G312" s="14">
        <f>+SUM('31:29'!G312)</f>
        <v>0</v>
      </c>
      <c r="H312" s="14">
        <f>+SUM('31:29'!H312)</f>
        <v>0</v>
      </c>
      <c r="I312" s="14">
        <f>+SUM('31:29'!I312)</f>
        <v>0</v>
      </c>
      <c r="J312" s="14">
        <f>+SUM('31:29'!J312)</f>
        <v>0</v>
      </c>
      <c r="K312" s="145">
        <f t="shared" si="38"/>
        <v>0</v>
      </c>
      <c r="L312" s="145">
        <f t="shared" si="39"/>
        <v>0</v>
      </c>
      <c r="M312" s="145">
        <v>524.1</v>
      </c>
      <c r="N312" s="145">
        <f t="shared" si="43"/>
        <v>3.3467432950191571</v>
      </c>
      <c r="O312" s="14">
        <f>+SUM('31:29'!O312)</f>
        <v>0</v>
      </c>
      <c r="P312" s="145">
        <f t="shared" si="40"/>
        <v>0</v>
      </c>
      <c r="Q312" s="14">
        <f>+SUM('31:29'!Q312)</f>
        <v>0</v>
      </c>
      <c r="R312" s="19">
        <f t="shared" si="41"/>
        <v>0</v>
      </c>
      <c r="S312" s="145">
        <f t="shared" si="42"/>
        <v>0</v>
      </c>
      <c r="T312" s="20">
        <v>4</v>
      </c>
      <c r="U312" s="14">
        <f>+SUM('31:29'!U312)</f>
        <v>0</v>
      </c>
      <c r="V312" s="142"/>
      <c r="W312" s="14">
        <f>+SUM('31:29'!W312)</f>
        <v>0</v>
      </c>
      <c r="X312" s="14">
        <f>+SUM('31:29'!X312)</f>
        <v>0</v>
      </c>
      <c r="Y312" s="14">
        <f>+SUM('31:29'!Y312)</f>
        <v>0</v>
      </c>
      <c r="Z312" s="14">
        <f>+SUM('31:29'!Z312)</f>
        <v>0</v>
      </c>
      <c r="AA312" s="14">
        <f>+SUM('31:29'!AA312)</f>
        <v>0</v>
      </c>
      <c r="AB312" s="14">
        <f>+SUM('31:29'!AB312)</f>
        <v>0</v>
      </c>
      <c r="AC312" s="14">
        <f>+SUM('31:29'!AC312)</f>
        <v>0</v>
      </c>
    </row>
    <row r="313" spans="1:29" ht="21.95" customHeight="1">
      <c r="A313" s="141">
        <v>300424</v>
      </c>
      <c r="B313" s="135" t="s">
        <v>292</v>
      </c>
      <c r="C313" s="230" t="s">
        <v>288</v>
      </c>
      <c r="D313" s="231"/>
      <c r="E313" s="147" t="s">
        <v>290</v>
      </c>
      <c r="F313" s="13"/>
      <c r="G313" s="14">
        <f>+SUM('31:29'!G313)</f>
        <v>0</v>
      </c>
      <c r="H313" s="14">
        <f>+SUM('31:29'!H313)</f>
        <v>0</v>
      </c>
      <c r="I313" s="14">
        <f>+SUM('31:29'!I313)</f>
        <v>0</v>
      </c>
      <c r="J313" s="14">
        <f>+SUM('31:29'!J313)</f>
        <v>0</v>
      </c>
      <c r="K313" s="145">
        <f t="shared" si="38"/>
        <v>0</v>
      </c>
      <c r="L313" s="145">
        <f t="shared" si="39"/>
        <v>0</v>
      </c>
      <c r="M313" s="145">
        <v>524.1</v>
      </c>
      <c r="N313" s="145">
        <f t="shared" si="43"/>
        <v>3.3467432950191571</v>
      </c>
      <c r="O313" s="14">
        <f>+SUM('31:29'!O313)</f>
        <v>0</v>
      </c>
      <c r="P313" s="145">
        <f t="shared" si="40"/>
        <v>0</v>
      </c>
      <c r="Q313" s="14">
        <f>+SUM('31:29'!Q313)</f>
        <v>0</v>
      </c>
      <c r="R313" s="19">
        <f t="shared" si="41"/>
        <v>0</v>
      </c>
      <c r="S313" s="145">
        <f t="shared" si="42"/>
        <v>0</v>
      </c>
      <c r="T313" s="20">
        <v>4</v>
      </c>
      <c r="U313" s="14">
        <f>+SUM('31:29'!U313)</f>
        <v>0</v>
      </c>
      <c r="V313" s="142"/>
      <c r="W313" s="14">
        <f>+SUM('31:29'!W313)</f>
        <v>0</v>
      </c>
      <c r="X313" s="14">
        <f>+SUM('31:29'!X313)</f>
        <v>0</v>
      </c>
      <c r="Y313" s="14">
        <f>+SUM('31:29'!Y313)</f>
        <v>0</v>
      </c>
      <c r="Z313" s="14">
        <f>+SUM('31:29'!Z313)</f>
        <v>0</v>
      </c>
      <c r="AA313" s="14">
        <f>+SUM('31:29'!AA313)</f>
        <v>0</v>
      </c>
      <c r="AB313" s="14">
        <f>+SUM('31:29'!AB313)</f>
        <v>0</v>
      </c>
      <c r="AC313" s="14">
        <f>+SUM('31:29'!AC313)</f>
        <v>0</v>
      </c>
    </row>
    <row r="314" spans="1:29" ht="21.95" customHeight="1">
      <c r="A314" s="141">
        <v>300425</v>
      </c>
      <c r="B314" s="135" t="s">
        <v>292</v>
      </c>
      <c r="C314" s="230" t="s">
        <v>288</v>
      </c>
      <c r="D314" s="231"/>
      <c r="E314" s="147" t="s">
        <v>291</v>
      </c>
      <c r="F314" s="13"/>
      <c r="G314" s="14">
        <f>+SUM('31:29'!G314)</f>
        <v>5</v>
      </c>
      <c r="H314" s="14">
        <f>+SUM('31:29'!H314)</f>
        <v>0</v>
      </c>
      <c r="I314" s="14">
        <f>+SUM('31:29'!I314)</f>
        <v>4.3</v>
      </c>
      <c r="J314" s="14">
        <f>+SUM('31:29'!J314)</f>
        <v>350</v>
      </c>
      <c r="K314" s="145">
        <f t="shared" si="38"/>
        <v>2620.5</v>
      </c>
      <c r="L314" s="145">
        <f t="shared" si="39"/>
        <v>2253.63</v>
      </c>
      <c r="M314" s="145">
        <v>524.1</v>
      </c>
      <c r="N314" s="145">
        <f t="shared" si="43"/>
        <v>3.3467432950191571</v>
      </c>
      <c r="O314" s="14">
        <f>+SUM('31:29'!O314)</f>
        <v>0.5</v>
      </c>
      <c r="P314" s="145">
        <f t="shared" si="40"/>
        <v>16.390996168582376</v>
      </c>
      <c r="Q314" s="14">
        <f>+SUM('31:29'!Q314)</f>
        <v>9.5</v>
      </c>
      <c r="R314" s="19">
        <f t="shared" si="41"/>
        <v>38</v>
      </c>
      <c r="S314" s="145">
        <f t="shared" si="42"/>
        <v>21.609003831417624</v>
      </c>
      <c r="T314" s="20">
        <v>4</v>
      </c>
      <c r="U314" s="14">
        <f>+SUM('31:29'!U314)</f>
        <v>4</v>
      </c>
      <c r="V314" s="142"/>
      <c r="W314" s="14">
        <f>+SUM('31:29'!W314)</f>
        <v>0</v>
      </c>
      <c r="X314" s="14">
        <f>+SUM('31:29'!X314)</f>
        <v>0</v>
      </c>
      <c r="Y314" s="14">
        <f>+SUM('31:29'!Y314)</f>
        <v>0</v>
      </c>
      <c r="Z314" s="14">
        <f>+SUM('31:29'!Z314)</f>
        <v>0</v>
      </c>
      <c r="AA314" s="14">
        <f>+SUM('31:29'!AA314)</f>
        <v>0</v>
      </c>
      <c r="AB314" s="14">
        <f>+SUM('31:29'!AB314)</f>
        <v>0</v>
      </c>
      <c r="AC314" s="14">
        <f>+SUM('31:29'!AC314)</f>
        <v>0</v>
      </c>
    </row>
    <row r="315" spans="1:29" s="2" customFormat="1" ht="21.95" customHeight="1">
      <c r="A315" s="141">
        <v>300390</v>
      </c>
      <c r="B315" s="135" t="s">
        <v>287</v>
      </c>
      <c r="C315" s="230" t="s">
        <v>106</v>
      </c>
      <c r="D315" s="231"/>
      <c r="E315" s="147" t="s">
        <v>107</v>
      </c>
      <c r="F315" s="146"/>
      <c r="G315" s="14">
        <f>+SUM('31:29'!G315)</f>
        <v>0</v>
      </c>
      <c r="H315" s="14">
        <f>+SUM('31:29'!H315)</f>
        <v>0</v>
      </c>
      <c r="I315" s="14">
        <f>+SUM('31:29'!I315)</f>
        <v>0</v>
      </c>
      <c r="J315" s="14">
        <f>+SUM('31:29'!J315)</f>
        <v>0</v>
      </c>
      <c r="K315" s="145">
        <f t="shared" si="38"/>
        <v>0</v>
      </c>
      <c r="L315" s="145">
        <f t="shared" si="39"/>
        <v>0</v>
      </c>
      <c r="M315" s="145">
        <v>417.4</v>
      </c>
      <c r="N315" s="145">
        <f>+M315*1000/(87*1*80*60)*T315</f>
        <v>3.9980842911877397</v>
      </c>
      <c r="O315" s="14">
        <f>+SUM('31:29'!O315)</f>
        <v>0</v>
      </c>
      <c r="P315" s="145">
        <f t="shared" si="40"/>
        <v>0</v>
      </c>
      <c r="Q315" s="14">
        <f>+SUM('31:29'!Q315)</f>
        <v>0</v>
      </c>
      <c r="R315" s="19">
        <f t="shared" si="41"/>
        <v>0</v>
      </c>
      <c r="S315" s="145">
        <f t="shared" si="42"/>
        <v>0</v>
      </c>
      <c r="T315" s="20">
        <v>4</v>
      </c>
      <c r="U315" s="14">
        <f>+SUM('31:29'!U315)</f>
        <v>0</v>
      </c>
      <c r="V315" s="142" t="str">
        <f t="array" ref="V315">IF(ISERROR(L315/K315),"",L315/K315)</f>
        <v/>
      </c>
      <c r="W315" s="14">
        <f>+SUM('31:29'!W315)</f>
        <v>0</v>
      </c>
      <c r="X315" s="14">
        <f>+SUM('31:29'!X315)</f>
        <v>0</v>
      </c>
      <c r="Y315" s="14">
        <f>+SUM('31:29'!Y315)</f>
        <v>0</v>
      </c>
      <c r="Z315" s="14">
        <f>+SUM('31:29'!Z315)</f>
        <v>0</v>
      </c>
      <c r="AA315" s="14">
        <f>+SUM('31:29'!AA315)</f>
        <v>0</v>
      </c>
      <c r="AB315" s="14">
        <f>+SUM('31:29'!AB315)</f>
        <v>0</v>
      </c>
      <c r="AC315" s="14">
        <f>+SUM('31:29'!AC315)</f>
        <v>0</v>
      </c>
    </row>
    <row r="316" spans="1:29" s="2" customFormat="1" ht="21.95" customHeight="1">
      <c r="A316" s="141">
        <v>300391</v>
      </c>
      <c r="B316" s="135" t="s">
        <v>108</v>
      </c>
      <c r="C316" s="230" t="s">
        <v>106</v>
      </c>
      <c r="D316" s="231"/>
      <c r="E316" s="147" t="s">
        <v>109</v>
      </c>
      <c r="F316" s="146"/>
      <c r="G316" s="14">
        <f>+SUM('31:29'!G316)</f>
        <v>4.13</v>
      </c>
      <c r="H316" s="14">
        <f>+SUM('31:29'!H316)</f>
        <v>0.125</v>
      </c>
      <c r="I316" s="14">
        <f>+SUM('31:29'!I316)</f>
        <v>4.125</v>
      </c>
      <c r="J316" s="14">
        <f>+SUM('31:29'!J316)</f>
        <v>0</v>
      </c>
      <c r="K316" s="145">
        <f t="shared" si="38"/>
        <v>1723.8619999999999</v>
      </c>
      <c r="L316" s="145">
        <f t="shared" si="39"/>
        <v>1721.7749999999999</v>
      </c>
      <c r="M316" s="145">
        <v>417.4</v>
      </c>
      <c r="N316" s="145">
        <f>+M316*1000/(87*1*80*60)*T316</f>
        <v>3.9980842911877397</v>
      </c>
      <c r="O316" s="14">
        <f>+SUM('31:29'!O316)</f>
        <v>0</v>
      </c>
      <c r="P316" s="145">
        <f t="shared" si="40"/>
        <v>16.492097701149426</v>
      </c>
      <c r="Q316" s="14">
        <f>+SUM('31:29'!Q316)</f>
        <v>4</v>
      </c>
      <c r="R316" s="19">
        <f t="shared" si="41"/>
        <v>20</v>
      </c>
      <c r="S316" s="145">
        <f t="shared" si="42"/>
        <v>3.5079022988505741</v>
      </c>
      <c r="T316" s="20">
        <v>4</v>
      </c>
      <c r="U316" s="14">
        <f>+SUM('31:29'!U316)</f>
        <v>5</v>
      </c>
      <c r="V316" s="142">
        <f t="array" ref="V316">IF(ISERROR(L316/K316),"",L316/K316)</f>
        <v>0.99878934624697335</v>
      </c>
      <c r="W316" s="14">
        <f>+SUM('31:29'!W316)</f>
        <v>0</v>
      </c>
      <c r="X316" s="14">
        <f>+SUM('31:29'!X316)</f>
        <v>0</v>
      </c>
      <c r="Y316" s="14">
        <f>+SUM('31:29'!Y316)</f>
        <v>0</v>
      </c>
      <c r="Z316" s="14">
        <f>+SUM('31:29'!Z316)</f>
        <v>0</v>
      </c>
      <c r="AA316" s="14">
        <f>+SUM('31:29'!AA316)</f>
        <v>0</v>
      </c>
      <c r="AB316" s="14">
        <f>+SUM('31:29'!AB316)</f>
        <v>0</v>
      </c>
      <c r="AC316" s="14">
        <f>+SUM('31:29'!AC316)</f>
        <v>0</v>
      </c>
    </row>
    <row r="317" spans="1:29" s="3" customFormat="1" ht="21.95" customHeight="1">
      <c r="A317" s="23">
        <v>300431</v>
      </c>
      <c r="B317" s="135" t="s">
        <v>292</v>
      </c>
      <c r="C317" s="233" t="s">
        <v>297</v>
      </c>
      <c r="D317" s="234"/>
      <c r="E317" s="24" t="s">
        <v>298</v>
      </c>
      <c r="F317" s="25"/>
      <c r="G317" s="14">
        <f>+SUM('31:29'!G317)</f>
        <v>9</v>
      </c>
      <c r="H317" s="14">
        <f>+SUM('31:29'!H317)</f>
        <v>0</v>
      </c>
      <c r="I317" s="14">
        <f>+SUM('31:29'!I317)</f>
        <v>4</v>
      </c>
      <c r="J317" s="14">
        <f>+SUM('31:29'!J317)</f>
        <v>400</v>
      </c>
      <c r="K317" s="28">
        <f t="shared" si="38"/>
        <v>5659.2</v>
      </c>
      <c r="L317" s="28">
        <f t="shared" si="39"/>
        <v>2515.1999999999998</v>
      </c>
      <c r="M317" s="28">
        <v>628.79999999999995</v>
      </c>
      <c r="N317" s="28">
        <f>+M317*1000/(87*1*80*60)*T317</f>
        <v>6.0229885057471266</v>
      </c>
      <c r="O317" s="14">
        <f>+SUM('31:29'!O317)</f>
        <v>0</v>
      </c>
      <c r="P317" s="28">
        <f t="shared" si="40"/>
        <v>24.091954022988507</v>
      </c>
      <c r="Q317" s="14">
        <f>+SUM('31:29'!Q317)</f>
        <v>7.5</v>
      </c>
      <c r="R317" s="29">
        <f t="shared" si="41"/>
        <v>30</v>
      </c>
      <c r="S317" s="28">
        <f t="shared" si="42"/>
        <v>5.9080459770114935</v>
      </c>
      <c r="T317" s="30">
        <v>4</v>
      </c>
      <c r="U317" s="14">
        <f>+SUM('31:29'!U317)</f>
        <v>4</v>
      </c>
      <c r="V317" s="112"/>
      <c r="W317" s="14">
        <f>+SUM('31:29'!W317)</f>
        <v>0</v>
      </c>
      <c r="X317" s="14">
        <f>+SUM('31:29'!X317)</f>
        <v>0</v>
      </c>
      <c r="Y317" s="14">
        <f>+SUM('31:29'!Y317)</f>
        <v>0</v>
      </c>
      <c r="Z317" s="14">
        <f>+SUM('31:29'!Z317)</f>
        <v>0</v>
      </c>
      <c r="AA317" s="14">
        <f>+SUM('31:29'!AA317)</f>
        <v>2</v>
      </c>
      <c r="AB317" s="14">
        <f>+SUM('31:29'!AB317)</f>
        <v>0</v>
      </c>
      <c r="AC317" s="14">
        <f>+SUM('31:29'!AC317)</f>
        <v>0</v>
      </c>
    </row>
    <row r="318" spans="1:29" s="3" customFormat="1" ht="21.95" customHeight="1">
      <c r="A318" s="23">
        <v>300432</v>
      </c>
      <c r="B318" s="135" t="s">
        <v>292</v>
      </c>
      <c r="C318" s="233" t="s">
        <v>297</v>
      </c>
      <c r="D318" s="234"/>
      <c r="E318" s="24" t="s">
        <v>299</v>
      </c>
      <c r="F318" s="25"/>
      <c r="G318" s="14">
        <f>+SUM('31:29'!G318)</f>
        <v>6</v>
      </c>
      <c r="H318" s="14">
        <f>+SUM('31:29'!H318)</f>
        <v>0</v>
      </c>
      <c r="I318" s="14">
        <f>+SUM('31:29'!I318)</f>
        <v>5.25</v>
      </c>
      <c r="J318" s="14">
        <f>+SUM('31:29'!J318)</f>
        <v>450</v>
      </c>
      <c r="K318" s="28">
        <f t="shared" si="38"/>
        <v>3772.7999999999997</v>
      </c>
      <c r="L318" s="28">
        <f t="shared" si="39"/>
        <v>3301.2</v>
      </c>
      <c r="M318" s="28">
        <v>628.79999999999995</v>
      </c>
      <c r="N318" s="28">
        <f>+M318*1000/(87*1*80*60)*T318</f>
        <v>6.0229885057471266</v>
      </c>
      <c r="O318" s="14">
        <f>+SUM('31:29'!O318)</f>
        <v>0.5</v>
      </c>
      <c r="P318" s="28">
        <f t="shared" si="40"/>
        <v>34.120689655172413</v>
      </c>
      <c r="Q318" s="14">
        <f>+SUM('31:29'!Q318)</f>
        <v>7.5</v>
      </c>
      <c r="R318" s="29">
        <f t="shared" si="41"/>
        <v>37.5</v>
      </c>
      <c r="S318" s="28">
        <f t="shared" si="42"/>
        <v>3.3793103448275872</v>
      </c>
      <c r="T318" s="30">
        <v>4</v>
      </c>
      <c r="U318" s="14">
        <f>+SUM('31:29'!U318)</f>
        <v>5</v>
      </c>
      <c r="V318" s="112"/>
      <c r="W318" s="14">
        <f>+SUM('31:29'!W318)</f>
        <v>0</v>
      </c>
      <c r="X318" s="14">
        <f>+SUM('31:29'!X318)</f>
        <v>0</v>
      </c>
      <c r="Y318" s="14">
        <f>+SUM('31:29'!Y318)</f>
        <v>0</v>
      </c>
      <c r="Z318" s="14">
        <f>+SUM('31:29'!Z318)</f>
        <v>0</v>
      </c>
      <c r="AA318" s="14">
        <f>+SUM('31:29'!AA318)</f>
        <v>0</v>
      </c>
      <c r="AB318" s="14">
        <f>+SUM('31:29'!AB318)</f>
        <v>0</v>
      </c>
      <c r="AC318" s="14">
        <f>+SUM('31:29'!AC318)</f>
        <v>0</v>
      </c>
    </row>
    <row r="319" spans="1:29" s="3" customFormat="1" ht="21.95" customHeight="1">
      <c r="A319" s="23">
        <v>300433</v>
      </c>
      <c r="B319" s="135" t="s">
        <v>292</v>
      </c>
      <c r="C319" s="233" t="s">
        <v>297</v>
      </c>
      <c r="D319" s="234"/>
      <c r="E319" s="125" t="s">
        <v>300</v>
      </c>
      <c r="F319" s="25"/>
      <c r="G319" s="14">
        <f>+SUM('31:29'!G319)</f>
        <v>6.41</v>
      </c>
      <c r="H319" s="14">
        <f>+SUM('31:29'!H319)</f>
        <v>0.41666666666666663</v>
      </c>
      <c r="I319" s="14">
        <f>+SUM('31:29'!I319)</f>
        <v>6.4166666666666661</v>
      </c>
      <c r="J319" s="14">
        <f>+SUM('31:29'!J319)</f>
        <v>0</v>
      </c>
      <c r="K319" s="28">
        <f t="shared" si="38"/>
        <v>4030.6079999999997</v>
      </c>
      <c r="L319" s="28">
        <f t="shared" si="39"/>
        <v>4034.7999999999993</v>
      </c>
      <c r="M319" s="28">
        <v>628.79999999999995</v>
      </c>
      <c r="N319" s="28">
        <f>+M319*1000/(87*1*80*60)*T319</f>
        <v>6.0229885057471266</v>
      </c>
      <c r="O319" s="14">
        <f>+SUM('31:29'!O319)</f>
        <v>0</v>
      </c>
      <c r="P319" s="28">
        <f t="shared" si="40"/>
        <v>38.64750957854406</v>
      </c>
      <c r="Q319" s="14">
        <f>+SUM('31:29'!Q319)</f>
        <v>6.5</v>
      </c>
      <c r="R319" s="29">
        <f t="shared" si="41"/>
        <v>52</v>
      </c>
      <c r="S319" s="28">
        <f t="shared" si="42"/>
        <v>13.35249042145594</v>
      </c>
      <c r="T319" s="30">
        <v>4</v>
      </c>
      <c r="U319" s="14">
        <f>+SUM('31:29'!U319)</f>
        <v>8</v>
      </c>
      <c r="V319" s="112"/>
      <c r="W319" s="14">
        <f>+SUM('31:29'!W319)</f>
        <v>0</v>
      </c>
      <c r="X319" s="14">
        <f>+SUM('31:29'!X319)</f>
        <v>0</v>
      </c>
      <c r="Y319" s="14">
        <f>+SUM('31:29'!Y319)</f>
        <v>0</v>
      </c>
      <c r="Z319" s="14">
        <f>+SUM('31:29'!Z319)</f>
        <v>0</v>
      </c>
      <c r="AA319" s="14">
        <f>+SUM('31:29'!AA319)</f>
        <v>0</v>
      </c>
      <c r="AB319" s="14">
        <f>+SUM('31:29'!AB319)</f>
        <v>0</v>
      </c>
      <c r="AC319" s="14">
        <f>+SUM('31:29'!AC319)</f>
        <v>0</v>
      </c>
    </row>
    <row r="320" spans="1:29" s="2" customFormat="1" ht="21.95" customHeight="1">
      <c r="A320" s="141">
        <v>300074</v>
      </c>
      <c r="B320" s="135" t="s">
        <v>110</v>
      </c>
      <c r="C320" s="219" t="s">
        <v>111</v>
      </c>
      <c r="D320" s="219" t="s">
        <v>112</v>
      </c>
      <c r="E320" s="147" t="s">
        <v>54</v>
      </c>
      <c r="F320" s="146"/>
      <c r="G320" s="14">
        <f>+SUM('31:29'!G320)</f>
        <v>10</v>
      </c>
      <c r="H320" s="14">
        <f>+SUM('31:29'!H320)</f>
        <v>0.25</v>
      </c>
      <c r="I320" s="14">
        <f>+SUM('31:29'!I320)</f>
        <v>8.85</v>
      </c>
      <c r="J320" s="14">
        <f>+SUM('31:29'!J320)</f>
        <v>80</v>
      </c>
      <c r="K320" s="145">
        <f t="shared" si="38"/>
        <v>2908</v>
      </c>
      <c r="L320" s="145">
        <f t="shared" si="39"/>
        <v>2573.58</v>
      </c>
      <c r="M320" s="145">
        <v>290.8</v>
      </c>
      <c r="N320" s="145">
        <f>+M320*1000/(88*4*13*60)*T320</f>
        <v>3.1774475524475525</v>
      </c>
      <c r="O320" s="14">
        <f>+SUM('31:29'!O320)</f>
        <v>0.5</v>
      </c>
      <c r="P320" s="145">
        <f t="shared" si="40"/>
        <v>31.12041083916084</v>
      </c>
      <c r="Q320" s="14">
        <f>+SUM('31:29'!Q320)</f>
        <v>15</v>
      </c>
      <c r="R320" s="19">
        <f t="shared" si="41"/>
        <v>90</v>
      </c>
      <c r="S320" s="145">
        <f t="shared" si="42"/>
        <v>58.87958916083916</v>
      </c>
      <c r="T320" s="20">
        <v>3</v>
      </c>
      <c r="U320" s="14">
        <f>+SUM('31:29'!U320)</f>
        <v>6</v>
      </c>
      <c r="V320" s="142">
        <f t="array" ref="V320">IF(ISERROR(L320/K320),"",L320/K320)</f>
        <v>0.88500000000000001</v>
      </c>
      <c r="W320" s="14">
        <f>+SUM('31:29'!W320)</f>
        <v>0</v>
      </c>
      <c r="X320" s="14">
        <f>+SUM('31:29'!X320)</f>
        <v>0</v>
      </c>
      <c r="Y320" s="14">
        <f>+SUM('31:29'!Y320)</f>
        <v>0</v>
      </c>
      <c r="Z320" s="14">
        <f>+SUM('31:29'!Z320)</f>
        <v>0</v>
      </c>
      <c r="AA320" s="14">
        <f>+SUM('31:29'!AA320)</f>
        <v>0</v>
      </c>
      <c r="AB320" s="14">
        <f>+SUM('31:29'!AB320)</f>
        <v>0</v>
      </c>
      <c r="AC320" s="14">
        <f>+SUM('31:29'!AC320)</f>
        <v>0</v>
      </c>
    </row>
    <row r="321" spans="1:29" s="2" customFormat="1" ht="21.95" customHeight="1">
      <c r="A321" s="141">
        <v>300076</v>
      </c>
      <c r="B321" s="135" t="s">
        <v>110</v>
      </c>
      <c r="C321" s="219" t="s">
        <v>111</v>
      </c>
      <c r="D321" s="219" t="s">
        <v>112</v>
      </c>
      <c r="E321" s="147" t="s">
        <v>35</v>
      </c>
      <c r="F321" s="146"/>
      <c r="G321" s="14">
        <f>+SUM('31:29'!G321)</f>
        <v>9.5</v>
      </c>
      <c r="H321" s="14">
        <f>+SUM('31:29'!H321)</f>
        <v>0.5</v>
      </c>
      <c r="I321" s="14">
        <f>+SUM('31:29'!I321)</f>
        <v>9.1</v>
      </c>
      <c r="J321" s="14">
        <f>+SUM('31:29'!J321)</f>
        <v>80</v>
      </c>
      <c r="K321" s="145">
        <f t="shared" si="38"/>
        <v>2879.4500000000003</v>
      </c>
      <c r="L321" s="145">
        <f t="shared" si="39"/>
        <v>2758.21</v>
      </c>
      <c r="M321" s="145">
        <v>303.10000000000002</v>
      </c>
      <c r="N321" s="145">
        <f>+M321*1000/(88*4*12*60)*T321</f>
        <v>4.7837752525252526</v>
      </c>
      <c r="O321" s="14">
        <f>+SUM('31:29'!O321)</f>
        <v>0.5</v>
      </c>
      <c r="P321" s="145">
        <f t="shared" si="40"/>
        <v>47.032354797979799</v>
      </c>
      <c r="Q321" s="14">
        <f>+SUM('31:29'!Q321)</f>
        <v>11</v>
      </c>
      <c r="R321" s="19">
        <f t="shared" si="41"/>
        <v>77</v>
      </c>
      <c r="S321" s="145">
        <f t="shared" si="42"/>
        <v>29.967645202020201</v>
      </c>
      <c r="T321" s="20">
        <v>4</v>
      </c>
      <c r="U321" s="14">
        <f>+SUM('31:29'!U321)</f>
        <v>7</v>
      </c>
      <c r="V321" s="142">
        <f t="array" ref="V321">IF(ISERROR(L321/K321),"",L321/K321)</f>
        <v>0.95789473684210513</v>
      </c>
      <c r="W321" s="14">
        <f>+SUM('31:29'!W321)</f>
        <v>0</v>
      </c>
      <c r="X321" s="14">
        <f>+SUM('31:29'!X321)</f>
        <v>0</v>
      </c>
      <c r="Y321" s="14">
        <f>+SUM('31:29'!Y321)</f>
        <v>0</v>
      </c>
      <c r="Z321" s="14">
        <f>+SUM('31:29'!Z321)</f>
        <v>0</v>
      </c>
      <c r="AA321" s="14">
        <f>+SUM('31:29'!AA321)</f>
        <v>0</v>
      </c>
      <c r="AB321" s="14">
        <f>+SUM('31:29'!AB321)</f>
        <v>0</v>
      </c>
      <c r="AC321" s="14">
        <f>+SUM('31:29'!AC321)</f>
        <v>0</v>
      </c>
    </row>
    <row r="322" spans="1:29" s="2" customFormat="1" ht="21.95" customHeight="1">
      <c r="A322" s="141">
        <v>300096</v>
      </c>
      <c r="B322" s="138">
        <v>6502</v>
      </c>
      <c r="C322" s="232" t="s">
        <v>113</v>
      </c>
      <c r="D322" s="232" t="s">
        <v>114</v>
      </c>
      <c r="E322" s="42" t="s">
        <v>37</v>
      </c>
      <c r="F322" s="146"/>
      <c r="G322" s="14">
        <f>+SUM('31:29'!G322)</f>
        <v>13.87</v>
      </c>
      <c r="H322" s="14">
        <f>+SUM('31:29'!H322)</f>
        <v>0.8666666666666667</v>
      </c>
      <c r="I322" s="14">
        <f>+SUM('31:29'!I322)</f>
        <v>13.766666666666667</v>
      </c>
      <c r="J322" s="14">
        <f>+SUM('31:29'!J322)</f>
        <v>30</v>
      </c>
      <c r="K322" s="145">
        <f t="shared" si="38"/>
        <v>6659.4030999999995</v>
      </c>
      <c r="L322" s="145">
        <f t="shared" si="39"/>
        <v>6609.7896666666666</v>
      </c>
      <c r="M322" s="145">
        <v>480.13</v>
      </c>
      <c r="N322" s="145">
        <f>+M322*1000/(126.5*4*12*60)*T322</f>
        <v>2.6357597716293371</v>
      </c>
      <c r="O322" s="14">
        <f>+SUM('31:29'!O322)</f>
        <v>0</v>
      </c>
      <c r="P322" s="145">
        <f t="shared" si="40"/>
        <v>36.285626189430545</v>
      </c>
      <c r="Q322" s="14">
        <f>+SUM('31:29'!Q322)</f>
        <v>19</v>
      </c>
      <c r="R322" s="19">
        <f t="shared" si="41"/>
        <v>76</v>
      </c>
      <c r="S322" s="145">
        <f t="shared" si="42"/>
        <v>39.714373810569455</v>
      </c>
      <c r="T322" s="20">
        <v>2</v>
      </c>
      <c r="U322" s="14">
        <f>+SUM('31:29'!U322)</f>
        <v>4</v>
      </c>
      <c r="V322" s="142">
        <f t="array" ref="V322">IF(ISERROR(L322/K322),"",L322/K322)</f>
        <v>0.99254986782023558</v>
      </c>
      <c r="W322" s="14">
        <f>+SUM('31:29'!W322)</f>
        <v>0</v>
      </c>
      <c r="X322" s="14">
        <f>+SUM('31:29'!X322)</f>
        <v>0</v>
      </c>
      <c r="Y322" s="14">
        <f>+SUM('31:29'!Y322)</f>
        <v>0</v>
      </c>
      <c r="Z322" s="14">
        <f>+SUM('31:29'!Z322)</f>
        <v>0</v>
      </c>
      <c r="AA322" s="14">
        <f>+SUM('31:29'!AA322)</f>
        <v>2</v>
      </c>
      <c r="AB322" s="14">
        <f>+SUM('31:29'!AB322)</f>
        <v>0</v>
      </c>
      <c r="AC322" s="14">
        <f>+SUM('31:29'!AC322)</f>
        <v>0</v>
      </c>
    </row>
    <row r="323" spans="1:29" s="2" customFormat="1" ht="21.95" customHeight="1">
      <c r="A323" s="141"/>
      <c r="B323" s="138" t="s">
        <v>110</v>
      </c>
      <c r="C323" s="232" t="s">
        <v>113</v>
      </c>
      <c r="D323" s="232" t="s">
        <v>114</v>
      </c>
      <c r="E323" s="42" t="s">
        <v>35</v>
      </c>
      <c r="F323" s="146"/>
      <c r="G323" s="14">
        <f>+SUM('31:29'!G323)</f>
        <v>0</v>
      </c>
      <c r="H323" s="14">
        <f>+SUM('31:29'!H323)</f>
        <v>0</v>
      </c>
      <c r="I323" s="14">
        <f>+SUM('31:29'!I323)</f>
        <v>0</v>
      </c>
      <c r="J323" s="14">
        <f>+SUM('31:29'!J323)</f>
        <v>0</v>
      </c>
      <c r="K323" s="145">
        <f t="shared" si="38"/>
        <v>0</v>
      </c>
      <c r="L323" s="145">
        <f t="shared" si="39"/>
        <v>0</v>
      </c>
      <c r="M323" s="145">
        <v>480.13</v>
      </c>
      <c r="N323" s="145">
        <f>+M323*1000/(126.5*4*12*60)*T323</f>
        <v>2.6357597716293371</v>
      </c>
      <c r="O323" s="14">
        <f>+SUM('31:29'!O323)</f>
        <v>0</v>
      </c>
      <c r="P323" s="145">
        <f t="shared" si="40"/>
        <v>0</v>
      </c>
      <c r="Q323" s="14">
        <f>+SUM('31:29'!Q323)</f>
        <v>0</v>
      </c>
      <c r="R323" s="19">
        <f t="shared" si="41"/>
        <v>0</v>
      </c>
      <c r="S323" s="145">
        <f t="shared" si="42"/>
        <v>0</v>
      </c>
      <c r="T323" s="20">
        <v>2</v>
      </c>
      <c r="U323" s="14">
        <f>+SUM('31:29'!U323)</f>
        <v>0</v>
      </c>
      <c r="V323" s="142" t="str">
        <f t="array" ref="V323">IF(ISERROR(L323/K323),"",L323/K323)</f>
        <v/>
      </c>
      <c r="W323" s="14">
        <f>+SUM('31:29'!W323)</f>
        <v>0</v>
      </c>
      <c r="X323" s="14">
        <f>+SUM('31:29'!X323)</f>
        <v>0</v>
      </c>
      <c r="Y323" s="14">
        <f>+SUM('31:29'!Y323)</f>
        <v>0</v>
      </c>
      <c r="Z323" s="14">
        <f>+SUM('31:29'!Z323)</f>
        <v>0</v>
      </c>
      <c r="AA323" s="14">
        <f>+SUM('31:29'!AA323)</f>
        <v>0</v>
      </c>
      <c r="AB323" s="14">
        <f>+SUM('31:29'!AB323)</f>
        <v>0</v>
      </c>
      <c r="AC323" s="14">
        <f>+SUM('31:29'!AC323)</f>
        <v>0</v>
      </c>
    </row>
    <row r="324" spans="1:29" s="2" customFormat="1" ht="21.95" customHeight="1">
      <c r="A324" s="141">
        <v>300097</v>
      </c>
      <c r="B324" s="138">
        <v>6502</v>
      </c>
      <c r="C324" s="232" t="s">
        <v>113</v>
      </c>
      <c r="D324" s="232" t="s">
        <v>114</v>
      </c>
      <c r="E324" s="42" t="s">
        <v>63</v>
      </c>
      <c r="F324" s="146"/>
      <c r="G324" s="14">
        <f>+SUM('31:29'!G324)</f>
        <v>12</v>
      </c>
      <c r="H324" s="14">
        <f>+SUM('31:29'!H324)</f>
        <v>0.4</v>
      </c>
      <c r="I324" s="14">
        <f>+SUM('31:29'!I324)</f>
        <v>10.9</v>
      </c>
      <c r="J324" s="14">
        <f>+SUM('31:29'!J324)</f>
        <v>150</v>
      </c>
      <c r="K324" s="145">
        <f t="shared" si="38"/>
        <v>5761.5599999999995</v>
      </c>
      <c r="L324" s="145">
        <f t="shared" si="39"/>
        <v>5233.4170000000004</v>
      </c>
      <c r="M324" s="145">
        <v>480.13</v>
      </c>
      <c r="N324" s="145">
        <f>+M324*1000/(126.5*4*12*60)*T324</f>
        <v>2.6357597716293371</v>
      </c>
      <c r="O324" s="14">
        <f>+SUM('31:29'!O324)</f>
        <v>0.5</v>
      </c>
      <c r="P324" s="145">
        <f t="shared" si="40"/>
        <v>31.229781510759775</v>
      </c>
      <c r="Q324" s="14">
        <f>+SUM('31:29'!Q324)</f>
        <v>8.5</v>
      </c>
      <c r="R324" s="19">
        <f t="shared" si="41"/>
        <v>42.5</v>
      </c>
      <c r="S324" s="145">
        <f t="shared" si="42"/>
        <v>11.270218489240225</v>
      </c>
      <c r="T324" s="20">
        <v>2</v>
      </c>
      <c r="U324" s="14">
        <f>+SUM('31:29'!U324)</f>
        <v>5</v>
      </c>
      <c r="V324" s="142">
        <f t="array" ref="V324">IF(ISERROR(L324/K324),"",L324/K324)</f>
        <v>0.90833333333333344</v>
      </c>
      <c r="W324" s="14">
        <f>+SUM('31:29'!W324)</f>
        <v>0</v>
      </c>
      <c r="X324" s="14">
        <f>+SUM('31:29'!X324)</f>
        <v>0</v>
      </c>
      <c r="Y324" s="14">
        <f>+SUM('31:29'!Y324)</f>
        <v>0</v>
      </c>
      <c r="Z324" s="14">
        <f>+SUM('31:29'!Z324)</f>
        <v>0</v>
      </c>
      <c r="AA324" s="14">
        <f>+SUM('31:29'!AA324)</f>
        <v>0</v>
      </c>
      <c r="AB324" s="14">
        <f>+SUM('31:29'!AB324)</f>
        <v>0</v>
      </c>
      <c r="AC324" s="14">
        <f>+SUM('31:29'!AC324)</f>
        <v>0</v>
      </c>
    </row>
    <row r="325" spans="1:29" s="2" customFormat="1" ht="21.95" customHeight="1">
      <c r="A325" s="135">
        <v>300294</v>
      </c>
      <c r="B325" s="135" t="s">
        <v>110</v>
      </c>
      <c r="C325" s="219" t="s">
        <v>115</v>
      </c>
      <c r="D325" s="219"/>
      <c r="E325" s="147" t="s">
        <v>41</v>
      </c>
      <c r="F325" s="146"/>
      <c r="G325" s="14">
        <f>+SUM('31:29'!G325)</f>
        <v>0</v>
      </c>
      <c r="H325" s="14">
        <f>+SUM('31:29'!H325)</f>
        <v>0</v>
      </c>
      <c r="I325" s="14">
        <f>+SUM('31:29'!I325)</f>
        <v>0</v>
      </c>
      <c r="J325" s="14">
        <f>+SUM('31:29'!J325)</f>
        <v>0</v>
      </c>
      <c r="K325" s="145">
        <f t="shared" si="38"/>
        <v>0</v>
      </c>
      <c r="L325" s="145">
        <f t="shared" si="39"/>
        <v>0</v>
      </c>
      <c r="M325" s="145">
        <v>373.14</v>
      </c>
      <c r="N325" s="145">
        <f t="shared" ref="N325:N334" si="44">+M325*1000/(90*4*14*60)*T325</f>
        <v>3.7017857142857142</v>
      </c>
      <c r="O325" s="14">
        <f>+SUM('31:29'!O325)</f>
        <v>0</v>
      </c>
      <c r="P325" s="145">
        <f t="shared" si="40"/>
        <v>0</v>
      </c>
      <c r="Q325" s="14">
        <f>+SUM('31:29'!Q325)</f>
        <v>0</v>
      </c>
      <c r="R325" s="19">
        <f t="shared" si="41"/>
        <v>0</v>
      </c>
      <c r="S325" s="145">
        <f t="shared" si="42"/>
        <v>0</v>
      </c>
      <c r="T325" s="20">
        <v>3</v>
      </c>
      <c r="U325" s="14">
        <f>+SUM('31:29'!U325)</f>
        <v>0</v>
      </c>
      <c r="V325" s="142" t="str">
        <f t="array" ref="V325">IF(ISERROR(L325/K325),"",L325/K325)</f>
        <v/>
      </c>
      <c r="W325" s="14">
        <f>+SUM('31:29'!W325)</f>
        <v>0</v>
      </c>
      <c r="X325" s="14">
        <f>+SUM('31:29'!X325)</f>
        <v>0</v>
      </c>
      <c r="Y325" s="14">
        <f>+SUM('31:29'!Y325)</f>
        <v>0</v>
      </c>
      <c r="Z325" s="14">
        <f>+SUM('31:29'!Z325)</f>
        <v>0</v>
      </c>
      <c r="AA325" s="14">
        <f>+SUM('31:29'!AA325)</f>
        <v>0</v>
      </c>
      <c r="AB325" s="14">
        <f>+SUM('31:29'!AB325)</f>
        <v>0</v>
      </c>
      <c r="AC325" s="14">
        <f>+SUM('31:29'!AC325)</f>
        <v>0</v>
      </c>
    </row>
    <row r="326" spans="1:29" s="2" customFormat="1" ht="21.95" customHeight="1">
      <c r="A326" s="135">
        <v>300295</v>
      </c>
      <c r="B326" s="135" t="s">
        <v>116</v>
      </c>
      <c r="C326" s="219" t="s">
        <v>117</v>
      </c>
      <c r="D326" s="219"/>
      <c r="E326" s="147" t="s">
        <v>118</v>
      </c>
      <c r="F326" s="146"/>
      <c r="G326" s="14">
        <f>+SUM('31:29'!G326)</f>
        <v>0</v>
      </c>
      <c r="H326" s="14">
        <f>+SUM('31:29'!H326)</f>
        <v>0</v>
      </c>
      <c r="I326" s="14">
        <f>+SUM('31:29'!I326)</f>
        <v>0</v>
      </c>
      <c r="J326" s="14">
        <f>+SUM('31:29'!J326)</f>
        <v>0</v>
      </c>
      <c r="K326" s="145">
        <f t="shared" si="38"/>
        <v>0</v>
      </c>
      <c r="L326" s="145">
        <f t="shared" si="39"/>
        <v>0</v>
      </c>
      <c r="M326" s="145">
        <v>373.14</v>
      </c>
      <c r="N326" s="145">
        <f t="shared" si="44"/>
        <v>3.7017857142857142</v>
      </c>
      <c r="O326" s="14">
        <f>+SUM('31:29'!O326)</f>
        <v>0</v>
      </c>
      <c r="P326" s="145">
        <f t="shared" si="40"/>
        <v>0</v>
      </c>
      <c r="Q326" s="14">
        <f>+SUM('31:29'!Q326)</f>
        <v>0</v>
      </c>
      <c r="R326" s="19">
        <f t="shared" si="41"/>
        <v>0</v>
      </c>
      <c r="S326" s="145">
        <f t="shared" si="42"/>
        <v>0</v>
      </c>
      <c r="T326" s="20">
        <v>3</v>
      </c>
      <c r="U326" s="14">
        <f>+SUM('31:29'!U326)</f>
        <v>0</v>
      </c>
      <c r="V326" s="142" t="str">
        <f t="array" ref="V326">IF(ISERROR(L326/K326),"",L326/K326)</f>
        <v/>
      </c>
      <c r="W326" s="14">
        <f>+SUM('31:29'!W326)</f>
        <v>0</v>
      </c>
      <c r="X326" s="14">
        <f>+SUM('31:29'!X326)</f>
        <v>0</v>
      </c>
      <c r="Y326" s="14">
        <f>+SUM('31:29'!Y326)</f>
        <v>0</v>
      </c>
      <c r="Z326" s="14">
        <f>+SUM('31:29'!Z326)</f>
        <v>0</v>
      </c>
      <c r="AA326" s="14">
        <f>+SUM('31:29'!AA326)</f>
        <v>0</v>
      </c>
      <c r="AB326" s="14">
        <f>+SUM('31:29'!AB326)</f>
        <v>0</v>
      </c>
      <c r="AC326" s="14">
        <f>+SUM('31:29'!AC326)</f>
        <v>0</v>
      </c>
    </row>
    <row r="327" spans="1:29" s="2" customFormat="1" ht="21.95" customHeight="1">
      <c r="A327" s="135">
        <v>300258</v>
      </c>
      <c r="B327" s="135" t="s">
        <v>110</v>
      </c>
      <c r="C327" s="219" t="s">
        <v>115</v>
      </c>
      <c r="D327" s="219"/>
      <c r="E327" s="147" t="s">
        <v>42</v>
      </c>
      <c r="F327" s="146"/>
      <c r="G327" s="14">
        <f>+SUM('31:29'!G327)</f>
        <v>0</v>
      </c>
      <c r="H327" s="14">
        <f>+SUM('31:29'!H327)</f>
        <v>0</v>
      </c>
      <c r="I327" s="14">
        <f>+SUM('31:29'!I327)</f>
        <v>0</v>
      </c>
      <c r="J327" s="14">
        <f>+SUM('31:29'!J327)</f>
        <v>0</v>
      </c>
      <c r="K327" s="145">
        <f t="shared" si="38"/>
        <v>0</v>
      </c>
      <c r="L327" s="145">
        <f t="shared" si="39"/>
        <v>0</v>
      </c>
      <c r="M327" s="145">
        <v>373.14</v>
      </c>
      <c r="N327" s="145">
        <f t="shared" si="44"/>
        <v>3.7017857142857142</v>
      </c>
      <c r="O327" s="14">
        <f>+SUM('31:29'!O327)</f>
        <v>0</v>
      </c>
      <c r="P327" s="145">
        <f t="shared" si="40"/>
        <v>0</v>
      </c>
      <c r="Q327" s="14">
        <f>+SUM('31:29'!Q327)</f>
        <v>0</v>
      </c>
      <c r="R327" s="19">
        <f t="shared" si="41"/>
        <v>0</v>
      </c>
      <c r="S327" s="145">
        <f t="shared" si="42"/>
        <v>0</v>
      </c>
      <c r="T327" s="20">
        <v>3</v>
      </c>
      <c r="U327" s="14">
        <f>+SUM('31:29'!U327)</f>
        <v>0</v>
      </c>
      <c r="V327" s="142" t="str">
        <f t="array" ref="V327">IF(ISERROR(L327/K327),"",L327/K327)</f>
        <v/>
      </c>
      <c r="W327" s="14">
        <f>+SUM('31:29'!W327)</f>
        <v>0</v>
      </c>
      <c r="X327" s="14">
        <f>+SUM('31:29'!X327)</f>
        <v>0</v>
      </c>
      <c r="Y327" s="14">
        <f>+SUM('31:29'!Y327)</f>
        <v>0</v>
      </c>
      <c r="Z327" s="14">
        <f>+SUM('31:29'!Z327)</f>
        <v>0</v>
      </c>
      <c r="AA327" s="14">
        <f>+SUM('31:29'!AA327)</f>
        <v>0</v>
      </c>
      <c r="AB327" s="14">
        <f>+SUM('31:29'!AB327)</f>
        <v>0</v>
      </c>
      <c r="AC327" s="14">
        <f>+SUM('31:29'!AC327)</f>
        <v>0</v>
      </c>
    </row>
    <row r="328" spans="1:29" s="2" customFormat="1" ht="21.95" customHeight="1">
      <c r="A328" s="135">
        <v>300256</v>
      </c>
      <c r="B328" s="135" t="s">
        <v>110</v>
      </c>
      <c r="C328" s="219" t="s">
        <v>115</v>
      </c>
      <c r="D328" s="219"/>
      <c r="E328" s="147" t="s">
        <v>74</v>
      </c>
      <c r="F328" s="146"/>
      <c r="G328" s="14">
        <f>+SUM('31:29'!G328)</f>
        <v>0</v>
      </c>
      <c r="H328" s="14">
        <f>+SUM('31:29'!H328)</f>
        <v>0</v>
      </c>
      <c r="I328" s="14">
        <f>+SUM('31:29'!I328)</f>
        <v>0</v>
      </c>
      <c r="J328" s="14">
        <f>+SUM('31:29'!J328)</f>
        <v>0</v>
      </c>
      <c r="K328" s="145">
        <f t="shared" si="38"/>
        <v>0</v>
      </c>
      <c r="L328" s="145">
        <f t="shared" si="39"/>
        <v>0</v>
      </c>
      <c r="M328" s="145">
        <v>373.14</v>
      </c>
      <c r="N328" s="145">
        <f t="shared" si="44"/>
        <v>3.7017857142857142</v>
      </c>
      <c r="O328" s="14">
        <f>+SUM('31:29'!O328)</f>
        <v>0</v>
      </c>
      <c r="P328" s="145">
        <f t="shared" si="40"/>
        <v>0</v>
      </c>
      <c r="Q328" s="14">
        <f>+SUM('31:29'!Q328)</f>
        <v>0</v>
      </c>
      <c r="R328" s="19">
        <f t="shared" si="41"/>
        <v>0</v>
      </c>
      <c r="S328" s="145">
        <f t="shared" si="42"/>
        <v>0</v>
      </c>
      <c r="T328" s="20">
        <v>3</v>
      </c>
      <c r="U328" s="14">
        <f>+SUM('31:29'!U328)</f>
        <v>0</v>
      </c>
      <c r="V328" s="142" t="str">
        <f t="array" ref="V328">IF(ISERROR(L328/K328),"",L328/K328)</f>
        <v/>
      </c>
      <c r="W328" s="14">
        <f>+SUM('31:29'!W328)</f>
        <v>0</v>
      </c>
      <c r="X328" s="14">
        <f>+SUM('31:29'!X328)</f>
        <v>0</v>
      </c>
      <c r="Y328" s="14">
        <f>+SUM('31:29'!Y328)</f>
        <v>0</v>
      </c>
      <c r="Z328" s="14">
        <f>+SUM('31:29'!Z328)</f>
        <v>0</v>
      </c>
      <c r="AA328" s="14">
        <f>+SUM('31:29'!AA328)</f>
        <v>0</v>
      </c>
      <c r="AB328" s="14">
        <f>+SUM('31:29'!AB328)</f>
        <v>0</v>
      </c>
      <c r="AC328" s="14">
        <f>+SUM('31:29'!AC328)</f>
        <v>0</v>
      </c>
    </row>
    <row r="329" spans="1:29" s="2" customFormat="1" ht="21.95" customHeight="1">
      <c r="A329" s="135">
        <v>300259</v>
      </c>
      <c r="B329" s="135" t="s">
        <v>110</v>
      </c>
      <c r="C329" s="219" t="s">
        <v>115</v>
      </c>
      <c r="D329" s="219"/>
      <c r="E329" s="147" t="s">
        <v>40</v>
      </c>
      <c r="F329" s="146"/>
      <c r="G329" s="14">
        <f>+SUM('31:29'!G329)</f>
        <v>0</v>
      </c>
      <c r="H329" s="14">
        <f>+SUM('31:29'!H329)</f>
        <v>0</v>
      </c>
      <c r="I329" s="14">
        <f>+SUM('31:29'!I329)</f>
        <v>0</v>
      </c>
      <c r="J329" s="14">
        <f>+SUM('31:29'!J329)</f>
        <v>0</v>
      </c>
      <c r="K329" s="145">
        <f t="shared" si="38"/>
        <v>0</v>
      </c>
      <c r="L329" s="145">
        <f t="shared" si="39"/>
        <v>0</v>
      </c>
      <c r="M329" s="145">
        <v>373.14</v>
      </c>
      <c r="N329" s="145">
        <f t="shared" si="44"/>
        <v>3.7017857142857142</v>
      </c>
      <c r="O329" s="14">
        <f>+SUM('31:29'!O329)</f>
        <v>0</v>
      </c>
      <c r="P329" s="145">
        <f t="shared" si="40"/>
        <v>0</v>
      </c>
      <c r="Q329" s="14">
        <f>+SUM('31:29'!Q329)</f>
        <v>0</v>
      </c>
      <c r="R329" s="19">
        <f t="shared" si="41"/>
        <v>0</v>
      </c>
      <c r="S329" s="145">
        <f t="shared" si="42"/>
        <v>0</v>
      </c>
      <c r="T329" s="20">
        <v>3</v>
      </c>
      <c r="U329" s="14">
        <f>+SUM('31:29'!U329)</f>
        <v>0</v>
      </c>
      <c r="V329" s="142" t="str">
        <f t="array" ref="V329">IF(ISERROR(L329/K329),"",L329/K329)</f>
        <v/>
      </c>
      <c r="W329" s="14">
        <f>+SUM('31:29'!W329)</f>
        <v>0</v>
      </c>
      <c r="X329" s="14">
        <f>+SUM('31:29'!X329)</f>
        <v>0</v>
      </c>
      <c r="Y329" s="14">
        <f>+SUM('31:29'!Y329)</f>
        <v>0</v>
      </c>
      <c r="Z329" s="14">
        <f>+SUM('31:29'!Z329)</f>
        <v>0</v>
      </c>
      <c r="AA329" s="14">
        <f>+SUM('31:29'!AA329)</f>
        <v>0</v>
      </c>
      <c r="AB329" s="14">
        <f>+SUM('31:29'!AB329)</f>
        <v>0</v>
      </c>
      <c r="AC329" s="14">
        <f>+SUM('31:29'!AC329)</f>
        <v>0</v>
      </c>
    </row>
    <row r="330" spans="1:29" s="2" customFormat="1" ht="21.95" customHeight="1">
      <c r="A330" s="135">
        <v>300345</v>
      </c>
      <c r="B330" s="135" t="s">
        <v>110</v>
      </c>
      <c r="C330" s="219" t="s">
        <v>119</v>
      </c>
      <c r="D330" s="219"/>
      <c r="E330" s="147" t="s">
        <v>74</v>
      </c>
      <c r="F330" s="146"/>
      <c r="G330" s="14">
        <f>+SUM('31:29'!G330)</f>
        <v>0</v>
      </c>
      <c r="H330" s="14">
        <f>+SUM('31:29'!H330)</f>
        <v>0</v>
      </c>
      <c r="I330" s="14">
        <f>+SUM('31:29'!I330)</f>
        <v>0</v>
      </c>
      <c r="J330" s="14">
        <f>+SUM('31:29'!J330)</f>
        <v>0</v>
      </c>
      <c r="K330" s="145">
        <f t="shared" si="38"/>
        <v>0</v>
      </c>
      <c r="L330" s="145">
        <f t="shared" si="39"/>
        <v>0</v>
      </c>
      <c r="M330" s="145">
        <v>373.14</v>
      </c>
      <c r="N330" s="145">
        <f t="shared" si="44"/>
        <v>3.7017857142857142</v>
      </c>
      <c r="O330" s="14">
        <f>+SUM('31:29'!O330)</f>
        <v>0</v>
      </c>
      <c r="P330" s="145">
        <f t="shared" si="40"/>
        <v>0</v>
      </c>
      <c r="Q330" s="14">
        <f>+SUM('31:29'!Q330)</f>
        <v>0</v>
      </c>
      <c r="R330" s="19">
        <f t="shared" si="41"/>
        <v>0</v>
      </c>
      <c r="S330" s="145">
        <f t="shared" si="42"/>
        <v>0</v>
      </c>
      <c r="T330" s="20">
        <v>3</v>
      </c>
      <c r="U330" s="14">
        <f>+SUM('31:29'!U330)</f>
        <v>0</v>
      </c>
      <c r="V330" s="142"/>
      <c r="W330" s="14">
        <f>+SUM('31:29'!W330)</f>
        <v>0</v>
      </c>
      <c r="X330" s="14">
        <f>+SUM('31:29'!X330)</f>
        <v>0</v>
      </c>
      <c r="Y330" s="14">
        <f>+SUM('31:29'!Y330)</f>
        <v>0</v>
      </c>
      <c r="Z330" s="14">
        <f>+SUM('31:29'!Z330)</f>
        <v>0</v>
      </c>
      <c r="AA330" s="14">
        <f>+SUM('31:29'!AA330)</f>
        <v>0</v>
      </c>
      <c r="AB330" s="14">
        <f>+SUM('31:29'!AB330)</f>
        <v>0</v>
      </c>
      <c r="AC330" s="14">
        <f>+SUM('31:29'!AC330)</f>
        <v>0</v>
      </c>
    </row>
    <row r="331" spans="1:29" s="2" customFormat="1" ht="21.95" customHeight="1">
      <c r="A331" s="135">
        <v>300346</v>
      </c>
      <c r="B331" s="135" t="s">
        <v>110</v>
      </c>
      <c r="C331" s="219" t="s">
        <v>119</v>
      </c>
      <c r="D331" s="219"/>
      <c r="E331" s="147" t="s">
        <v>42</v>
      </c>
      <c r="F331" s="146"/>
      <c r="G331" s="14">
        <f>+SUM('31:29'!G331)</f>
        <v>0</v>
      </c>
      <c r="H331" s="14">
        <f>+SUM('31:29'!H331)</f>
        <v>0</v>
      </c>
      <c r="I331" s="14">
        <f>+SUM('31:29'!I331)</f>
        <v>0</v>
      </c>
      <c r="J331" s="14">
        <f>+SUM('31:29'!J331)</f>
        <v>0</v>
      </c>
      <c r="K331" s="145">
        <f t="shared" si="38"/>
        <v>0</v>
      </c>
      <c r="L331" s="145">
        <f t="shared" si="39"/>
        <v>0</v>
      </c>
      <c r="M331" s="145">
        <v>373.14</v>
      </c>
      <c r="N331" s="145">
        <f t="shared" si="44"/>
        <v>3.7017857142857142</v>
      </c>
      <c r="O331" s="14">
        <f>+SUM('31:29'!O331)</f>
        <v>0</v>
      </c>
      <c r="P331" s="145">
        <f t="shared" si="40"/>
        <v>0</v>
      </c>
      <c r="Q331" s="14">
        <f>+SUM('31:29'!Q331)</f>
        <v>0</v>
      </c>
      <c r="R331" s="19">
        <f t="shared" si="41"/>
        <v>0</v>
      </c>
      <c r="S331" s="145">
        <f t="shared" si="42"/>
        <v>0</v>
      </c>
      <c r="T331" s="20">
        <v>3</v>
      </c>
      <c r="U331" s="14">
        <f>+SUM('31:29'!U331)</f>
        <v>0</v>
      </c>
      <c r="V331" s="142"/>
      <c r="W331" s="14">
        <f>+SUM('31:29'!W331)</f>
        <v>0</v>
      </c>
      <c r="X331" s="14">
        <f>+SUM('31:29'!X331)</f>
        <v>0</v>
      </c>
      <c r="Y331" s="14">
        <f>+SUM('31:29'!Y331)</f>
        <v>0</v>
      </c>
      <c r="Z331" s="14">
        <f>+SUM('31:29'!Z331)</f>
        <v>0</v>
      </c>
      <c r="AA331" s="14">
        <f>+SUM('31:29'!AA331)</f>
        <v>0</v>
      </c>
      <c r="AB331" s="14">
        <f>+SUM('31:29'!AB331)</f>
        <v>0</v>
      </c>
      <c r="AC331" s="14">
        <f>+SUM('31:29'!AC331)</f>
        <v>0</v>
      </c>
    </row>
    <row r="332" spans="1:29" s="2" customFormat="1" ht="21.95" customHeight="1">
      <c r="A332" s="135">
        <v>300347</v>
      </c>
      <c r="B332" s="135" t="s">
        <v>110</v>
      </c>
      <c r="C332" s="219" t="s">
        <v>119</v>
      </c>
      <c r="D332" s="219"/>
      <c r="E332" s="147" t="s">
        <v>41</v>
      </c>
      <c r="F332" s="146"/>
      <c r="G332" s="14">
        <f>+SUM('31:29'!G332)</f>
        <v>0</v>
      </c>
      <c r="H332" s="14">
        <f>+SUM('31:29'!H332)</f>
        <v>0</v>
      </c>
      <c r="I332" s="14">
        <f>+SUM('31:29'!I332)</f>
        <v>0</v>
      </c>
      <c r="J332" s="14">
        <f>+SUM('31:29'!J332)</f>
        <v>0</v>
      </c>
      <c r="K332" s="145">
        <f t="shared" si="38"/>
        <v>0</v>
      </c>
      <c r="L332" s="145">
        <f t="shared" si="39"/>
        <v>0</v>
      </c>
      <c r="M332" s="145">
        <v>373.14</v>
      </c>
      <c r="N332" s="145">
        <f t="shared" si="44"/>
        <v>3.7017857142857142</v>
      </c>
      <c r="O332" s="14">
        <f>+SUM('31:29'!O332)</f>
        <v>0</v>
      </c>
      <c r="P332" s="145">
        <f t="shared" si="40"/>
        <v>0</v>
      </c>
      <c r="Q332" s="14">
        <f>+SUM('31:29'!Q332)</f>
        <v>0</v>
      </c>
      <c r="R332" s="19">
        <f t="shared" si="41"/>
        <v>0</v>
      </c>
      <c r="S332" s="145">
        <f t="shared" si="42"/>
        <v>0</v>
      </c>
      <c r="T332" s="20">
        <v>3</v>
      </c>
      <c r="U332" s="14">
        <f>+SUM('31:29'!U332)</f>
        <v>0</v>
      </c>
      <c r="V332" s="142"/>
      <c r="W332" s="14">
        <f>+SUM('31:29'!W332)</f>
        <v>0</v>
      </c>
      <c r="X332" s="14">
        <f>+SUM('31:29'!X332)</f>
        <v>0</v>
      </c>
      <c r="Y332" s="14">
        <f>+SUM('31:29'!Y332)</f>
        <v>0</v>
      </c>
      <c r="Z332" s="14">
        <f>+SUM('31:29'!Z332)</f>
        <v>0</v>
      </c>
      <c r="AA332" s="14">
        <f>+SUM('31:29'!AA332)</f>
        <v>0</v>
      </c>
      <c r="AB332" s="14">
        <f>+SUM('31:29'!AB332)</f>
        <v>0</v>
      </c>
      <c r="AC332" s="14">
        <f>+SUM('31:29'!AC332)</f>
        <v>0</v>
      </c>
    </row>
    <row r="333" spans="1:29" s="2" customFormat="1" ht="21.95" customHeight="1">
      <c r="A333" s="135">
        <v>300348</v>
      </c>
      <c r="B333" s="135" t="s">
        <v>110</v>
      </c>
      <c r="C333" s="219" t="s">
        <v>119</v>
      </c>
      <c r="D333" s="219"/>
      <c r="E333" s="147" t="s">
        <v>118</v>
      </c>
      <c r="F333" s="146"/>
      <c r="G333" s="14">
        <f>+SUM('31:29'!G333)</f>
        <v>0</v>
      </c>
      <c r="H333" s="14">
        <f>+SUM('31:29'!H333)</f>
        <v>0</v>
      </c>
      <c r="I333" s="14">
        <f>+SUM('31:29'!I333)</f>
        <v>0</v>
      </c>
      <c r="J333" s="14">
        <f>+SUM('31:29'!J333)</f>
        <v>0</v>
      </c>
      <c r="K333" s="145">
        <f t="shared" si="38"/>
        <v>0</v>
      </c>
      <c r="L333" s="145">
        <f t="shared" si="39"/>
        <v>0</v>
      </c>
      <c r="M333" s="145">
        <v>373.14</v>
      </c>
      <c r="N333" s="145">
        <f t="shared" si="44"/>
        <v>3.7017857142857142</v>
      </c>
      <c r="O333" s="14">
        <f>+SUM('31:29'!O333)</f>
        <v>0</v>
      </c>
      <c r="P333" s="145">
        <f t="shared" si="40"/>
        <v>0</v>
      </c>
      <c r="Q333" s="14">
        <f>+SUM('31:29'!Q333)</f>
        <v>0</v>
      </c>
      <c r="R333" s="19">
        <f t="shared" si="41"/>
        <v>0</v>
      </c>
      <c r="S333" s="145">
        <f t="shared" si="42"/>
        <v>0</v>
      </c>
      <c r="T333" s="20">
        <v>3</v>
      </c>
      <c r="U333" s="14">
        <f>+SUM('31:29'!U333)</f>
        <v>0</v>
      </c>
      <c r="V333" s="142"/>
      <c r="W333" s="14">
        <f>+SUM('31:29'!W333)</f>
        <v>0</v>
      </c>
      <c r="X333" s="14">
        <f>+SUM('31:29'!X333)</f>
        <v>0</v>
      </c>
      <c r="Y333" s="14">
        <f>+SUM('31:29'!Y333)</f>
        <v>0</v>
      </c>
      <c r="Z333" s="14">
        <f>+SUM('31:29'!Z333)</f>
        <v>0</v>
      </c>
      <c r="AA333" s="14">
        <f>+SUM('31:29'!AA333)</f>
        <v>0</v>
      </c>
      <c r="AB333" s="14">
        <f>+SUM('31:29'!AB333)</f>
        <v>0</v>
      </c>
      <c r="AC333" s="14">
        <f>+SUM('31:29'!AC333)</f>
        <v>0</v>
      </c>
    </row>
    <row r="334" spans="1:29" s="2" customFormat="1" ht="21.95" customHeight="1">
      <c r="A334" s="135">
        <v>300349</v>
      </c>
      <c r="B334" s="135" t="s">
        <v>110</v>
      </c>
      <c r="C334" s="219" t="s">
        <v>119</v>
      </c>
      <c r="D334" s="219"/>
      <c r="E334" s="147" t="s">
        <v>40</v>
      </c>
      <c r="F334" s="146"/>
      <c r="G334" s="14">
        <f>+SUM('31:29'!G334)</f>
        <v>0</v>
      </c>
      <c r="H334" s="14">
        <f>+SUM('31:29'!H334)</f>
        <v>0</v>
      </c>
      <c r="I334" s="14">
        <f>+SUM('31:29'!I334)</f>
        <v>0</v>
      </c>
      <c r="J334" s="14">
        <f>+SUM('31:29'!J334)</f>
        <v>0</v>
      </c>
      <c r="K334" s="145">
        <f t="shared" si="38"/>
        <v>0</v>
      </c>
      <c r="L334" s="145">
        <f t="shared" si="39"/>
        <v>0</v>
      </c>
      <c r="M334" s="145">
        <v>373.14</v>
      </c>
      <c r="N334" s="145">
        <f t="shared" si="44"/>
        <v>3.7017857142857142</v>
      </c>
      <c r="O334" s="14">
        <f>+SUM('31:29'!O334)</f>
        <v>0</v>
      </c>
      <c r="P334" s="145">
        <f t="shared" si="40"/>
        <v>0</v>
      </c>
      <c r="Q334" s="14">
        <f>+SUM('31:29'!Q334)</f>
        <v>0</v>
      </c>
      <c r="R334" s="19">
        <f t="shared" si="41"/>
        <v>0</v>
      </c>
      <c r="S334" s="145">
        <f t="shared" si="42"/>
        <v>0</v>
      </c>
      <c r="T334" s="20">
        <v>3</v>
      </c>
      <c r="U334" s="14">
        <f>+SUM('31:29'!U334)</f>
        <v>0</v>
      </c>
      <c r="V334" s="142"/>
      <c r="W334" s="14">
        <f>+SUM('31:29'!W334)</f>
        <v>0</v>
      </c>
      <c r="X334" s="14">
        <f>+SUM('31:29'!X334)</f>
        <v>0</v>
      </c>
      <c r="Y334" s="14">
        <f>+SUM('31:29'!Y334)</f>
        <v>0</v>
      </c>
      <c r="Z334" s="14">
        <f>+SUM('31:29'!Z334)</f>
        <v>0</v>
      </c>
      <c r="AA334" s="14">
        <f>+SUM('31:29'!AA334)</f>
        <v>0</v>
      </c>
      <c r="AB334" s="14">
        <f>+SUM('31:29'!AB334)</f>
        <v>0</v>
      </c>
      <c r="AC334" s="14">
        <f>+SUM('31:29'!AC334)</f>
        <v>0</v>
      </c>
    </row>
    <row r="335" spans="1:29" s="2" customFormat="1" ht="21.95" customHeight="1">
      <c r="A335" s="135">
        <v>300298</v>
      </c>
      <c r="B335" s="135" t="s">
        <v>110</v>
      </c>
      <c r="C335" s="219" t="s">
        <v>120</v>
      </c>
      <c r="D335" s="219"/>
      <c r="E335" s="147" t="s">
        <v>54</v>
      </c>
      <c r="F335" s="146"/>
      <c r="G335" s="14">
        <f>+SUM('31:29'!G335)</f>
        <v>0</v>
      </c>
      <c r="H335" s="14">
        <f>+SUM('31:29'!H335)</f>
        <v>0</v>
      </c>
      <c r="I335" s="14">
        <f>+SUM('31:29'!I335)</f>
        <v>0</v>
      </c>
      <c r="J335" s="14">
        <f>+SUM('31:29'!J335)</f>
        <v>0</v>
      </c>
      <c r="K335" s="145">
        <f t="shared" si="38"/>
        <v>0</v>
      </c>
      <c r="L335" s="145">
        <f t="shared" si="39"/>
        <v>0</v>
      </c>
      <c r="M335" s="145">
        <v>380.63</v>
      </c>
      <c r="N335" s="145">
        <f t="shared" ref="N335:N340" si="45">+M335*1000/(94.7*4*15*60)*T335</f>
        <v>4.4659157573624313</v>
      </c>
      <c r="O335" s="14">
        <f>+SUM('31:29'!O335)</f>
        <v>0</v>
      </c>
      <c r="P335" s="145">
        <f t="shared" si="40"/>
        <v>0</v>
      </c>
      <c r="Q335" s="14">
        <f>+SUM('31:29'!Q335)</f>
        <v>0</v>
      </c>
      <c r="R335" s="19">
        <f t="shared" si="41"/>
        <v>0</v>
      </c>
      <c r="S335" s="145">
        <f t="shared" si="42"/>
        <v>0</v>
      </c>
      <c r="T335" s="20">
        <v>4</v>
      </c>
      <c r="U335" s="14">
        <f>+SUM('31:29'!U335)</f>
        <v>0</v>
      </c>
      <c r="V335" s="142" t="str">
        <f t="array" ref="V335">IF(ISERROR(L335/K335),"",L335/K335)</f>
        <v/>
      </c>
      <c r="W335" s="14">
        <f>+SUM('31:29'!W335)</f>
        <v>0</v>
      </c>
      <c r="X335" s="14">
        <f>+SUM('31:29'!X335)</f>
        <v>0</v>
      </c>
      <c r="Y335" s="14">
        <f>+SUM('31:29'!Y335)</f>
        <v>0</v>
      </c>
      <c r="Z335" s="14">
        <f>+SUM('31:29'!Z335)</f>
        <v>0</v>
      </c>
      <c r="AA335" s="14">
        <f>+SUM('31:29'!AA335)</f>
        <v>0</v>
      </c>
      <c r="AB335" s="14">
        <f>+SUM('31:29'!AB335)</f>
        <v>0</v>
      </c>
      <c r="AC335" s="14">
        <f>+SUM('31:29'!AC335)</f>
        <v>0</v>
      </c>
    </row>
    <row r="336" spans="1:29" s="2" customFormat="1" ht="21.95" customHeight="1">
      <c r="A336" s="135">
        <v>300299</v>
      </c>
      <c r="B336" s="135" t="s">
        <v>110</v>
      </c>
      <c r="C336" s="219" t="s">
        <v>120</v>
      </c>
      <c r="D336" s="219"/>
      <c r="E336" s="147" t="s">
        <v>39</v>
      </c>
      <c r="F336" s="146"/>
      <c r="G336" s="14">
        <f>+SUM('31:29'!G336)</f>
        <v>0</v>
      </c>
      <c r="H336" s="14">
        <f>+SUM('31:29'!H336)</f>
        <v>0</v>
      </c>
      <c r="I336" s="14">
        <f>+SUM('31:29'!I336)</f>
        <v>0</v>
      </c>
      <c r="J336" s="14">
        <f>+SUM('31:29'!J336)</f>
        <v>0</v>
      </c>
      <c r="K336" s="145">
        <f t="shared" si="38"/>
        <v>0</v>
      </c>
      <c r="L336" s="145">
        <f t="shared" si="39"/>
        <v>0</v>
      </c>
      <c r="M336" s="145">
        <v>380.63</v>
      </c>
      <c r="N336" s="145">
        <f t="shared" si="45"/>
        <v>4.4659157573624313</v>
      </c>
      <c r="O336" s="14">
        <f>+SUM('31:29'!O336)</f>
        <v>0</v>
      </c>
      <c r="P336" s="145">
        <f t="shared" si="40"/>
        <v>0</v>
      </c>
      <c r="Q336" s="14">
        <f>+SUM('31:29'!Q336)</f>
        <v>0</v>
      </c>
      <c r="R336" s="19">
        <f t="shared" si="41"/>
        <v>0</v>
      </c>
      <c r="S336" s="145">
        <f t="shared" si="42"/>
        <v>0</v>
      </c>
      <c r="T336" s="20">
        <v>4</v>
      </c>
      <c r="U336" s="14">
        <f>+SUM('31:29'!U336)</f>
        <v>0</v>
      </c>
      <c r="V336" s="142" t="str">
        <f t="array" ref="V336">IF(ISERROR(L336/K336),"",L336/K336)</f>
        <v/>
      </c>
      <c r="W336" s="14">
        <f>+SUM('31:29'!W336)</f>
        <v>0</v>
      </c>
      <c r="X336" s="14">
        <f>+SUM('31:29'!X336)</f>
        <v>0</v>
      </c>
      <c r="Y336" s="14">
        <f>+SUM('31:29'!Y336)</f>
        <v>0</v>
      </c>
      <c r="Z336" s="14">
        <f>+SUM('31:29'!Z336)</f>
        <v>0</v>
      </c>
      <c r="AA336" s="14">
        <f>+SUM('31:29'!AA336)</f>
        <v>0</v>
      </c>
      <c r="AB336" s="14">
        <f>+SUM('31:29'!AB336)</f>
        <v>0</v>
      </c>
      <c r="AC336" s="14">
        <f>+SUM('31:29'!AC336)</f>
        <v>0</v>
      </c>
    </row>
    <row r="337" spans="1:29" s="2" customFormat="1" ht="21.95" customHeight="1">
      <c r="A337" s="135">
        <v>300296</v>
      </c>
      <c r="B337" s="135" t="s">
        <v>110</v>
      </c>
      <c r="C337" s="219" t="s">
        <v>120</v>
      </c>
      <c r="D337" s="219"/>
      <c r="E337" s="147" t="s">
        <v>41</v>
      </c>
      <c r="F337" s="146"/>
      <c r="G337" s="14">
        <f>+SUM('31:29'!G337)</f>
        <v>0</v>
      </c>
      <c r="H337" s="14">
        <f>+SUM('31:29'!H337)</f>
        <v>0</v>
      </c>
      <c r="I337" s="14">
        <f>+SUM('31:29'!I337)</f>
        <v>0</v>
      </c>
      <c r="J337" s="14">
        <f>+SUM('31:29'!J337)</f>
        <v>0</v>
      </c>
      <c r="K337" s="145">
        <f t="shared" si="38"/>
        <v>0</v>
      </c>
      <c r="L337" s="145">
        <f t="shared" si="39"/>
        <v>0</v>
      </c>
      <c r="M337" s="145">
        <v>380.63</v>
      </c>
      <c r="N337" s="145">
        <f t="shared" si="45"/>
        <v>4.4659157573624313</v>
      </c>
      <c r="O337" s="14">
        <f>+SUM('31:29'!O337)</f>
        <v>0</v>
      </c>
      <c r="P337" s="145">
        <f t="shared" si="40"/>
        <v>0</v>
      </c>
      <c r="Q337" s="14">
        <f>+SUM('31:29'!Q337)</f>
        <v>0</v>
      </c>
      <c r="R337" s="19">
        <f t="shared" si="41"/>
        <v>0</v>
      </c>
      <c r="S337" s="145">
        <f t="shared" si="42"/>
        <v>0</v>
      </c>
      <c r="T337" s="20">
        <v>4</v>
      </c>
      <c r="U337" s="14">
        <f>+SUM('31:29'!U337)</f>
        <v>0</v>
      </c>
      <c r="V337" s="142" t="str">
        <f t="array" ref="V337">IF(ISERROR(L337/K337),"",L337/K337)</f>
        <v/>
      </c>
      <c r="W337" s="14">
        <f>+SUM('31:29'!W337)</f>
        <v>0</v>
      </c>
      <c r="X337" s="14">
        <f>+SUM('31:29'!X337)</f>
        <v>0</v>
      </c>
      <c r="Y337" s="14">
        <f>+SUM('31:29'!Y337)</f>
        <v>0</v>
      </c>
      <c r="Z337" s="14">
        <f>+SUM('31:29'!Z337)</f>
        <v>0</v>
      </c>
      <c r="AA337" s="14">
        <f>+SUM('31:29'!AA337)</f>
        <v>0</v>
      </c>
      <c r="AB337" s="14">
        <f>+SUM('31:29'!AB337)</f>
        <v>0</v>
      </c>
      <c r="AC337" s="14">
        <f>+SUM('31:29'!AC337)</f>
        <v>0</v>
      </c>
    </row>
    <row r="338" spans="1:29" s="2" customFormat="1" ht="21.95" customHeight="1">
      <c r="A338" s="135">
        <v>300297</v>
      </c>
      <c r="B338" s="135" t="s">
        <v>110</v>
      </c>
      <c r="C338" s="219" t="s">
        <v>120</v>
      </c>
      <c r="D338" s="219"/>
      <c r="E338" s="147" t="s">
        <v>37</v>
      </c>
      <c r="F338" s="146"/>
      <c r="G338" s="14">
        <f>+SUM('31:29'!G338)</f>
        <v>0</v>
      </c>
      <c r="H338" s="14">
        <f>+SUM('31:29'!H338)</f>
        <v>0</v>
      </c>
      <c r="I338" s="14">
        <f>+SUM('31:29'!I338)</f>
        <v>0</v>
      </c>
      <c r="J338" s="14">
        <f>+SUM('31:29'!J338)</f>
        <v>0</v>
      </c>
      <c r="K338" s="145">
        <f t="shared" si="38"/>
        <v>0</v>
      </c>
      <c r="L338" s="145">
        <f t="shared" si="39"/>
        <v>0</v>
      </c>
      <c r="M338" s="145">
        <v>380.63</v>
      </c>
      <c r="N338" s="145">
        <f t="shared" si="45"/>
        <v>4.4659157573624313</v>
      </c>
      <c r="O338" s="14">
        <f>+SUM('31:29'!O338)</f>
        <v>0</v>
      </c>
      <c r="P338" s="145">
        <f t="shared" si="40"/>
        <v>0</v>
      </c>
      <c r="Q338" s="14">
        <f>+SUM('31:29'!Q338)</f>
        <v>0</v>
      </c>
      <c r="R338" s="19">
        <f t="shared" si="41"/>
        <v>0</v>
      </c>
      <c r="S338" s="145">
        <f t="shared" si="42"/>
        <v>0</v>
      </c>
      <c r="T338" s="20">
        <v>4</v>
      </c>
      <c r="U338" s="14">
        <f>+SUM('31:29'!U338)</f>
        <v>0</v>
      </c>
      <c r="V338" s="142" t="str">
        <f t="array" ref="V338">IF(ISERROR(L338/K338),"",L338/K338)</f>
        <v/>
      </c>
      <c r="W338" s="14">
        <f>+SUM('31:29'!W338)</f>
        <v>0</v>
      </c>
      <c r="X338" s="14">
        <f>+SUM('31:29'!X338)</f>
        <v>0</v>
      </c>
      <c r="Y338" s="14">
        <f>+SUM('31:29'!Y338)</f>
        <v>0</v>
      </c>
      <c r="Z338" s="14">
        <f>+SUM('31:29'!Z338)</f>
        <v>0</v>
      </c>
      <c r="AA338" s="14">
        <f>+SUM('31:29'!AA338)</f>
        <v>0</v>
      </c>
      <c r="AB338" s="14">
        <f>+SUM('31:29'!AB338)</f>
        <v>0</v>
      </c>
      <c r="AC338" s="14">
        <f>+SUM('31:29'!AC338)</f>
        <v>0</v>
      </c>
    </row>
    <row r="339" spans="1:29" s="2" customFormat="1" ht="21.95" customHeight="1">
      <c r="A339" s="135">
        <v>300340</v>
      </c>
      <c r="B339" s="135" t="s">
        <v>110</v>
      </c>
      <c r="C339" s="230" t="s">
        <v>121</v>
      </c>
      <c r="D339" s="231"/>
      <c r="E339" s="147" t="s">
        <v>41</v>
      </c>
      <c r="F339" s="146"/>
      <c r="G339" s="14">
        <f>+SUM('31:29'!G339)</f>
        <v>0</v>
      </c>
      <c r="H339" s="14">
        <f>+SUM('31:29'!H339)</f>
        <v>0</v>
      </c>
      <c r="I339" s="14">
        <f>+SUM('31:29'!I339)</f>
        <v>0</v>
      </c>
      <c r="J339" s="14">
        <f>+SUM('31:29'!J339)</f>
        <v>0</v>
      </c>
      <c r="K339" s="145">
        <f t="shared" si="38"/>
        <v>0</v>
      </c>
      <c r="L339" s="145">
        <f t="shared" si="39"/>
        <v>0</v>
      </c>
      <c r="M339" s="145">
        <v>325.60000000000002</v>
      </c>
      <c r="N339" s="145">
        <f t="shared" si="45"/>
        <v>3.8202510852986036</v>
      </c>
      <c r="O339" s="14">
        <f>+SUM('31:29'!O339)</f>
        <v>0</v>
      </c>
      <c r="P339" s="145">
        <f t="shared" si="40"/>
        <v>0</v>
      </c>
      <c r="Q339" s="14">
        <f>+SUM('31:29'!Q339)</f>
        <v>0</v>
      </c>
      <c r="R339" s="19">
        <f t="shared" si="41"/>
        <v>0</v>
      </c>
      <c r="S339" s="145">
        <f t="shared" si="42"/>
        <v>0</v>
      </c>
      <c r="T339" s="20">
        <v>4</v>
      </c>
      <c r="U339" s="14">
        <f>+SUM('31:29'!U339)</f>
        <v>0</v>
      </c>
      <c r="V339" s="142"/>
      <c r="W339" s="14">
        <f>+SUM('31:29'!W339)</f>
        <v>0</v>
      </c>
      <c r="X339" s="14">
        <f>+SUM('31:29'!X339)</f>
        <v>0</v>
      </c>
      <c r="Y339" s="14">
        <f>+SUM('31:29'!Y339)</f>
        <v>0</v>
      </c>
      <c r="Z339" s="14">
        <f>+SUM('31:29'!Z339)</f>
        <v>0</v>
      </c>
      <c r="AA339" s="14">
        <f>+SUM('31:29'!AA339)</f>
        <v>0</v>
      </c>
      <c r="AB339" s="14">
        <f>+SUM('31:29'!AB339)</f>
        <v>0</v>
      </c>
      <c r="AC339" s="14">
        <f>+SUM('31:29'!AC339)</f>
        <v>0</v>
      </c>
    </row>
    <row r="340" spans="1:29" s="2" customFormat="1" ht="21.95" customHeight="1">
      <c r="A340" s="135">
        <v>300339</v>
      </c>
      <c r="B340" s="135" t="s">
        <v>110</v>
      </c>
      <c r="C340" s="230" t="s">
        <v>121</v>
      </c>
      <c r="D340" s="231"/>
      <c r="E340" s="147" t="s">
        <v>39</v>
      </c>
      <c r="F340" s="146"/>
      <c r="G340" s="14">
        <f>+SUM('31:29'!G340)</f>
        <v>0</v>
      </c>
      <c r="H340" s="14">
        <f>+SUM('31:29'!H340)</f>
        <v>0</v>
      </c>
      <c r="I340" s="14">
        <f>+SUM('31:29'!I340)</f>
        <v>0</v>
      </c>
      <c r="J340" s="14">
        <f>+SUM('31:29'!J340)</f>
        <v>0</v>
      </c>
      <c r="K340" s="145">
        <f t="shared" si="38"/>
        <v>0</v>
      </c>
      <c r="L340" s="145">
        <f t="shared" si="39"/>
        <v>0</v>
      </c>
      <c r="M340" s="145">
        <v>325.60000000000002</v>
      </c>
      <c r="N340" s="145">
        <f t="shared" si="45"/>
        <v>3.8202510852986036</v>
      </c>
      <c r="O340" s="14">
        <f>+SUM('31:29'!O340)</f>
        <v>0</v>
      </c>
      <c r="P340" s="145">
        <f t="shared" si="40"/>
        <v>0</v>
      </c>
      <c r="Q340" s="14">
        <f>+SUM('31:29'!Q340)</f>
        <v>0</v>
      </c>
      <c r="R340" s="19">
        <f t="shared" si="41"/>
        <v>0</v>
      </c>
      <c r="S340" s="145">
        <f t="shared" si="42"/>
        <v>0</v>
      </c>
      <c r="T340" s="20">
        <v>4</v>
      </c>
      <c r="U340" s="14">
        <f>+SUM('31:29'!U340)</f>
        <v>0</v>
      </c>
      <c r="V340" s="142"/>
      <c r="W340" s="14">
        <f>+SUM('31:29'!W340)</f>
        <v>0</v>
      </c>
      <c r="X340" s="14">
        <f>+SUM('31:29'!X340)</f>
        <v>0</v>
      </c>
      <c r="Y340" s="14">
        <f>+SUM('31:29'!Y340)</f>
        <v>0</v>
      </c>
      <c r="Z340" s="14">
        <f>+SUM('31:29'!Z340)</f>
        <v>0</v>
      </c>
      <c r="AA340" s="14">
        <f>+SUM('31:29'!AA340)</f>
        <v>0</v>
      </c>
      <c r="AB340" s="14">
        <f>+SUM('31:29'!AB340)</f>
        <v>0</v>
      </c>
      <c r="AC340" s="14">
        <f>+SUM('31:29'!AC340)</f>
        <v>0</v>
      </c>
    </row>
    <row r="341" spans="1:29" s="2" customFormat="1" ht="21.95" customHeight="1">
      <c r="A341" s="135">
        <v>300303</v>
      </c>
      <c r="B341" s="135" t="s">
        <v>110</v>
      </c>
      <c r="C341" s="219" t="s">
        <v>122</v>
      </c>
      <c r="D341" s="219" t="s">
        <v>123</v>
      </c>
      <c r="E341" s="147" t="s">
        <v>57</v>
      </c>
      <c r="F341" s="146"/>
      <c r="G341" s="14">
        <f>+SUM('31:29'!G341)</f>
        <v>0</v>
      </c>
      <c r="H341" s="14">
        <f>+SUM('31:29'!H341)</f>
        <v>0</v>
      </c>
      <c r="I341" s="14">
        <f>+SUM('31:29'!I341)</f>
        <v>0</v>
      </c>
      <c r="J341" s="14">
        <f>+SUM('31:29'!J341)</f>
        <v>0</v>
      </c>
      <c r="K341" s="145">
        <f t="shared" si="38"/>
        <v>0</v>
      </c>
      <c r="L341" s="145">
        <f t="shared" si="39"/>
        <v>0</v>
      </c>
      <c r="M341" s="145">
        <v>396.92</v>
      </c>
      <c r="N341" s="145">
        <f>+M341*1000/(113.8*4*15*60)*T341</f>
        <v>4.8442686975200155</v>
      </c>
      <c r="O341" s="14">
        <f>+SUM('31:29'!O341)</f>
        <v>0</v>
      </c>
      <c r="P341" s="145">
        <f t="shared" si="40"/>
        <v>0</v>
      </c>
      <c r="Q341" s="14">
        <f>+SUM('31:29'!Q341)</f>
        <v>0</v>
      </c>
      <c r="R341" s="19">
        <f t="shared" si="41"/>
        <v>0</v>
      </c>
      <c r="S341" s="145">
        <f t="shared" si="42"/>
        <v>0</v>
      </c>
      <c r="T341" s="20">
        <v>5</v>
      </c>
      <c r="U341" s="14">
        <f>+SUM('31:29'!U341)</f>
        <v>0</v>
      </c>
      <c r="V341" s="142" t="str">
        <f t="array" ref="V341">IF(ISERROR(L341/K341),"",L341/K341)</f>
        <v/>
      </c>
      <c r="W341" s="14">
        <f>+SUM('31:29'!W341)</f>
        <v>0</v>
      </c>
      <c r="X341" s="14">
        <f>+SUM('31:29'!X341)</f>
        <v>0</v>
      </c>
      <c r="Y341" s="14">
        <f>+SUM('31:29'!Y341)</f>
        <v>0</v>
      </c>
      <c r="Z341" s="14">
        <f>+SUM('31:29'!Z341)</f>
        <v>0</v>
      </c>
      <c r="AA341" s="14">
        <f>+SUM('31:29'!AA341)</f>
        <v>0</v>
      </c>
      <c r="AB341" s="14">
        <f>+SUM('31:29'!AB341)</f>
        <v>0</v>
      </c>
      <c r="AC341" s="14">
        <f>+SUM('31:29'!AC341)</f>
        <v>0</v>
      </c>
    </row>
    <row r="342" spans="1:29" s="2" customFormat="1" ht="21.95" customHeight="1">
      <c r="A342" s="135">
        <v>300302</v>
      </c>
      <c r="B342" s="135" t="s">
        <v>110</v>
      </c>
      <c r="C342" s="219" t="s">
        <v>122</v>
      </c>
      <c r="D342" s="219" t="s">
        <v>123</v>
      </c>
      <c r="E342" s="147" t="s">
        <v>109</v>
      </c>
      <c r="F342" s="146"/>
      <c r="G342" s="14">
        <f>+SUM('31:29'!G342)</f>
        <v>0</v>
      </c>
      <c r="H342" s="14">
        <f>+SUM('31:29'!H342)</f>
        <v>0</v>
      </c>
      <c r="I342" s="14">
        <f>+SUM('31:29'!I342)</f>
        <v>0</v>
      </c>
      <c r="J342" s="14">
        <f>+SUM('31:29'!J342)</f>
        <v>0</v>
      </c>
      <c r="K342" s="145">
        <f t="shared" si="38"/>
        <v>0</v>
      </c>
      <c r="L342" s="145">
        <f t="shared" si="39"/>
        <v>0</v>
      </c>
      <c r="M342" s="145">
        <v>396.06</v>
      </c>
      <c r="N342" s="145">
        <f>+M342*1000/(113.8*4*15*60)*T342</f>
        <v>4.8337727006444053</v>
      </c>
      <c r="O342" s="14">
        <f>+SUM('31:29'!O342)</f>
        <v>0</v>
      </c>
      <c r="P342" s="145">
        <f t="shared" si="40"/>
        <v>0</v>
      </c>
      <c r="Q342" s="14">
        <f>+SUM('31:29'!Q342)</f>
        <v>0</v>
      </c>
      <c r="R342" s="19">
        <f t="shared" si="41"/>
        <v>0</v>
      </c>
      <c r="S342" s="145">
        <f t="shared" si="42"/>
        <v>0</v>
      </c>
      <c r="T342" s="20">
        <v>5</v>
      </c>
      <c r="U342" s="14">
        <f>+SUM('31:29'!U342)</f>
        <v>0</v>
      </c>
      <c r="V342" s="142" t="str">
        <f t="array" ref="V342">IF(ISERROR(L342/K342),"",L342/K342)</f>
        <v/>
      </c>
      <c r="W342" s="14">
        <f>+SUM('31:29'!W342)</f>
        <v>0</v>
      </c>
      <c r="X342" s="14">
        <f>+SUM('31:29'!X342)</f>
        <v>0</v>
      </c>
      <c r="Y342" s="14">
        <f>+SUM('31:29'!Y342)</f>
        <v>0</v>
      </c>
      <c r="Z342" s="14">
        <f>+SUM('31:29'!Z342)</f>
        <v>0</v>
      </c>
      <c r="AA342" s="14">
        <f>+SUM('31:29'!AA342)</f>
        <v>0</v>
      </c>
      <c r="AB342" s="14">
        <f>+SUM('31:29'!AB342)</f>
        <v>0</v>
      </c>
      <c r="AC342" s="14">
        <f>+SUM('31:29'!AC342)</f>
        <v>0</v>
      </c>
    </row>
    <row r="343" spans="1:29" s="2" customFormat="1" ht="21.95" customHeight="1">
      <c r="A343" s="135">
        <v>300301</v>
      </c>
      <c r="B343" s="135" t="s">
        <v>110</v>
      </c>
      <c r="C343" s="219" t="s">
        <v>122</v>
      </c>
      <c r="D343" s="219" t="s">
        <v>123</v>
      </c>
      <c r="E343" s="147" t="s">
        <v>124</v>
      </c>
      <c r="F343" s="146"/>
      <c r="G343" s="14">
        <f>+SUM('31:29'!G343)</f>
        <v>0</v>
      </c>
      <c r="H343" s="14">
        <f>+SUM('31:29'!H343)</f>
        <v>0</v>
      </c>
      <c r="I343" s="14">
        <f>+SUM('31:29'!I343)</f>
        <v>0</v>
      </c>
      <c r="J343" s="14">
        <f>+SUM('31:29'!J343)</f>
        <v>0</v>
      </c>
      <c r="K343" s="145">
        <f t="shared" si="38"/>
        <v>0</v>
      </c>
      <c r="L343" s="145">
        <f t="shared" si="39"/>
        <v>0</v>
      </c>
      <c r="M343" s="145">
        <v>401.25</v>
      </c>
      <c r="N343" s="145">
        <f>+M343*1000/(113.8*4*15*60)*T343</f>
        <v>4.8971148213239601</v>
      </c>
      <c r="O343" s="14">
        <f>+SUM('31:29'!O343)</f>
        <v>0</v>
      </c>
      <c r="P343" s="145">
        <f t="shared" si="40"/>
        <v>0</v>
      </c>
      <c r="Q343" s="14">
        <f>+SUM('31:29'!Q343)</f>
        <v>0</v>
      </c>
      <c r="R343" s="19">
        <f t="shared" si="41"/>
        <v>0</v>
      </c>
      <c r="S343" s="145">
        <f t="shared" si="42"/>
        <v>0</v>
      </c>
      <c r="T343" s="20">
        <v>5</v>
      </c>
      <c r="U343" s="14">
        <f>+SUM('31:29'!U343)</f>
        <v>0</v>
      </c>
      <c r="V343" s="142" t="str">
        <f t="array" ref="V343">IF(ISERROR(L343/K343),"",L343/K343)</f>
        <v/>
      </c>
      <c r="W343" s="14">
        <f>+SUM('31:29'!W343)</f>
        <v>0</v>
      </c>
      <c r="X343" s="14">
        <f>+SUM('31:29'!X343)</f>
        <v>0</v>
      </c>
      <c r="Y343" s="14">
        <f>+SUM('31:29'!Y343)</f>
        <v>0</v>
      </c>
      <c r="Z343" s="14">
        <f>+SUM('31:29'!Z343)</f>
        <v>0</v>
      </c>
      <c r="AA343" s="14">
        <f>+SUM('31:29'!AA343)</f>
        <v>0</v>
      </c>
      <c r="AB343" s="14">
        <f>+SUM('31:29'!AB343)</f>
        <v>0</v>
      </c>
      <c r="AC343" s="14">
        <f>+SUM('31:29'!AC343)</f>
        <v>0</v>
      </c>
    </row>
    <row r="344" spans="1:29" s="2" customFormat="1" ht="21.95" customHeight="1">
      <c r="A344" s="141">
        <v>300304</v>
      </c>
      <c r="B344" s="135" t="s">
        <v>110</v>
      </c>
      <c r="C344" s="219" t="s">
        <v>122</v>
      </c>
      <c r="D344" s="219"/>
      <c r="E344" s="147" t="s">
        <v>125</v>
      </c>
      <c r="F344" s="146"/>
      <c r="G344" s="14">
        <f>+SUM('31:29'!G344)</f>
        <v>0</v>
      </c>
      <c r="H344" s="14">
        <f>+SUM('31:29'!H344)</f>
        <v>0</v>
      </c>
      <c r="I344" s="14">
        <f>+SUM('31:29'!I344)</f>
        <v>0</v>
      </c>
      <c r="J344" s="14">
        <f>+SUM('31:29'!J344)</f>
        <v>0</v>
      </c>
      <c r="K344" s="145">
        <f t="shared" si="38"/>
        <v>0</v>
      </c>
      <c r="L344" s="145">
        <f t="shared" si="39"/>
        <v>0</v>
      </c>
      <c r="M344" s="145">
        <v>401.25</v>
      </c>
      <c r="N344" s="145">
        <f>+M344*1000/(113.8*4*15*60)*T344</f>
        <v>4.8971148213239601</v>
      </c>
      <c r="O344" s="14">
        <f>+SUM('31:29'!O344)</f>
        <v>0</v>
      </c>
      <c r="P344" s="145">
        <f t="shared" si="40"/>
        <v>0</v>
      </c>
      <c r="Q344" s="14">
        <f>+SUM('31:29'!Q344)</f>
        <v>0</v>
      </c>
      <c r="R344" s="19">
        <f t="shared" si="41"/>
        <v>0</v>
      </c>
      <c r="S344" s="145">
        <f t="shared" si="42"/>
        <v>0</v>
      </c>
      <c r="T344" s="20">
        <v>5</v>
      </c>
      <c r="U344" s="14">
        <f>+SUM('31:29'!U344)</f>
        <v>0</v>
      </c>
      <c r="V344" s="142" t="str">
        <f t="array" ref="V344">IF(ISERROR(L344/K344),"",L344/K344)</f>
        <v/>
      </c>
      <c r="W344" s="14">
        <f>+SUM('31:29'!W344)</f>
        <v>0</v>
      </c>
      <c r="X344" s="14">
        <f>+SUM('31:29'!X344)</f>
        <v>0</v>
      </c>
      <c r="Y344" s="14">
        <f>+SUM('31:29'!Y344)</f>
        <v>0</v>
      </c>
      <c r="Z344" s="14">
        <f>+SUM('31:29'!Z344)</f>
        <v>0</v>
      </c>
      <c r="AA344" s="14">
        <f>+SUM('31:29'!AA344)</f>
        <v>0</v>
      </c>
      <c r="AB344" s="14">
        <f>+SUM('31:29'!AB344)</f>
        <v>0</v>
      </c>
      <c r="AC344" s="14">
        <f>+SUM('31:29'!AC344)</f>
        <v>0</v>
      </c>
    </row>
    <row r="345" spans="1:29" s="2" customFormat="1" ht="21.95" customHeight="1">
      <c r="A345" s="141">
        <v>300300</v>
      </c>
      <c r="B345" s="135" t="s">
        <v>110</v>
      </c>
      <c r="C345" s="219" t="s">
        <v>122</v>
      </c>
      <c r="D345" s="219" t="s">
        <v>123</v>
      </c>
      <c r="E345" s="147" t="s">
        <v>54</v>
      </c>
      <c r="F345" s="146"/>
      <c r="G345" s="14">
        <f>+SUM('31:29'!G345)</f>
        <v>0</v>
      </c>
      <c r="H345" s="14">
        <f>+SUM('31:29'!H345)</f>
        <v>0</v>
      </c>
      <c r="I345" s="14">
        <f>+SUM('31:29'!I345)</f>
        <v>0</v>
      </c>
      <c r="J345" s="14">
        <f>+SUM('31:29'!J345)</f>
        <v>0</v>
      </c>
      <c r="K345" s="145">
        <f t="shared" si="38"/>
        <v>0</v>
      </c>
      <c r="L345" s="145">
        <f t="shared" si="39"/>
        <v>0</v>
      </c>
      <c r="M345" s="145">
        <v>399.07</v>
      </c>
      <c r="N345" s="145">
        <f>+M345*1000/(113.8*4*15*60)*T345</f>
        <v>4.8705086897090411</v>
      </c>
      <c r="O345" s="14">
        <f>+SUM('31:29'!O345)</f>
        <v>0</v>
      </c>
      <c r="P345" s="145">
        <f t="shared" si="40"/>
        <v>0</v>
      </c>
      <c r="Q345" s="14">
        <f>+SUM('31:29'!Q345)</f>
        <v>0</v>
      </c>
      <c r="R345" s="19">
        <f t="shared" si="41"/>
        <v>0</v>
      </c>
      <c r="S345" s="145">
        <f t="shared" si="42"/>
        <v>0</v>
      </c>
      <c r="T345" s="20">
        <v>5</v>
      </c>
      <c r="U345" s="14">
        <f>+SUM('31:29'!U345)</f>
        <v>0</v>
      </c>
      <c r="V345" s="142" t="str">
        <f t="array" ref="V345">IF(ISERROR(L345/K345),"",L345/K345)</f>
        <v/>
      </c>
      <c r="W345" s="14">
        <f>+SUM('31:29'!W345)</f>
        <v>0</v>
      </c>
      <c r="X345" s="14">
        <f>+SUM('31:29'!X345)</f>
        <v>0</v>
      </c>
      <c r="Y345" s="14">
        <f>+SUM('31:29'!Y345)</f>
        <v>0</v>
      </c>
      <c r="Z345" s="14">
        <f>+SUM('31:29'!Z345)</f>
        <v>0</v>
      </c>
      <c r="AA345" s="14">
        <f>+SUM('31:29'!AA345)</f>
        <v>0</v>
      </c>
      <c r="AB345" s="14">
        <f>+SUM('31:29'!AB345)</f>
        <v>0</v>
      </c>
      <c r="AC345" s="14">
        <f>+SUM('31:29'!AC345)</f>
        <v>0</v>
      </c>
    </row>
    <row r="346" spans="1:29" s="2" customFormat="1" ht="21.95" customHeight="1">
      <c r="A346" s="141">
        <v>300085</v>
      </c>
      <c r="B346" s="135" t="s">
        <v>110</v>
      </c>
      <c r="C346" s="219" t="s">
        <v>126</v>
      </c>
      <c r="D346" s="219" t="s">
        <v>123</v>
      </c>
      <c r="E346" s="147" t="s">
        <v>127</v>
      </c>
      <c r="F346" s="146"/>
      <c r="G346" s="14">
        <f>+SUM('31:29'!G346)</f>
        <v>11</v>
      </c>
      <c r="H346" s="14">
        <f>+SUM('31:29'!H346)</f>
        <v>0.66666666666666663</v>
      </c>
      <c r="I346" s="14">
        <f>+SUM('31:29'!I346)</f>
        <v>10.166666666666666</v>
      </c>
      <c r="J346" s="14">
        <f>+SUM('31:29'!J346)</f>
        <v>150</v>
      </c>
      <c r="K346" s="145">
        <f t="shared" si="38"/>
        <v>4337.3</v>
      </c>
      <c r="L346" s="145">
        <f t="shared" si="39"/>
        <v>4008.7166666666667</v>
      </c>
      <c r="M346" s="145">
        <v>394.3</v>
      </c>
      <c r="N346" s="145">
        <f>+M346*1000/(104.2*4*15*60)*T346</f>
        <v>6.3067818298144598</v>
      </c>
      <c r="O346" s="14">
        <f>+SUM('31:29'!O346)</f>
        <v>0</v>
      </c>
      <c r="P346" s="145">
        <f t="shared" si="40"/>
        <v>64.118948603113665</v>
      </c>
      <c r="Q346" s="14">
        <f>+SUM('31:29'!Q346)</f>
        <v>11.5</v>
      </c>
      <c r="R346" s="19">
        <f t="shared" si="41"/>
        <v>57.5</v>
      </c>
      <c r="S346" s="145">
        <f t="shared" si="42"/>
        <v>-6.6189486031136653</v>
      </c>
      <c r="T346" s="20">
        <v>6</v>
      </c>
      <c r="U346" s="14">
        <f>+SUM('31:29'!U346)</f>
        <v>5</v>
      </c>
      <c r="V346" s="142">
        <f t="array" ref="V346">IF(ISERROR(L346/K346),"",L346/K346)</f>
        <v>0.9242424242424242</v>
      </c>
      <c r="W346" s="14">
        <f>+SUM('31:29'!W346)</f>
        <v>2.5</v>
      </c>
      <c r="X346" s="14">
        <f>+SUM('31:29'!X346)</f>
        <v>0</v>
      </c>
      <c r="Y346" s="14">
        <f>+SUM('31:29'!Y346)</f>
        <v>0</v>
      </c>
      <c r="Z346" s="14">
        <f>+SUM('31:29'!Z346)</f>
        <v>0</v>
      </c>
      <c r="AA346" s="14">
        <f>+SUM('31:29'!AA346)</f>
        <v>0</v>
      </c>
      <c r="AB346" s="14">
        <f>+SUM('31:29'!AB346)</f>
        <v>0</v>
      </c>
      <c r="AC346" s="14">
        <f>+SUM('31:29'!AC346)</f>
        <v>0</v>
      </c>
    </row>
    <row r="347" spans="1:29" s="2" customFormat="1" ht="21.95" customHeight="1">
      <c r="A347" s="141">
        <v>300087</v>
      </c>
      <c r="B347" s="135" t="s">
        <v>110</v>
      </c>
      <c r="C347" s="219" t="s">
        <v>126</v>
      </c>
      <c r="D347" s="219" t="s">
        <v>123</v>
      </c>
      <c r="E347" s="147" t="s">
        <v>80</v>
      </c>
      <c r="F347" s="146"/>
      <c r="G347" s="14">
        <f>+SUM('31:29'!G347)</f>
        <v>2.5</v>
      </c>
      <c r="H347" s="14">
        <f>+SUM('31:29'!H347)</f>
        <v>0.5</v>
      </c>
      <c r="I347" s="14">
        <f>+SUM('31:29'!I347)</f>
        <v>2.5</v>
      </c>
      <c r="J347" s="14">
        <f>+SUM('31:29'!J347)</f>
        <v>0</v>
      </c>
      <c r="K347" s="145">
        <f t="shared" si="38"/>
        <v>950.25</v>
      </c>
      <c r="L347" s="145">
        <f t="shared" si="39"/>
        <v>950.25</v>
      </c>
      <c r="M347" s="145">
        <v>380.1</v>
      </c>
      <c r="N347" s="145">
        <f>+M347*1000/(104.2*4*16*60)*T347</f>
        <v>4.7497300863723604</v>
      </c>
      <c r="O347" s="14">
        <f>+SUM('31:29'!O347)</f>
        <v>0</v>
      </c>
      <c r="P347" s="145">
        <f t="shared" si="40"/>
        <v>11.874325215930901</v>
      </c>
      <c r="Q347" s="14">
        <f>+SUM('31:29'!Q347)</f>
        <v>4</v>
      </c>
      <c r="R347" s="19">
        <f t="shared" si="41"/>
        <v>20</v>
      </c>
      <c r="S347" s="145">
        <f t="shared" si="42"/>
        <v>8.1256747840690995</v>
      </c>
      <c r="T347" s="20">
        <v>5</v>
      </c>
      <c r="U347" s="14">
        <f>+SUM('31:29'!U347)</f>
        <v>5</v>
      </c>
      <c r="V347" s="142">
        <f t="array" ref="V347">IF(ISERROR(L347/K347),"",L347/K347)</f>
        <v>1</v>
      </c>
      <c r="W347" s="14">
        <f>+SUM('31:29'!W347)</f>
        <v>0</v>
      </c>
      <c r="X347" s="14">
        <f>+SUM('31:29'!X347)</f>
        <v>0</v>
      </c>
      <c r="Y347" s="14">
        <f>+SUM('31:29'!Y347)</f>
        <v>0</v>
      </c>
      <c r="Z347" s="14">
        <f>+SUM('31:29'!Z347)</f>
        <v>0</v>
      </c>
      <c r="AA347" s="14">
        <f>+SUM('31:29'!AA347)</f>
        <v>0</v>
      </c>
      <c r="AB347" s="14">
        <f>+SUM('31:29'!AB347)</f>
        <v>0</v>
      </c>
      <c r="AC347" s="14">
        <f>+SUM('31:29'!AC347)</f>
        <v>0</v>
      </c>
    </row>
    <row r="348" spans="1:29" s="2" customFormat="1" ht="21" customHeight="1">
      <c r="A348" s="141">
        <v>300387</v>
      </c>
      <c r="B348" s="135" t="s">
        <v>128</v>
      </c>
      <c r="C348" s="230" t="s">
        <v>129</v>
      </c>
      <c r="D348" s="231"/>
      <c r="E348" s="147" t="s">
        <v>57</v>
      </c>
      <c r="F348" s="146"/>
      <c r="G348" s="14">
        <f>+SUM('31:29'!G348)</f>
        <v>0</v>
      </c>
      <c r="H348" s="14">
        <f>+SUM('31:29'!H348)</f>
        <v>0</v>
      </c>
      <c r="I348" s="14">
        <f>+SUM('31:29'!I348)</f>
        <v>0</v>
      </c>
      <c r="J348" s="14">
        <f>+SUM('31:29'!J348)</f>
        <v>0</v>
      </c>
      <c r="K348" s="145">
        <f t="shared" si="38"/>
        <v>0</v>
      </c>
      <c r="L348" s="145">
        <f t="shared" si="39"/>
        <v>0</v>
      </c>
      <c r="M348" s="145">
        <v>352.29</v>
      </c>
      <c r="N348" s="145">
        <f>+M348*1000/(104.2*4*16*60)*T348</f>
        <v>4.4022162907869484</v>
      </c>
      <c r="O348" s="14">
        <f>+SUM('31:29'!O348)</f>
        <v>0</v>
      </c>
      <c r="P348" s="145">
        <f t="shared" si="40"/>
        <v>0</v>
      </c>
      <c r="Q348" s="14">
        <f>+SUM('31:29'!Q348)</f>
        <v>0</v>
      </c>
      <c r="R348" s="19">
        <f t="shared" si="41"/>
        <v>0</v>
      </c>
      <c r="S348" s="145">
        <f t="shared" si="42"/>
        <v>0</v>
      </c>
      <c r="T348" s="20">
        <v>5</v>
      </c>
      <c r="U348" s="14">
        <f>+SUM('31:29'!U348)</f>
        <v>0</v>
      </c>
      <c r="V348" s="142" t="str">
        <f t="array" ref="V348">IF(ISERROR(L348/K348),"",L348/K348)</f>
        <v/>
      </c>
      <c r="W348" s="14">
        <f>+SUM('31:29'!W348)</f>
        <v>0</v>
      </c>
      <c r="X348" s="14">
        <f>+SUM('31:29'!X348)</f>
        <v>0</v>
      </c>
      <c r="Y348" s="14">
        <f>+SUM('31:29'!Y348)</f>
        <v>0</v>
      </c>
      <c r="Z348" s="14">
        <f>+SUM('31:29'!Z348)</f>
        <v>0</v>
      </c>
      <c r="AA348" s="14">
        <f>+SUM('31:29'!AA348)</f>
        <v>0</v>
      </c>
      <c r="AB348" s="14">
        <f>+SUM('31:29'!AB348)</f>
        <v>0</v>
      </c>
      <c r="AC348" s="14">
        <f>+SUM('31:29'!AC348)</f>
        <v>0</v>
      </c>
    </row>
    <row r="349" spans="1:29" s="2" customFormat="1" ht="21.95" customHeight="1">
      <c r="A349" s="141">
        <v>300388</v>
      </c>
      <c r="B349" s="135" t="s">
        <v>130</v>
      </c>
      <c r="C349" s="230" t="s">
        <v>129</v>
      </c>
      <c r="D349" s="231"/>
      <c r="E349" s="147" t="s">
        <v>109</v>
      </c>
      <c r="F349" s="146"/>
      <c r="G349" s="14">
        <f>+SUM('31:29'!G349)</f>
        <v>0</v>
      </c>
      <c r="H349" s="14">
        <f>+SUM('31:29'!H349)</f>
        <v>0</v>
      </c>
      <c r="I349" s="14">
        <f>+SUM('31:29'!I349)</f>
        <v>0</v>
      </c>
      <c r="J349" s="14">
        <f>+SUM('31:29'!J349)</f>
        <v>0</v>
      </c>
      <c r="K349" s="145">
        <f t="shared" si="38"/>
        <v>0</v>
      </c>
      <c r="L349" s="145">
        <f t="shared" si="39"/>
        <v>0</v>
      </c>
      <c r="M349" s="145">
        <v>352.29</v>
      </c>
      <c r="N349" s="145">
        <f>+M349*1000/(104.2*4*16*60)*T349</f>
        <v>4.4022162907869484</v>
      </c>
      <c r="O349" s="14">
        <f>+SUM('31:29'!O349)</f>
        <v>0</v>
      </c>
      <c r="P349" s="145">
        <f t="shared" si="40"/>
        <v>0</v>
      </c>
      <c r="Q349" s="14">
        <f>+SUM('31:29'!Q349)</f>
        <v>0</v>
      </c>
      <c r="R349" s="19">
        <f t="shared" si="41"/>
        <v>0</v>
      </c>
      <c r="S349" s="145">
        <f t="shared" si="42"/>
        <v>0</v>
      </c>
      <c r="T349" s="20">
        <v>5</v>
      </c>
      <c r="U349" s="14">
        <f>+SUM('31:29'!U349)</f>
        <v>0</v>
      </c>
      <c r="V349" s="142" t="str">
        <f t="array" ref="V349">IF(ISERROR(L349/K349),"",L349/K349)</f>
        <v/>
      </c>
      <c r="W349" s="14">
        <f>+SUM('31:29'!W349)</f>
        <v>0</v>
      </c>
      <c r="X349" s="14">
        <f>+SUM('31:29'!X349)</f>
        <v>0</v>
      </c>
      <c r="Y349" s="14">
        <f>+SUM('31:29'!Y349)</f>
        <v>0</v>
      </c>
      <c r="Z349" s="14">
        <f>+SUM('31:29'!Z349)</f>
        <v>0</v>
      </c>
      <c r="AA349" s="14">
        <f>+SUM('31:29'!AA349)</f>
        <v>0</v>
      </c>
      <c r="AB349" s="14">
        <f>+SUM('31:29'!AB349)</f>
        <v>0</v>
      </c>
      <c r="AC349" s="14">
        <f>+SUM('31:29'!AC349)</f>
        <v>0</v>
      </c>
    </row>
    <row r="350" spans="1:29" s="2" customFormat="1" ht="21.95" customHeight="1">
      <c r="A350" s="141">
        <v>300123</v>
      </c>
      <c r="B350" s="135" t="s">
        <v>110</v>
      </c>
      <c r="C350" s="219" t="s">
        <v>131</v>
      </c>
      <c r="D350" s="219" t="s">
        <v>132</v>
      </c>
      <c r="E350" s="147" t="s">
        <v>127</v>
      </c>
      <c r="F350" s="146"/>
      <c r="G350" s="14">
        <f>+SUM('31:29'!G350)</f>
        <v>13</v>
      </c>
      <c r="H350" s="14">
        <f>+SUM('31:29'!H350)</f>
        <v>7.4999999999999997E-2</v>
      </c>
      <c r="I350" s="14">
        <f>+SUM('31:29'!I350)</f>
        <v>12.5</v>
      </c>
      <c r="J350" s="14">
        <f>+SUM('31:29'!J350)</f>
        <v>230</v>
      </c>
      <c r="K350" s="145">
        <f t="shared" si="38"/>
        <v>7241</v>
      </c>
      <c r="L350" s="145">
        <f t="shared" si="39"/>
        <v>6962.5</v>
      </c>
      <c r="M350" s="145">
        <v>557</v>
      </c>
      <c r="N350" s="145">
        <f>+M350*1000/(126.5*4*15*60)*T350</f>
        <v>6.1155028546332888</v>
      </c>
      <c r="O350" s="14">
        <f>+SUM('31:29'!O350)</f>
        <v>0</v>
      </c>
      <c r="P350" s="145">
        <f t="shared" si="40"/>
        <v>76.443785682916115</v>
      </c>
      <c r="Q350" s="14">
        <f>+SUM('31:29'!Q350)</f>
        <v>19</v>
      </c>
      <c r="R350" s="19">
        <f t="shared" si="41"/>
        <v>190</v>
      </c>
      <c r="S350" s="145">
        <f t="shared" si="42"/>
        <v>113.55621431708389</v>
      </c>
      <c r="T350" s="20">
        <v>5</v>
      </c>
      <c r="U350" s="14">
        <f>+SUM('31:29'!U350)</f>
        <v>10</v>
      </c>
      <c r="V350" s="142">
        <f t="array" ref="V350">IF(ISERROR(L350/K350),"",L350/K350)</f>
        <v>0.96153846153846156</v>
      </c>
      <c r="W350" s="14">
        <f>+SUM('31:29'!W350)</f>
        <v>0</v>
      </c>
      <c r="X350" s="14">
        <f>+SUM('31:29'!X350)</f>
        <v>0</v>
      </c>
      <c r="Y350" s="14">
        <f>+SUM('31:29'!Y350)</f>
        <v>0</v>
      </c>
      <c r="Z350" s="14">
        <f>+SUM('31:29'!Z350)</f>
        <v>0</v>
      </c>
      <c r="AA350" s="14">
        <f>+SUM('31:29'!AA350)</f>
        <v>2</v>
      </c>
      <c r="AB350" s="14">
        <f>+SUM('31:29'!AB350)</f>
        <v>0</v>
      </c>
      <c r="AC350" s="14">
        <f>+SUM('31:29'!AC350)</f>
        <v>0</v>
      </c>
    </row>
    <row r="351" spans="1:29" s="2" customFormat="1" ht="21.95" customHeight="1">
      <c r="A351" s="141">
        <v>300270</v>
      </c>
      <c r="B351" s="135" t="s">
        <v>110</v>
      </c>
      <c r="C351" s="219" t="s">
        <v>133</v>
      </c>
      <c r="D351" s="219"/>
      <c r="E351" s="147" t="s">
        <v>134</v>
      </c>
      <c r="F351" s="146"/>
      <c r="G351" s="14">
        <f>+SUM('31:29'!G351)</f>
        <v>0</v>
      </c>
      <c r="H351" s="14">
        <f>+SUM('31:29'!H351)</f>
        <v>0</v>
      </c>
      <c r="I351" s="14">
        <f>+SUM('31:29'!I351)</f>
        <v>0</v>
      </c>
      <c r="J351" s="14">
        <f>+SUM('31:29'!J351)</f>
        <v>0</v>
      </c>
      <c r="K351" s="145">
        <f t="shared" si="38"/>
        <v>0</v>
      </c>
      <c r="L351" s="145">
        <f t="shared" si="39"/>
        <v>0</v>
      </c>
      <c r="M351" s="145">
        <v>485.7</v>
      </c>
      <c r="N351" s="145">
        <f>+M351*1000/(126.5*4*15*60)*T351</f>
        <v>4.2661396574440049</v>
      </c>
      <c r="O351" s="14">
        <f>+SUM('31:29'!O351)</f>
        <v>0</v>
      </c>
      <c r="P351" s="145">
        <f t="shared" si="40"/>
        <v>0</v>
      </c>
      <c r="Q351" s="14">
        <f>+SUM('31:29'!Q351)</f>
        <v>0</v>
      </c>
      <c r="R351" s="19">
        <f t="shared" si="41"/>
        <v>0</v>
      </c>
      <c r="S351" s="145">
        <f t="shared" si="42"/>
        <v>0</v>
      </c>
      <c r="T351" s="20">
        <v>4</v>
      </c>
      <c r="U351" s="14">
        <f>+SUM('31:29'!U351)</f>
        <v>0</v>
      </c>
      <c r="V351" s="142" t="str">
        <f t="array" ref="V351">IF(ISERROR(L351/K351),"",L351/K351)</f>
        <v/>
      </c>
      <c r="W351" s="14">
        <f>+SUM('31:29'!W351)</f>
        <v>0</v>
      </c>
      <c r="X351" s="14">
        <f>+SUM('31:29'!X351)</f>
        <v>0</v>
      </c>
      <c r="Y351" s="14">
        <f>+SUM('31:29'!Y351)</f>
        <v>0</v>
      </c>
      <c r="Z351" s="14">
        <f>+SUM('31:29'!Z351)</f>
        <v>0</v>
      </c>
      <c r="AA351" s="14">
        <f>+SUM('31:29'!AA351)</f>
        <v>0</v>
      </c>
      <c r="AB351" s="14">
        <f>+SUM('31:29'!AB351)</f>
        <v>0</v>
      </c>
      <c r="AC351" s="14">
        <f>+SUM('31:29'!AC351)</f>
        <v>0</v>
      </c>
    </row>
    <row r="352" spans="1:29" s="2" customFormat="1" ht="21.95" customHeight="1">
      <c r="A352" s="141">
        <v>300336</v>
      </c>
      <c r="B352" s="135" t="s">
        <v>110</v>
      </c>
      <c r="C352" s="219" t="s">
        <v>135</v>
      </c>
      <c r="D352" s="219"/>
      <c r="E352" s="147" t="s">
        <v>84</v>
      </c>
      <c r="F352" s="146"/>
      <c r="G352" s="14">
        <f>+SUM('31:29'!G352)</f>
        <v>0</v>
      </c>
      <c r="H352" s="14">
        <f>+SUM('31:29'!H352)</f>
        <v>0</v>
      </c>
      <c r="I352" s="14">
        <f>+SUM('31:29'!I352)</f>
        <v>0</v>
      </c>
      <c r="J352" s="14">
        <f>+SUM('31:29'!J352)</f>
        <v>0</v>
      </c>
      <c r="K352" s="145">
        <f t="shared" si="38"/>
        <v>0</v>
      </c>
      <c r="L352" s="145">
        <f t="shared" si="39"/>
        <v>0</v>
      </c>
      <c r="M352" s="145">
        <v>411.4</v>
      </c>
      <c r="N352" s="145">
        <f>+M352*1000/(104.2*4*16*60)*T352</f>
        <v>2.0563419705694179</v>
      </c>
      <c r="O352" s="14">
        <f>+SUM('31:29'!O352)</f>
        <v>0</v>
      </c>
      <c r="P352" s="145">
        <f t="shared" si="40"/>
        <v>0</v>
      </c>
      <c r="Q352" s="14">
        <f>+SUM('31:29'!Q352)</f>
        <v>0</v>
      </c>
      <c r="R352" s="19">
        <f t="shared" si="41"/>
        <v>0</v>
      </c>
      <c r="S352" s="145">
        <f t="shared" si="42"/>
        <v>0</v>
      </c>
      <c r="T352" s="20">
        <v>2</v>
      </c>
      <c r="U352" s="14">
        <f>+SUM('31:29'!U352)</f>
        <v>0</v>
      </c>
      <c r="V352" s="142" t="str">
        <f t="array" ref="V352">IF(ISERROR(L352/K352),"",L352/K352)</f>
        <v/>
      </c>
      <c r="W352" s="14">
        <f>+SUM('31:29'!W352)</f>
        <v>0</v>
      </c>
      <c r="X352" s="14">
        <f>+SUM('31:29'!X352)</f>
        <v>0</v>
      </c>
      <c r="Y352" s="14">
        <f>+SUM('31:29'!Y352)</f>
        <v>0</v>
      </c>
      <c r="Z352" s="14">
        <f>+SUM('31:29'!Z352)</f>
        <v>0</v>
      </c>
      <c r="AA352" s="14">
        <f>+SUM('31:29'!AA352)</f>
        <v>0</v>
      </c>
      <c r="AB352" s="14">
        <f>+SUM('31:29'!AB352)</f>
        <v>0</v>
      </c>
      <c r="AC352" s="14">
        <f>+SUM('31:29'!AC352)</f>
        <v>0</v>
      </c>
    </row>
    <row r="353" spans="1:29" s="2" customFormat="1" ht="21.95" customHeight="1">
      <c r="A353" s="141">
        <v>300337</v>
      </c>
      <c r="B353" s="135" t="s">
        <v>110</v>
      </c>
      <c r="C353" s="219" t="s">
        <v>135</v>
      </c>
      <c r="D353" s="219"/>
      <c r="E353" s="147" t="s">
        <v>49</v>
      </c>
      <c r="F353" s="146"/>
      <c r="G353" s="14">
        <f>+SUM('31:29'!G353)</f>
        <v>0</v>
      </c>
      <c r="H353" s="14">
        <f>+SUM('31:29'!H353)</f>
        <v>0</v>
      </c>
      <c r="I353" s="14">
        <f>+SUM('31:29'!I353)</f>
        <v>0</v>
      </c>
      <c r="J353" s="14">
        <f>+SUM('31:29'!J353)</f>
        <v>0</v>
      </c>
      <c r="K353" s="145">
        <f t="shared" si="38"/>
        <v>0</v>
      </c>
      <c r="L353" s="145">
        <f t="shared" si="39"/>
        <v>0</v>
      </c>
      <c r="M353" s="145">
        <v>411.4</v>
      </c>
      <c r="N353" s="145">
        <f>+M353*1000/(104.2*4*16*60)*T353</f>
        <v>2.0563419705694179</v>
      </c>
      <c r="O353" s="14">
        <f>+SUM('31:29'!O353)</f>
        <v>0</v>
      </c>
      <c r="P353" s="145">
        <f t="shared" si="40"/>
        <v>0</v>
      </c>
      <c r="Q353" s="14">
        <f>+SUM('31:29'!Q353)</f>
        <v>0</v>
      </c>
      <c r="R353" s="19">
        <f t="shared" si="41"/>
        <v>0</v>
      </c>
      <c r="S353" s="145">
        <f t="shared" si="42"/>
        <v>0</v>
      </c>
      <c r="T353" s="20">
        <v>2</v>
      </c>
      <c r="U353" s="14">
        <f>+SUM('31:29'!U353)</f>
        <v>0</v>
      </c>
      <c r="V353" s="142"/>
      <c r="W353" s="14">
        <f>+SUM('31:29'!W353)</f>
        <v>0</v>
      </c>
      <c r="X353" s="14">
        <f>+SUM('31:29'!X353)</f>
        <v>0</v>
      </c>
      <c r="Y353" s="14">
        <f>+SUM('31:29'!Y353)</f>
        <v>0</v>
      </c>
      <c r="Z353" s="14">
        <f>+SUM('31:29'!Z353)</f>
        <v>0</v>
      </c>
      <c r="AA353" s="14">
        <f>+SUM('31:29'!AA353)</f>
        <v>0</v>
      </c>
      <c r="AB353" s="14">
        <f>+SUM('31:29'!AB353)</f>
        <v>0</v>
      </c>
      <c r="AC353" s="14">
        <f>+SUM('31:29'!AC353)</f>
        <v>0</v>
      </c>
    </row>
    <row r="354" spans="1:29" s="2" customFormat="1" ht="21.95" customHeight="1">
      <c r="A354" s="141">
        <v>300338</v>
      </c>
      <c r="B354" s="135" t="s">
        <v>110</v>
      </c>
      <c r="C354" s="219" t="s">
        <v>135</v>
      </c>
      <c r="D354" s="219"/>
      <c r="E354" s="147" t="s">
        <v>85</v>
      </c>
      <c r="F354" s="146"/>
      <c r="G354" s="14">
        <f>+SUM('31:29'!G354)</f>
        <v>0</v>
      </c>
      <c r="H354" s="14">
        <f>+SUM('31:29'!H354)</f>
        <v>0</v>
      </c>
      <c r="I354" s="14">
        <f>+SUM('31:29'!I354)</f>
        <v>0</v>
      </c>
      <c r="J354" s="14">
        <f>+SUM('31:29'!J354)</f>
        <v>0</v>
      </c>
      <c r="K354" s="145">
        <f t="shared" si="38"/>
        <v>0</v>
      </c>
      <c r="L354" s="145">
        <f t="shared" si="39"/>
        <v>0</v>
      </c>
      <c r="M354" s="145">
        <v>411.4</v>
      </c>
      <c r="N354" s="145">
        <f>+M354*1000/(104.2*4*16*60)*T354</f>
        <v>2.0563419705694179</v>
      </c>
      <c r="O354" s="14">
        <f>+SUM('31:29'!O354)</f>
        <v>0</v>
      </c>
      <c r="P354" s="145">
        <f t="shared" si="40"/>
        <v>0</v>
      </c>
      <c r="Q354" s="14">
        <f>+SUM('31:29'!Q354)</f>
        <v>0</v>
      </c>
      <c r="R354" s="19">
        <f t="shared" si="41"/>
        <v>0</v>
      </c>
      <c r="S354" s="145">
        <f t="shared" si="42"/>
        <v>0</v>
      </c>
      <c r="T354" s="20">
        <v>2</v>
      </c>
      <c r="U354" s="14">
        <f>+SUM('31:29'!U354)</f>
        <v>0</v>
      </c>
      <c r="V354" s="142"/>
      <c r="W354" s="14">
        <f>+SUM('31:29'!W354)</f>
        <v>0</v>
      </c>
      <c r="X354" s="14">
        <f>+SUM('31:29'!X354)</f>
        <v>0</v>
      </c>
      <c r="Y354" s="14">
        <f>+SUM('31:29'!Y354)</f>
        <v>0</v>
      </c>
      <c r="Z354" s="14">
        <f>+SUM('31:29'!Z354)</f>
        <v>0</v>
      </c>
      <c r="AA354" s="14">
        <f>+SUM('31:29'!AA354)</f>
        <v>0</v>
      </c>
      <c r="AB354" s="14">
        <f>+SUM('31:29'!AB354)</f>
        <v>0</v>
      </c>
      <c r="AC354" s="14">
        <f>+SUM('31:29'!AC354)</f>
        <v>0</v>
      </c>
    </row>
    <row r="355" spans="1:29" s="2" customFormat="1" ht="21.95" customHeight="1">
      <c r="A355" s="141">
        <v>300309</v>
      </c>
      <c r="B355" s="135">
        <v>6504</v>
      </c>
      <c r="C355" s="219" t="s">
        <v>137</v>
      </c>
      <c r="D355" s="219"/>
      <c r="E355" s="147" t="s">
        <v>47</v>
      </c>
      <c r="F355" s="146"/>
      <c r="G355" s="14">
        <f>+SUM('31:29'!G355)</f>
        <v>0</v>
      </c>
      <c r="H355" s="14">
        <f>+SUM('31:29'!H355)</f>
        <v>0</v>
      </c>
      <c r="I355" s="14">
        <f>+SUM('31:29'!I355)</f>
        <v>0</v>
      </c>
      <c r="J355" s="14">
        <f>+SUM('31:29'!J355)</f>
        <v>0</v>
      </c>
      <c r="K355" s="145">
        <f t="shared" si="38"/>
        <v>0</v>
      </c>
      <c r="L355" s="145">
        <f t="shared" si="39"/>
        <v>0</v>
      </c>
      <c r="M355" s="145">
        <v>316.88</v>
      </c>
      <c r="N355" s="145">
        <f>+M355*1000/(75.2*4*16*60)*T355</f>
        <v>6.5841090425531918</v>
      </c>
      <c r="O355" s="14">
        <f>+SUM('31:29'!O355)</f>
        <v>0</v>
      </c>
      <c r="P355" s="145">
        <f t="shared" si="40"/>
        <v>0</v>
      </c>
      <c r="Q355" s="14">
        <f>+SUM('31:29'!Q355)</f>
        <v>0</v>
      </c>
      <c r="R355" s="19">
        <f t="shared" si="41"/>
        <v>0</v>
      </c>
      <c r="S355" s="145">
        <f t="shared" si="42"/>
        <v>0</v>
      </c>
      <c r="T355" s="20">
        <v>6</v>
      </c>
      <c r="U355" s="14">
        <f>+SUM('31:29'!U355)</f>
        <v>0</v>
      </c>
      <c r="V355" s="142" t="str">
        <f t="array" ref="V355">IF(ISERROR(L355/K355),"",L355/K355)</f>
        <v/>
      </c>
      <c r="W355" s="14">
        <f>+SUM('31:29'!W355)</f>
        <v>0</v>
      </c>
      <c r="X355" s="14">
        <f>+SUM('31:29'!X355)</f>
        <v>0</v>
      </c>
      <c r="Y355" s="14">
        <f>+SUM('31:29'!Y355)</f>
        <v>0</v>
      </c>
      <c r="Z355" s="14">
        <f>+SUM('31:29'!Z355)</f>
        <v>0</v>
      </c>
      <c r="AA355" s="14">
        <f>+SUM('31:29'!AA355)</f>
        <v>0</v>
      </c>
      <c r="AB355" s="14">
        <f>+SUM('31:29'!AB355)</f>
        <v>0</v>
      </c>
      <c r="AC355" s="14">
        <f>+SUM('31:29'!AC355)</f>
        <v>0</v>
      </c>
    </row>
    <row r="356" spans="1:29" s="2" customFormat="1" ht="21.95" customHeight="1">
      <c r="A356" s="141">
        <v>300310</v>
      </c>
      <c r="B356" s="135">
        <v>6504</v>
      </c>
      <c r="C356" s="219" t="s">
        <v>137</v>
      </c>
      <c r="D356" s="219"/>
      <c r="E356" s="147" t="s">
        <v>138</v>
      </c>
      <c r="F356" s="146"/>
      <c r="G356" s="14">
        <f>+SUM('31:29'!G356)</f>
        <v>0</v>
      </c>
      <c r="H356" s="14">
        <f>+SUM('31:29'!H356)</f>
        <v>0</v>
      </c>
      <c r="I356" s="14">
        <f>+SUM('31:29'!I356)</f>
        <v>0</v>
      </c>
      <c r="J356" s="14">
        <f>+SUM('31:29'!J356)</f>
        <v>0</v>
      </c>
      <c r="K356" s="145">
        <f t="shared" si="38"/>
        <v>0</v>
      </c>
      <c r="L356" s="145">
        <f t="shared" si="39"/>
        <v>0</v>
      </c>
      <c r="M356" s="145">
        <v>316.88</v>
      </c>
      <c r="N356" s="145">
        <f>+M356*1000/(75.2*4*16*60)*T356</f>
        <v>6.5841090425531918</v>
      </c>
      <c r="O356" s="14">
        <f>+SUM('31:29'!O356)</f>
        <v>0</v>
      </c>
      <c r="P356" s="145">
        <f t="shared" si="40"/>
        <v>0</v>
      </c>
      <c r="Q356" s="14">
        <f>+SUM('31:29'!Q356)</f>
        <v>0</v>
      </c>
      <c r="R356" s="19">
        <f t="shared" si="41"/>
        <v>0</v>
      </c>
      <c r="S356" s="145">
        <f t="shared" si="42"/>
        <v>0</v>
      </c>
      <c r="T356" s="20">
        <v>6</v>
      </c>
      <c r="U356" s="14">
        <f>+SUM('31:29'!U356)</f>
        <v>0</v>
      </c>
      <c r="V356" s="142" t="str">
        <f t="array" ref="V356">IF(ISERROR(L356/K356),"",L356/K356)</f>
        <v/>
      </c>
      <c r="W356" s="14">
        <f>+SUM('31:29'!W356)</f>
        <v>0</v>
      </c>
      <c r="X356" s="14">
        <f>+SUM('31:29'!X356)</f>
        <v>0</v>
      </c>
      <c r="Y356" s="14">
        <f>+SUM('31:29'!Y356)</f>
        <v>0</v>
      </c>
      <c r="Z356" s="14">
        <f>+SUM('31:29'!Z356)</f>
        <v>0</v>
      </c>
      <c r="AA356" s="14">
        <f>+SUM('31:29'!AA356)</f>
        <v>0</v>
      </c>
      <c r="AB356" s="14">
        <f>+SUM('31:29'!AB356)</f>
        <v>0</v>
      </c>
      <c r="AC356" s="14">
        <f>+SUM('31:29'!AC356)</f>
        <v>0</v>
      </c>
    </row>
    <row r="357" spans="1:29" s="2" customFormat="1" ht="21.95" customHeight="1">
      <c r="A357" s="141">
        <v>300312</v>
      </c>
      <c r="B357" s="135">
        <v>6504</v>
      </c>
      <c r="C357" s="219" t="s">
        <v>137</v>
      </c>
      <c r="D357" s="219"/>
      <c r="E357" s="147" t="s">
        <v>139</v>
      </c>
      <c r="F357" s="146"/>
      <c r="G357" s="14">
        <f>+SUM('31:29'!G357)</f>
        <v>0</v>
      </c>
      <c r="H357" s="14">
        <f>+SUM('31:29'!H357)</f>
        <v>0</v>
      </c>
      <c r="I357" s="14">
        <f>+SUM('31:29'!I357)</f>
        <v>0</v>
      </c>
      <c r="J357" s="14">
        <f>+SUM('31:29'!J357)</f>
        <v>0</v>
      </c>
      <c r="K357" s="145">
        <f t="shared" si="38"/>
        <v>0</v>
      </c>
      <c r="L357" s="145">
        <f t="shared" si="39"/>
        <v>0</v>
      </c>
      <c r="M357" s="145">
        <v>316.88</v>
      </c>
      <c r="N357" s="145">
        <f>+M357*1000/(75.2*4*16*60)*T357</f>
        <v>6.5841090425531918</v>
      </c>
      <c r="O357" s="14">
        <f>+SUM('31:29'!O357)</f>
        <v>0</v>
      </c>
      <c r="P357" s="145">
        <f t="shared" si="40"/>
        <v>0</v>
      </c>
      <c r="Q357" s="14">
        <f>+SUM('31:29'!Q357)</f>
        <v>0</v>
      </c>
      <c r="R357" s="19">
        <f t="shared" si="41"/>
        <v>0</v>
      </c>
      <c r="S357" s="145">
        <f t="shared" si="42"/>
        <v>0</v>
      </c>
      <c r="T357" s="20">
        <v>6</v>
      </c>
      <c r="U357" s="14">
        <f>+SUM('31:29'!U357)</f>
        <v>0</v>
      </c>
      <c r="V357" s="142" t="str">
        <f t="array" ref="V357">IF(ISERROR(L357/K357),"",L357/K357)</f>
        <v/>
      </c>
      <c r="W357" s="14">
        <f>+SUM('31:29'!W357)</f>
        <v>0</v>
      </c>
      <c r="X357" s="14">
        <f>+SUM('31:29'!X357)</f>
        <v>0</v>
      </c>
      <c r="Y357" s="14">
        <f>+SUM('31:29'!Y357)</f>
        <v>0</v>
      </c>
      <c r="Z357" s="14">
        <f>+SUM('31:29'!Z357)</f>
        <v>0</v>
      </c>
      <c r="AA357" s="14">
        <f>+SUM('31:29'!AA357)</f>
        <v>0</v>
      </c>
      <c r="AB357" s="14">
        <f>+SUM('31:29'!AB357)</f>
        <v>0</v>
      </c>
      <c r="AC357" s="14">
        <f>+SUM('31:29'!AC357)</f>
        <v>0</v>
      </c>
    </row>
    <row r="358" spans="1:29" s="2" customFormat="1" ht="21.95" customHeight="1">
      <c r="A358" s="141">
        <v>300311</v>
      </c>
      <c r="B358" s="135">
        <v>6504</v>
      </c>
      <c r="C358" s="219" t="s">
        <v>137</v>
      </c>
      <c r="D358" s="219"/>
      <c r="E358" s="147" t="s">
        <v>74</v>
      </c>
      <c r="F358" s="146"/>
      <c r="G358" s="14">
        <f>+SUM('31:29'!G358)</f>
        <v>0</v>
      </c>
      <c r="H358" s="14">
        <f>+SUM('31:29'!H358)</f>
        <v>0</v>
      </c>
      <c r="I358" s="14">
        <f>+SUM('31:29'!I358)</f>
        <v>0</v>
      </c>
      <c r="J358" s="14">
        <f>+SUM('31:29'!J358)</f>
        <v>0</v>
      </c>
      <c r="K358" s="145">
        <f t="shared" si="38"/>
        <v>0</v>
      </c>
      <c r="L358" s="145">
        <f t="shared" si="39"/>
        <v>0</v>
      </c>
      <c r="M358" s="145">
        <v>316.88</v>
      </c>
      <c r="N358" s="145">
        <f>+M358*1000/(75.2*4*16*60)*T358</f>
        <v>6.5841090425531918</v>
      </c>
      <c r="O358" s="14">
        <f>+SUM('31:29'!O358)</f>
        <v>0</v>
      </c>
      <c r="P358" s="145">
        <f t="shared" si="40"/>
        <v>0</v>
      </c>
      <c r="Q358" s="14">
        <f>+SUM('31:29'!Q358)</f>
        <v>0</v>
      </c>
      <c r="R358" s="19">
        <f t="shared" si="41"/>
        <v>0</v>
      </c>
      <c r="S358" s="145">
        <f t="shared" si="42"/>
        <v>0</v>
      </c>
      <c r="T358" s="20">
        <v>6</v>
      </c>
      <c r="U358" s="14">
        <f>+SUM('31:29'!U358)</f>
        <v>0</v>
      </c>
      <c r="V358" s="142" t="str">
        <f t="array" ref="V358">IF(ISERROR(L358/K358),"",L358/K358)</f>
        <v/>
      </c>
      <c r="W358" s="14">
        <f>+SUM('31:29'!W358)</f>
        <v>0</v>
      </c>
      <c r="X358" s="14">
        <f>+SUM('31:29'!X358)</f>
        <v>0</v>
      </c>
      <c r="Y358" s="14">
        <f>+SUM('31:29'!Y358)</f>
        <v>0</v>
      </c>
      <c r="Z358" s="14">
        <f>+SUM('31:29'!Z358)</f>
        <v>0</v>
      </c>
      <c r="AA358" s="14">
        <f>+SUM('31:29'!AA358)</f>
        <v>0</v>
      </c>
      <c r="AB358" s="14">
        <f>+SUM('31:29'!AB358)</f>
        <v>0</v>
      </c>
      <c r="AC358" s="14">
        <f>+SUM('31:29'!AC358)</f>
        <v>0</v>
      </c>
    </row>
    <row r="359" spans="1:29" s="2" customFormat="1" ht="21.95" customHeight="1">
      <c r="A359" s="141">
        <v>300399</v>
      </c>
      <c r="B359" s="135">
        <v>18501</v>
      </c>
      <c r="C359" s="230" t="s">
        <v>140</v>
      </c>
      <c r="D359" s="231"/>
      <c r="E359" s="147" t="s">
        <v>41</v>
      </c>
      <c r="F359" s="146"/>
      <c r="G359" s="14">
        <f>+SUM('31:29'!G359)</f>
        <v>0</v>
      </c>
      <c r="H359" s="14">
        <f>+SUM('31:29'!H359)</f>
        <v>0</v>
      </c>
      <c r="I359" s="14">
        <f>+SUM('31:29'!I359)</f>
        <v>0</v>
      </c>
      <c r="J359" s="14">
        <f>+SUM('31:29'!J359)</f>
        <v>0</v>
      </c>
      <c r="K359" s="145">
        <f t="shared" si="38"/>
        <v>0</v>
      </c>
      <c r="L359" s="145">
        <f t="shared" si="39"/>
        <v>0</v>
      </c>
      <c r="M359" s="145">
        <v>311.2</v>
      </c>
      <c r="N359" s="145">
        <f>+M359*1000/(100*4*16*60)*T359</f>
        <v>4.8624999999999998</v>
      </c>
      <c r="O359" s="14">
        <f>+SUM('31:29'!O359)</f>
        <v>0</v>
      </c>
      <c r="P359" s="145">
        <f t="shared" si="40"/>
        <v>0</v>
      </c>
      <c r="Q359" s="14">
        <f>+SUM('31:29'!Q359)</f>
        <v>0</v>
      </c>
      <c r="R359" s="19">
        <f t="shared" si="41"/>
        <v>0</v>
      </c>
      <c r="S359" s="145">
        <f t="shared" si="42"/>
        <v>0</v>
      </c>
      <c r="T359" s="20">
        <v>6</v>
      </c>
      <c r="U359" s="14">
        <f>+SUM('31:29'!U359)</f>
        <v>0</v>
      </c>
      <c r="V359" s="142"/>
      <c r="W359" s="14">
        <f>+SUM('31:29'!W359)</f>
        <v>0</v>
      </c>
      <c r="X359" s="14">
        <f>+SUM('31:29'!X359)</f>
        <v>0</v>
      </c>
      <c r="Y359" s="14">
        <f>+SUM('31:29'!Y359)</f>
        <v>0</v>
      </c>
      <c r="Z359" s="14">
        <f>+SUM('31:29'!Z359)</f>
        <v>0</v>
      </c>
      <c r="AA359" s="14">
        <f>+SUM('31:29'!AA359)</f>
        <v>0</v>
      </c>
      <c r="AB359" s="14">
        <f>+SUM('31:29'!AB359)</f>
        <v>0</v>
      </c>
      <c r="AC359" s="14">
        <f>+SUM('31:29'!AC359)</f>
        <v>0</v>
      </c>
    </row>
    <row r="360" spans="1:29" s="2" customFormat="1" ht="21.95" customHeight="1">
      <c r="A360" s="141">
        <v>300400</v>
      </c>
      <c r="B360" s="135">
        <v>18501</v>
      </c>
      <c r="C360" s="230" t="s">
        <v>140</v>
      </c>
      <c r="D360" s="231"/>
      <c r="E360" s="147" t="s">
        <v>66</v>
      </c>
      <c r="F360" s="146"/>
      <c r="G360" s="14">
        <f>+SUM('31:29'!G360)</f>
        <v>0</v>
      </c>
      <c r="H360" s="14">
        <f>+SUM('31:29'!H360)</f>
        <v>0</v>
      </c>
      <c r="I360" s="14">
        <f>+SUM('31:29'!I360)</f>
        <v>0</v>
      </c>
      <c r="J360" s="14">
        <f>+SUM('31:29'!J360)</f>
        <v>0</v>
      </c>
      <c r="K360" s="145">
        <f t="shared" si="38"/>
        <v>0</v>
      </c>
      <c r="L360" s="145">
        <f t="shared" si="39"/>
        <v>0</v>
      </c>
      <c r="M360" s="145">
        <v>311.2</v>
      </c>
      <c r="N360" s="145">
        <f>+M360*1000/(100*4*16*60)*T360</f>
        <v>4.8624999999999998</v>
      </c>
      <c r="O360" s="14">
        <f>+SUM('31:29'!O360)</f>
        <v>0</v>
      </c>
      <c r="P360" s="145">
        <f t="shared" si="40"/>
        <v>0</v>
      </c>
      <c r="Q360" s="14">
        <f>+SUM('31:29'!Q360)</f>
        <v>0</v>
      </c>
      <c r="R360" s="19">
        <f t="shared" si="41"/>
        <v>0</v>
      </c>
      <c r="S360" s="145">
        <f t="shared" si="42"/>
        <v>0</v>
      </c>
      <c r="T360" s="20">
        <v>6</v>
      </c>
      <c r="U360" s="14">
        <f>+SUM('31:29'!U360)</f>
        <v>0</v>
      </c>
      <c r="V360" s="142"/>
      <c r="W360" s="14">
        <f>+SUM('31:29'!W360)</f>
        <v>0</v>
      </c>
      <c r="X360" s="14">
        <f>+SUM('31:29'!X360)</f>
        <v>0</v>
      </c>
      <c r="Y360" s="14">
        <f>+SUM('31:29'!Y360)</f>
        <v>0</v>
      </c>
      <c r="Z360" s="14">
        <f>+SUM('31:29'!Z360)</f>
        <v>0</v>
      </c>
      <c r="AA360" s="14">
        <f>+SUM('31:29'!AA360)</f>
        <v>0</v>
      </c>
      <c r="AB360" s="14">
        <f>+SUM('31:29'!AB360)</f>
        <v>0</v>
      </c>
      <c r="AC360" s="14">
        <f>+SUM('31:29'!AC360)</f>
        <v>0</v>
      </c>
    </row>
    <row r="361" spans="1:29" s="2" customFormat="1" ht="21.95" customHeight="1">
      <c r="A361" s="141">
        <v>300401</v>
      </c>
      <c r="B361" s="135">
        <v>18501</v>
      </c>
      <c r="C361" s="230" t="s">
        <v>140</v>
      </c>
      <c r="D361" s="231"/>
      <c r="E361" s="147" t="s">
        <v>141</v>
      </c>
      <c r="F361" s="146"/>
      <c r="G361" s="14">
        <f>+SUM('31:29'!G361)</f>
        <v>0</v>
      </c>
      <c r="H361" s="14">
        <f>+SUM('31:29'!H361)</f>
        <v>0</v>
      </c>
      <c r="I361" s="14">
        <f>+SUM('31:29'!I361)</f>
        <v>0</v>
      </c>
      <c r="J361" s="14">
        <f>+SUM('31:29'!J361)</f>
        <v>0</v>
      </c>
      <c r="K361" s="145">
        <f t="shared" si="38"/>
        <v>0</v>
      </c>
      <c r="L361" s="145">
        <f t="shared" si="39"/>
        <v>0</v>
      </c>
      <c r="M361" s="145">
        <v>311.2</v>
      </c>
      <c r="N361" s="145">
        <f>+M361*1000/(100*4*16*60)*T361</f>
        <v>4.8624999999999998</v>
      </c>
      <c r="O361" s="14">
        <f>+SUM('31:29'!O361)</f>
        <v>0</v>
      </c>
      <c r="P361" s="145">
        <f t="shared" si="40"/>
        <v>0</v>
      </c>
      <c r="Q361" s="14">
        <f>+SUM('31:29'!Q361)</f>
        <v>0</v>
      </c>
      <c r="R361" s="19">
        <f t="shared" si="41"/>
        <v>0</v>
      </c>
      <c r="S361" s="145">
        <f t="shared" si="42"/>
        <v>0</v>
      </c>
      <c r="T361" s="20">
        <v>6</v>
      </c>
      <c r="U361" s="14">
        <f>+SUM('31:29'!U361)</f>
        <v>0</v>
      </c>
      <c r="V361" s="142"/>
      <c r="W361" s="14">
        <f>+SUM('31:29'!W361)</f>
        <v>0</v>
      </c>
      <c r="X361" s="14">
        <f>+SUM('31:29'!X361)</f>
        <v>0</v>
      </c>
      <c r="Y361" s="14">
        <f>+SUM('31:29'!Y361)</f>
        <v>0</v>
      </c>
      <c r="Z361" s="14">
        <f>+SUM('31:29'!Z361)</f>
        <v>0</v>
      </c>
      <c r="AA361" s="14">
        <f>+SUM('31:29'!AA361)</f>
        <v>0</v>
      </c>
      <c r="AB361" s="14">
        <f>+SUM('31:29'!AB361)</f>
        <v>0</v>
      </c>
      <c r="AC361" s="14">
        <f>+SUM('31:29'!AC361)</f>
        <v>0</v>
      </c>
    </row>
    <row r="362" spans="1:29" s="2" customFormat="1" ht="21.95" customHeight="1">
      <c r="A362" s="141">
        <v>300402</v>
      </c>
      <c r="B362" s="135">
        <v>18501</v>
      </c>
      <c r="C362" s="230" t="s">
        <v>142</v>
      </c>
      <c r="D362" s="231"/>
      <c r="E362" s="147" t="s">
        <v>143</v>
      </c>
      <c r="F362" s="146"/>
      <c r="G362" s="14">
        <f>+SUM('31:29'!G362)</f>
        <v>0</v>
      </c>
      <c r="H362" s="14">
        <f>+SUM('31:29'!H362)</f>
        <v>0</v>
      </c>
      <c r="I362" s="14">
        <f>+SUM('31:29'!I362)</f>
        <v>0</v>
      </c>
      <c r="J362" s="14">
        <f>+SUM('31:29'!J362)</f>
        <v>0</v>
      </c>
      <c r="K362" s="145">
        <f t="shared" si="38"/>
        <v>0</v>
      </c>
      <c r="L362" s="145">
        <f t="shared" si="39"/>
        <v>0</v>
      </c>
      <c r="M362" s="145">
        <v>465.3</v>
      </c>
      <c r="N362" s="145">
        <f>+M362*1000/(137*4*16*60)*T362</f>
        <v>5.3067974452554747</v>
      </c>
      <c r="O362" s="14">
        <f>+SUM('31:29'!O362)</f>
        <v>0</v>
      </c>
      <c r="P362" s="145">
        <f t="shared" si="40"/>
        <v>0</v>
      </c>
      <c r="Q362" s="14">
        <f>+SUM('31:29'!Q362)</f>
        <v>0</v>
      </c>
      <c r="R362" s="19">
        <f t="shared" si="41"/>
        <v>0</v>
      </c>
      <c r="S362" s="145">
        <f t="shared" si="42"/>
        <v>0</v>
      </c>
      <c r="T362" s="20">
        <v>6</v>
      </c>
      <c r="U362" s="14">
        <f>+SUM('31:29'!U362)</f>
        <v>0</v>
      </c>
      <c r="V362" s="142"/>
      <c r="W362" s="14">
        <f>+SUM('31:29'!W362)</f>
        <v>0</v>
      </c>
      <c r="X362" s="14">
        <f>+SUM('31:29'!X362)</f>
        <v>0</v>
      </c>
      <c r="Y362" s="14">
        <f>+SUM('31:29'!Y362)</f>
        <v>0</v>
      </c>
      <c r="Z362" s="14">
        <f>+SUM('31:29'!Z362)</f>
        <v>0</v>
      </c>
      <c r="AA362" s="14">
        <f>+SUM('31:29'!AA362)</f>
        <v>0</v>
      </c>
      <c r="AB362" s="14">
        <f>+SUM('31:29'!AB362)</f>
        <v>0</v>
      </c>
      <c r="AC362" s="14">
        <f>+SUM('31:29'!AC362)</f>
        <v>0</v>
      </c>
    </row>
    <row r="363" spans="1:29" s="2" customFormat="1" ht="21.95" customHeight="1">
      <c r="A363" s="141">
        <v>300403</v>
      </c>
      <c r="B363" s="135">
        <v>18501</v>
      </c>
      <c r="C363" s="230" t="s">
        <v>142</v>
      </c>
      <c r="D363" s="231"/>
      <c r="E363" s="147" t="s">
        <v>144</v>
      </c>
      <c r="F363" s="146"/>
      <c r="G363" s="14">
        <f>+SUM('31:29'!G363)</f>
        <v>0</v>
      </c>
      <c r="H363" s="14">
        <f>+SUM('31:29'!H363)</f>
        <v>0</v>
      </c>
      <c r="I363" s="14">
        <f>+SUM('31:29'!I363)</f>
        <v>0</v>
      </c>
      <c r="J363" s="14">
        <f>+SUM('31:29'!J363)</f>
        <v>0</v>
      </c>
      <c r="K363" s="145">
        <f t="shared" ref="K363:K399" si="46">G363*M363</f>
        <v>0</v>
      </c>
      <c r="L363" s="145">
        <f t="shared" ref="L363:L399" si="47">I363*M363</f>
        <v>0</v>
      </c>
      <c r="M363" s="145">
        <v>465.3</v>
      </c>
      <c r="N363" s="145">
        <f>+M363*1000/(137*4*16*60)*T363</f>
        <v>5.3067974452554747</v>
      </c>
      <c r="O363" s="14">
        <f>+SUM('31:29'!O363)</f>
        <v>0</v>
      </c>
      <c r="P363" s="145">
        <f t="shared" ref="P363:P399" si="48">N363*I363+O363*U363</f>
        <v>0</v>
      </c>
      <c r="Q363" s="14">
        <f>+SUM('31:29'!Q363)</f>
        <v>0</v>
      </c>
      <c r="R363" s="19">
        <f t="shared" ref="R363:R399" si="49">Q363*U363</f>
        <v>0</v>
      </c>
      <c r="S363" s="145">
        <f t="shared" ref="S363:S399" si="50">R363-P363</f>
        <v>0</v>
      </c>
      <c r="T363" s="20">
        <v>6</v>
      </c>
      <c r="U363" s="14">
        <f>+SUM('31:29'!U363)</f>
        <v>0</v>
      </c>
      <c r="V363" s="142"/>
      <c r="W363" s="14">
        <f>+SUM('31:29'!W363)</f>
        <v>0</v>
      </c>
      <c r="X363" s="14">
        <f>+SUM('31:29'!X363)</f>
        <v>0</v>
      </c>
      <c r="Y363" s="14">
        <f>+SUM('31:29'!Y363)</f>
        <v>0</v>
      </c>
      <c r="Z363" s="14">
        <f>+SUM('31:29'!Z363)</f>
        <v>0</v>
      </c>
      <c r="AA363" s="14">
        <f>+SUM('31:29'!AA363)</f>
        <v>0</v>
      </c>
      <c r="AB363" s="14">
        <f>+SUM('31:29'!AB363)</f>
        <v>0</v>
      </c>
      <c r="AC363" s="14">
        <f>+SUM('31:29'!AC363)</f>
        <v>0</v>
      </c>
    </row>
    <row r="364" spans="1:29" s="2" customFormat="1" ht="21.95" customHeight="1">
      <c r="A364" s="141">
        <v>300404</v>
      </c>
      <c r="B364" s="135">
        <v>18501</v>
      </c>
      <c r="C364" s="230" t="s">
        <v>142</v>
      </c>
      <c r="D364" s="231"/>
      <c r="E364" s="147" t="s">
        <v>70</v>
      </c>
      <c r="F364" s="146"/>
      <c r="G364" s="14">
        <f>+SUM('31:29'!G364)</f>
        <v>0</v>
      </c>
      <c r="H364" s="14">
        <f>+SUM('31:29'!H364)</f>
        <v>0</v>
      </c>
      <c r="I364" s="14">
        <f>+SUM('31:29'!I364)</f>
        <v>0</v>
      </c>
      <c r="J364" s="14">
        <f>+SUM('31:29'!J364)</f>
        <v>0</v>
      </c>
      <c r="K364" s="145">
        <f t="shared" si="46"/>
        <v>0</v>
      </c>
      <c r="L364" s="145">
        <f t="shared" si="47"/>
        <v>0</v>
      </c>
      <c r="M364" s="145">
        <v>465.3</v>
      </c>
      <c r="N364" s="145">
        <f>+M364*1000/(137*4*16*60)*T364</f>
        <v>5.3067974452554747</v>
      </c>
      <c r="O364" s="14">
        <f>+SUM('31:29'!O364)</f>
        <v>0</v>
      </c>
      <c r="P364" s="145">
        <f t="shared" si="48"/>
        <v>0</v>
      </c>
      <c r="Q364" s="14">
        <f>+SUM('31:29'!Q364)</f>
        <v>0</v>
      </c>
      <c r="R364" s="19">
        <f t="shared" si="49"/>
        <v>0</v>
      </c>
      <c r="S364" s="145">
        <f t="shared" si="50"/>
        <v>0</v>
      </c>
      <c r="T364" s="20">
        <v>6</v>
      </c>
      <c r="U364" s="14">
        <f>+SUM('31:29'!U364)</f>
        <v>0</v>
      </c>
      <c r="V364" s="142"/>
      <c r="W364" s="14">
        <f>+SUM('31:29'!W364)</f>
        <v>0</v>
      </c>
      <c r="X364" s="14">
        <f>+SUM('31:29'!X364)</f>
        <v>0</v>
      </c>
      <c r="Y364" s="14">
        <f>+SUM('31:29'!Y364)</f>
        <v>0</v>
      </c>
      <c r="Z364" s="14">
        <f>+SUM('31:29'!Z364)</f>
        <v>0</v>
      </c>
      <c r="AA364" s="14">
        <f>+SUM('31:29'!AA364)</f>
        <v>0</v>
      </c>
      <c r="AB364" s="14">
        <f>+SUM('31:29'!AB364)</f>
        <v>0</v>
      </c>
      <c r="AC364" s="14">
        <f>+SUM('31:29'!AC364)</f>
        <v>0</v>
      </c>
    </row>
    <row r="365" spans="1:29" s="2" customFormat="1" ht="21.95" customHeight="1">
      <c r="A365" s="141">
        <v>300405</v>
      </c>
      <c r="B365" s="135">
        <v>18501</v>
      </c>
      <c r="C365" s="230" t="s">
        <v>142</v>
      </c>
      <c r="D365" s="231"/>
      <c r="E365" s="147" t="s">
        <v>35</v>
      </c>
      <c r="F365" s="146"/>
      <c r="G365" s="14">
        <f>+SUM('31:29'!G365)</f>
        <v>0</v>
      </c>
      <c r="H365" s="14">
        <f>+SUM('31:29'!H365)</f>
        <v>0</v>
      </c>
      <c r="I365" s="14">
        <f>+SUM('31:29'!I365)</f>
        <v>0</v>
      </c>
      <c r="J365" s="14">
        <f>+SUM('31:29'!J365)</f>
        <v>0</v>
      </c>
      <c r="K365" s="145">
        <f t="shared" si="46"/>
        <v>0</v>
      </c>
      <c r="L365" s="145">
        <f t="shared" si="47"/>
        <v>0</v>
      </c>
      <c r="M365" s="145">
        <v>465.3</v>
      </c>
      <c r="N365" s="145">
        <f>+M365*1000/(137*4*16*60)*T365</f>
        <v>5.3067974452554747</v>
      </c>
      <c r="O365" s="14">
        <f>+SUM('31:29'!O365)</f>
        <v>0</v>
      </c>
      <c r="P365" s="145">
        <f t="shared" si="48"/>
        <v>0</v>
      </c>
      <c r="Q365" s="14">
        <f>+SUM('31:29'!Q365)</f>
        <v>0</v>
      </c>
      <c r="R365" s="19">
        <f t="shared" si="49"/>
        <v>0</v>
      </c>
      <c r="S365" s="145">
        <f t="shared" si="50"/>
        <v>0</v>
      </c>
      <c r="T365" s="20">
        <v>6</v>
      </c>
      <c r="U365" s="14">
        <f>+SUM('31:29'!U365)</f>
        <v>0</v>
      </c>
      <c r="V365" s="142"/>
      <c r="W365" s="14">
        <f>+SUM('31:29'!W365)</f>
        <v>0</v>
      </c>
      <c r="X365" s="14">
        <f>+SUM('31:29'!X365)</f>
        <v>0</v>
      </c>
      <c r="Y365" s="14">
        <f>+SUM('31:29'!Y365)</f>
        <v>0</v>
      </c>
      <c r="Z365" s="14">
        <f>+SUM('31:29'!Z365)</f>
        <v>0</v>
      </c>
      <c r="AA365" s="14">
        <f>+SUM('31:29'!AA365)</f>
        <v>0</v>
      </c>
      <c r="AB365" s="14">
        <f>+SUM('31:29'!AB365)</f>
        <v>0</v>
      </c>
      <c r="AC365" s="14">
        <f>+SUM('31:29'!AC365)</f>
        <v>0</v>
      </c>
    </row>
    <row r="366" spans="1:29" s="2" customFormat="1" ht="21.95" customHeight="1">
      <c r="A366" s="141">
        <v>300372</v>
      </c>
      <c r="B366" s="135">
        <v>18501</v>
      </c>
      <c r="C366" s="230" t="s">
        <v>145</v>
      </c>
      <c r="D366" s="231"/>
      <c r="E366" s="147" t="s">
        <v>47</v>
      </c>
      <c r="F366" s="146"/>
      <c r="G366" s="14">
        <f>+SUM('31:29'!G366)</f>
        <v>0</v>
      </c>
      <c r="H366" s="14">
        <f>+SUM('31:29'!H366)</f>
        <v>0</v>
      </c>
      <c r="I366" s="14">
        <f>+SUM('31:29'!I366)</f>
        <v>0</v>
      </c>
      <c r="J366" s="14">
        <f>+SUM('31:29'!J366)</f>
        <v>0</v>
      </c>
      <c r="K366" s="145">
        <f t="shared" si="46"/>
        <v>0</v>
      </c>
      <c r="L366" s="145">
        <f t="shared" si="47"/>
        <v>0</v>
      </c>
      <c r="M366" s="145">
        <v>420.58</v>
      </c>
      <c r="N366" s="145">
        <f>+M366*1000/(140*4*16*60)*T366</f>
        <v>4.6939732142857142</v>
      </c>
      <c r="O366" s="14">
        <f>+SUM('31:29'!O366)</f>
        <v>0</v>
      </c>
      <c r="P366" s="145">
        <f t="shared" si="48"/>
        <v>0</v>
      </c>
      <c r="Q366" s="14">
        <f>+SUM('31:29'!Q366)</f>
        <v>0</v>
      </c>
      <c r="R366" s="19">
        <f t="shared" si="49"/>
        <v>0</v>
      </c>
      <c r="S366" s="145">
        <f t="shared" si="50"/>
        <v>0</v>
      </c>
      <c r="T366" s="20">
        <v>6</v>
      </c>
      <c r="U366" s="14">
        <f>+SUM('31:29'!U366)</f>
        <v>0</v>
      </c>
      <c r="V366" s="142"/>
      <c r="W366" s="14">
        <f>+SUM('31:29'!W366)</f>
        <v>0</v>
      </c>
      <c r="X366" s="14">
        <f>+SUM('31:29'!X366)</f>
        <v>0</v>
      </c>
      <c r="Y366" s="14">
        <f>+SUM('31:29'!Y366)</f>
        <v>0</v>
      </c>
      <c r="Z366" s="14">
        <f>+SUM('31:29'!Z366)</f>
        <v>0</v>
      </c>
      <c r="AA366" s="14">
        <f>+SUM('31:29'!AA366)</f>
        <v>0</v>
      </c>
      <c r="AB366" s="14">
        <f>+SUM('31:29'!AB366)</f>
        <v>0</v>
      </c>
      <c r="AC366" s="14">
        <f>+SUM('31:29'!AC366)</f>
        <v>0</v>
      </c>
    </row>
    <row r="367" spans="1:29" s="2" customFormat="1" ht="21.95" customHeight="1">
      <c r="A367" s="141">
        <v>300373</v>
      </c>
      <c r="B367" s="135">
        <v>18501</v>
      </c>
      <c r="C367" s="230" t="s">
        <v>145</v>
      </c>
      <c r="D367" s="231"/>
      <c r="E367" s="147" t="s">
        <v>138</v>
      </c>
      <c r="F367" s="146"/>
      <c r="G367" s="14">
        <f>+SUM('31:29'!G367)</f>
        <v>0</v>
      </c>
      <c r="H367" s="14">
        <f>+SUM('31:29'!H367)</f>
        <v>0</v>
      </c>
      <c r="I367" s="14">
        <f>+SUM('31:29'!I367)</f>
        <v>0</v>
      </c>
      <c r="J367" s="14">
        <f>+SUM('31:29'!J367)</f>
        <v>0</v>
      </c>
      <c r="K367" s="145">
        <f t="shared" si="46"/>
        <v>0</v>
      </c>
      <c r="L367" s="145">
        <f t="shared" si="47"/>
        <v>0</v>
      </c>
      <c r="M367" s="145">
        <v>420.58</v>
      </c>
      <c r="N367" s="145">
        <f>+M367*1000/(140*4*16*60)*T367</f>
        <v>4.6939732142857142</v>
      </c>
      <c r="O367" s="14">
        <f>+SUM('31:29'!O367)</f>
        <v>0</v>
      </c>
      <c r="P367" s="145">
        <f t="shared" si="48"/>
        <v>0</v>
      </c>
      <c r="Q367" s="14">
        <f>+SUM('31:29'!Q367)</f>
        <v>0</v>
      </c>
      <c r="R367" s="19">
        <f t="shared" si="49"/>
        <v>0</v>
      </c>
      <c r="S367" s="145">
        <f t="shared" si="50"/>
        <v>0</v>
      </c>
      <c r="T367" s="20">
        <v>6</v>
      </c>
      <c r="U367" s="14">
        <f>+SUM('31:29'!U367)</f>
        <v>0</v>
      </c>
      <c r="V367" s="142"/>
      <c r="W367" s="14">
        <f>+SUM('31:29'!W367)</f>
        <v>0</v>
      </c>
      <c r="X367" s="14">
        <f>+SUM('31:29'!X367)</f>
        <v>0</v>
      </c>
      <c r="Y367" s="14">
        <f>+SUM('31:29'!Y367)</f>
        <v>0</v>
      </c>
      <c r="Z367" s="14">
        <f>+SUM('31:29'!Z367)</f>
        <v>0</v>
      </c>
      <c r="AA367" s="14">
        <f>+SUM('31:29'!AA367)</f>
        <v>0</v>
      </c>
      <c r="AB367" s="14">
        <f>+SUM('31:29'!AB367)</f>
        <v>0</v>
      </c>
      <c r="AC367" s="14">
        <f>+SUM('31:29'!AC367)</f>
        <v>0</v>
      </c>
    </row>
    <row r="368" spans="1:29" s="2" customFormat="1" ht="21.95" customHeight="1">
      <c r="A368" s="141">
        <v>300374</v>
      </c>
      <c r="B368" s="135">
        <v>18501</v>
      </c>
      <c r="C368" s="230" t="s">
        <v>145</v>
      </c>
      <c r="D368" s="231"/>
      <c r="E368" s="147" t="s">
        <v>139</v>
      </c>
      <c r="F368" s="146"/>
      <c r="G368" s="14">
        <f>+SUM('31:29'!G368)</f>
        <v>0</v>
      </c>
      <c r="H368" s="14">
        <f>+SUM('31:29'!H368)</f>
        <v>0</v>
      </c>
      <c r="I368" s="14">
        <f>+SUM('31:29'!I368)</f>
        <v>0</v>
      </c>
      <c r="J368" s="14">
        <f>+SUM('31:29'!J368)</f>
        <v>0</v>
      </c>
      <c r="K368" s="145">
        <f t="shared" si="46"/>
        <v>0</v>
      </c>
      <c r="L368" s="145">
        <f t="shared" si="47"/>
        <v>0</v>
      </c>
      <c r="M368" s="145">
        <v>420.58</v>
      </c>
      <c r="N368" s="145">
        <f>+M368*1000/(140*4*16*60)*T368</f>
        <v>4.6939732142857142</v>
      </c>
      <c r="O368" s="14">
        <f>+SUM('31:29'!O368)</f>
        <v>0</v>
      </c>
      <c r="P368" s="145">
        <f t="shared" si="48"/>
        <v>0</v>
      </c>
      <c r="Q368" s="14">
        <f>+SUM('31:29'!Q368)</f>
        <v>0</v>
      </c>
      <c r="R368" s="19">
        <f t="shared" si="49"/>
        <v>0</v>
      </c>
      <c r="S368" s="145">
        <f t="shared" si="50"/>
        <v>0</v>
      </c>
      <c r="T368" s="20">
        <v>6</v>
      </c>
      <c r="U368" s="14">
        <f>+SUM('31:29'!U368)</f>
        <v>0</v>
      </c>
      <c r="V368" s="142"/>
      <c r="W368" s="14">
        <f>+SUM('31:29'!W368)</f>
        <v>0</v>
      </c>
      <c r="X368" s="14">
        <f>+SUM('31:29'!X368)</f>
        <v>0</v>
      </c>
      <c r="Y368" s="14">
        <f>+SUM('31:29'!Y368)</f>
        <v>0</v>
      </c>
      <c r="Z368" s="14">
        <f>+SUM('31:29'!Z368)</f>
        <v>0</v>
      </c>
      <c r="AA368" s="14">
        <f>+SUM('31:29'!AA368)</f>
        <v>0</v>
      </c>
      <c r="AB368" s="14">
        <f>+SUM('31:29'!AB368)</f>
        <v>0</v>
      </c>
      <c r="AC368" s="14">
        <f>+SUM('31:29'!AC368)</f>
        <v>0</v>
      </c>
    </row>
    <row r="369" spans="1:29" s="2" customFormat="1" ht="21.95" customHeight="1">
      <c r="A369" s="141">
        <v>300375</v>
      </c>
      <c r="B369" s="135">
        <v>18501</v>
      </c>
      <c r="C369" s="230" t="s">
        <v>145</v>
      </c>
      <c r="D369" s="231"/>
      <c r="E369" s="147" t="s">
        <v>74</v>
      </c>
      <c r="F369" s="146"/>
      <c r="G369" s="14">
        <f>+SUM('31:29'!G369)</f>
        <v>0</v>
      </c>
      <c r="H369" s="14">
        <f>+SUM('31:29'!H369)</f>
        <v>0</v>
      </c>
      <c r="I369" s="14">
        <f>+SUM('31:29'!I369)</f>
        <v>0</v>
      </c>
      <c r="J369" s="14">
        <f>+SUM('31:29'!J369)</f>
        <v>0</v>
      </c>
      <c r="K369" s="145">
        <f t="shared" si="46"/>
        <v>0</v>
      </c>
      <c r="L369" s="145">
        <f t="shared" si="47"/>
        <v>0</v>
      </c>
      <c r="M369" s="145">
        <v>420.58</v>
      </c>
      <c r="N369" s="145">
        <f>+M369*1000/(140*4*16*60)*T369</f>
        <v>4.6939732142857142</v>
      </c>
      <c r="O369" s="14">
        <f>+SUM('31:29'!O369)</f>
        <v>0</v>
      </c>
      <c r="P369" s="145">
        <f t="shared" si="48"/>
        <v>0</v>
      </c>
      <c r="Q369" s="14">
        <f>+SUM('31:29'!Q369)</f>
        <v>0</v>
      </c>
      <c r="R369" s="19">
        <f t="shared" si="49"/>
        <v>0</v>
      </c>
      <c r="S369" s="145">
        <f t="shared" si="50"/>
        <v>0</v>
      </c>
      <c r="T369" s="20">
        <v>6</v>
      </c>
      <c r="U369" s="14">
        <f>+SUM('31:29'!U369)</f>
        <v>0</v>
      </c>
      <c r="V369" s="142"/>
      <c r="W369" s="14">
        <f>+SUM('31:29'!W369)</f>
        <v>0</v>
      </c>
      <c r="X369" s="14">
        <f>+SUM('31:29'!X369)</f>
        <v>0</v>
      </c>
      <c r="Y369" s="14">
        <f>+SUM('31:29'!Y369)</f>
        <v>0</v>
      </c>
      <c r="Z369" s="14">
        <f>+SUM('31:29'!Z369)</f>
        <v>0</v>
      </c>
      <c r="AA369" s="14">
        <f>+SUM('31:29'!AA369)</f>
        <v>0</v>
      </c>
      <c r="AB369" s="14">
        <f>+SUM('31:29'!AB369)</f>
        <v>0</v>
      </c>
      <c r="AC369" s="14">
        <f>+SUM('31:29'!AC369)</f>
        <v>0</v>
      </c>
    </row>
    <row r="370" spans="1:29" s="2" customFormat="1" ht="21.95" customHeight="1">
      <c r="A370" s="141">
        <v>300341</v>
      </c>
      <c r="B370" s="135">
        <v>18501</v>
      </c>
      <c r="C370" s="237" t="s">
        <v>146</v>
      </c>
      <c r="D370" s="238"/>
      <c r="E370" s="147" t="s">
        <v>39</v>
      </c>
      <c r="F370" s="146"/>
      <c r="G370" s="14">
        <f>+SUM('31:29'!G370)</f>
        <v>0</v>
      </c>
      <c r="H370" s="14">
        <f>+SUM('31:29'!H370)</f>
        <v>0</v>
      </c>
      <c r="I370" s="14">
        <f>+SUM('31:29'!I370)</f>
        <v>0</v>
      </c>
      <c r="J370" s="14">
        <f>+SUM('31:29'!J370)</f>
        <v>0</v>
      </c>
      <c r="K370" s="145">
        <f t="shared" si="46"/>
        <v>0</v>
      </c>
      <c r="L370" s="145">
        <f t="shared" si="47"/>
        <v>0</v>
      </c>
      <c r="M370" s="145">
        <v>439.3</v>
      </c>
      <c r="N370" s="145">
        <f>+M370*1000/(169.7*4*13*60)*T370</f>
        <v>4.1485351223123761</v>
      </c>
      <c r="O370" s="14">
        <f>+SUM('31:29'!O370)</f>
        <v>0</v>
      </c>
      <c r="P370" s="145">
        <f t="shared" si="48"/>
        <v>0</v>
      </c>
      <c r="Q370" s="14">
        <f>+SUM('31:29'!Q370)</f>
        <v>0</v>
      </c>
      <c r="R370" s="19">
        <f t="shared" si="49"/>
        <v>0</v>
      </c>
      <c r="S370" s="145">
        <f t="shared" si="50"/>
        <v>0</v>
      </c>
      <c r="T370" s="20">
        <v>5</v>
      </c>
      <c r="U370" s="14">
        <f>+SUM('31:29'!U370)</f>
        <v>0</v>
      </c>
      <c r="V370" s="142"/>
      <c r="W370" s="14">
        <f>+SUM('31:29'!W370)</f>
        <v>0</v>
      </c>
      <c r="X370" s="14">
        <f>+SUM('31:29'!X370)</f>
        <v>0</v>
      </c>
      <c r="Y370" s="14">
        <f>+SUM('31:29'!Y370)</f>
        <v>0</v>
      </c>
      <c r="Z370" s="14">
        <f>+SUM('31:29'!Z370)</f>
        <v>0</v>
      </c>
      <c r="AA370" s="14">
        <f>+SUM('31:29'!AA370)</f>
        <v>0</v>
      </c>
      <c r="AB370" s="14">
        <f>+SUM('31:29'!AB370)</f>
        <v>0</v>
      </c>
      <c r="AC370" s="14">
        <f>+SUM('31:29'!AC370)</f>
        <v>0</v>
      </c>
    </row>
    <row r="371" spans="1:29" s="2" customFormat="1" ht="21.95" customHeight="1">
      <c r="A371" s="141">
        <v>300342</v>
      </c>
      <c r="B371" s="135">
        <v>18501</v>
      </c>
      <c r="C371" s="237" t="s">
        <v>146</v>
      </c>
      <c r="D371" s="238"/>
      <c r="E371" s="147" t="s">
        <v>80</v>
      </c>
      <c r="F371" s="146"/>
      <c r="G371" s="14">
        <f>+SUM('31:29'!G371)</f>
        <v>0</v>
      </c>
      <c r="H371" s="14">
        <f>+SUM('31:29'!H371)</f>
        <v>0</v>
      </c>
      <c r="I371" s="14">
        <f>+SUM('31:29'!I371)</f>
        <v>0</v>
      </c>
      <c r="J371" s="14">
        <f>+SUM('31:29'!J371)</f>
        <v>0</v>
      </c>
      <c r="K371" s="145">
        <f t="shared" si="46"/>
        <v>0</v>
      </c>
      <c r="L371" s="145">
        <f t="shared" si="47"/>
        <v>0</v>
      </c>
      <c r="M371" s="145">
        <v>439.3</v>
      </c>
      <c r="N371" s="145">
        <f t="shared" ref="N371:N376" si="51">+M371*1000/(169.7*4*13*60)*T371</f>
        <v>4.1485351223123761</v>
      </c>
      <c r="O371" s="14">
        <f>+SUM('31:29'!O371)</f>
        <v>0</v>
      </c>
      <c r="P371" s="145">
        <f t="shared" si="48"/>
        <v>0</v>
      </c>
      <c r="Q371" s="14">
        <f>+SUM('31:29'!Q371)</f>
        <v>0</v>
      </c>
      <c r="R371" s="19">
        <f t="shared" si="49"/>
        <v>0</v>
      </c>
      <c r="S371" s="145">
        <f t="shared" si="50"/>
        <v>0</v>
      </c>
      <c r="T371" s="20">
        <v>5</v>
      </c>
      <c r="U371" s="14">
        <f>+SUM('31:29'!U371)</f>
        <v>0</v>
      </c>
      <c r="V371" s="142"/>
      <c r="W371" s="14">
        <f>+SUM('31:29'!W371)</f>
        <v>0</v>
      </c>
      <c r="X371" s="14">
        <f>+SUM('31:29'!X371)</f>
        <v>0</v>
      </c>
      <c r="Y371" s="14">
        <f>+SUM('31:29'!Y371)</f>
        <v>0</v>
      </c>
      <c r="Z371" s="14">
        <f>+SUM('31:29'!Z371)</f>
        <v>0</v>
      </c>
      <c r="AA371" s="14">
        <f>+SUM('31:29'!AA371)</f>
        <v>0</v>
      </c>
      <c r="AB371" s="14">
        <f>+SUM('31:29'!AB371)</f>
        <v>0</v>
      </c>
      <c r="AC371" s="14">
        <f>+SUM('31:29'!AC371)</f>
        <v>0</v>
      </c>
    </row>
    <row r="372" spans="1:29" s="2" customFormat="1" ht="21.95" customHeight="1">
      <c r="A372" s="141">
        <v>300343</v>
      </c>
      <c r="B372" s="135">
        <v>18501</v>
      </c>
      <c r="C372" s="237" t="s">
        <v>146</v>
      </c>
      <c r="D372" s="238"/>
      <c r="E372" s="147" t="s">
        <v>35</v>
      </c>
      <c r="F372" s="146"/>
      <c r="G372" s="14">
        <f>+SUM('31:29'!G372)</f>
        <v>0</v>
      </c>
      <c r="H372" s="14">
        <f>+SUM('31:29'!H372)</f>
        <v>0</v>
      </c>
      <c r="I372" s="14">
        <f>+SUM('31:29'!I372)</f>
        <v>0</v>
      </c>
      <c r="J372" s="14">
        <f>+SUM('31:29'!J372)</f>
        <v>0</v>
      </c>
      <c r="K372" s="145">
        <f t="shared" si="46"/>
        <v>0</v>
      </c>
      <c r="L372" s="145">
        <f t="shared" si="47"/>
        <v>0</v>
      </c>
      <c r="M372" s="145">
        <v>455.4</v>
      </c>
      <c r="N372" s="145">
        <f t="shared" si="51"/>
        <v>4.3005756765332483</v>
      </c>
      <c r="O372" s="14">
        <f>+SUM('31:29'!O372)</f>
        <v>0</v>
      </c>
      <c r="P372" s="145">
        <f t="shared" si="48"/>
        <v>0</v>
      </c>
      <c r="Q372" s="14">
        <f>+SUM('31:29'!Q372)</f>
        <v>0</v>
      </c>
      <c r="R372" s="19">
        <f t="shared" si="49"/>
        <v>0</v>
      </c>
      <c r="S372" s="145">
        <f t="shared" si="50"/>
        <v>0</v>
      </c>
      <c r="T372" s="20">
        <v>5</v>
      </c>
      <c r="U372" s="14">
        <f>+SUM('31:29'!U372)</f>
        <v>0</v>
      </c>
      <c r="V372" s="142"/>
      <c r="W372" s="14">
        <f>+SUM('31:29'!W372)</f>
        <v>0</v>
      </c>
      <c r="X372" s="14">
        <f>+SUM('31:29'!X372)</f>
        <v>0</v>
      </c>
      <c r="Y372" s="14">
        <f>+SUM('31:29'!Y372)</f>
        <v>0</v>
      </c>
      <c r="Z372" s="14">
        <f>+SUM('31:29'!Z372)</f>
        <v>0</v>
      </c>
      <c r="AA372" s="14">
        <f>+SUM('31:29'!AA372)</f>
        <v>0</v>
      </c>
      <c r="AB372" s="14">
        <f>+SUM('31:29'!AB372)</f>
        <v>0</v>
      </c>
      <c r="AC372" s="14">
        <f>+SUM('31:29'!AC372)</f>
        <v>0</v>
      </c>
    </row>
    <row r="373" spans="1:29" s="2" customFormat="1" ht="21.95" customHeight="1">
      <c r="A373" s="141">
        <v>300344</v>
      </c>
      <c r="B373" s="135">
        <v>18501</v>
      </c>
      <c r="C373" s="237" t="s">
        <v>146</v>
      </c>
      <c r="D373" s="238"/>
      <c r="E373" s="147" t="s">
        <v>40</v>
      </c>
      <c r="F373" s="146"/>
      <c r="G373" s="14">
        <f>+SUM('31:29'!G373)</f>
        <v>0</v>
      </c>
      <c r="H373" s="14">
        <f>+SUM('31:29'!H373)</f>
        <v>0</v>
      </c>
      <c r="I373" s="14">
        <f>+SUM('31:29'!I373)</f>
        <v>0</v>
      </c>
      <c r="J373" s="14">
        <f>+SUM('31:29'!J373)</f>
        <v>0</v>
      </c>
      <c r="K373" s="145">
        <f t="shared" si="46"/>
        <v>0</v>
      </c>
      <c r="L373" s="145">
        <f t="shared" si="47"/>
        <v>0</v>
      </c>
      <c r="M373" s="145">
        <v>455.4</v>
      </c>
      <c r="N373" s="145">
        <f t="shared" si="51"/>
        <v>4.3005756765332483</v>
      </c>
      <c r="O373" s="14">
        <f>+SUM('31:29'!O373)</f>
        <v>0</v>
      </c>
      <c r="P373" s="145">
        <f t="shared" si="48"/>
        <v>0</v>
      </c>
      <c r="Q373" s="14">
        <f>+SUM('31:29'!Q373)</f>
        <v>0</v>
      </c>
      <c r="R373" s="19">
        <f t="shared" si="49"/>
        <v>0</v>
      </c>
      <c r="S373" s="145">
        <f t="shared" si="50"/>
        <v>0</v>
      </c>
      <c r="T373" s="20">
        <v>5</v>
      </c>
      <c r="U373" s="14">
        <f>+SUM('31:29'!U373)</f>
        <v>0</v>
      </c>
      <c r="V373" s="142"/>
      <c r="W373" s="14">
        <f>+SUM('31:29'!W373)</f>
        <v>0</v>
      </c>
      <c r="X373" s="14">
        <f>+SUM('31:29'!X373)</f>
        <v>0</v>
      </c>
      <c r="Y373" s="14">
        <f>+SUM('31:29'!Y373)</f>
        <v>0</v>
      </c>
      <c r="Z373" s="14">
        <f>+SUM('31:29'!Z373)</f>
        <v>0</v>
      </c>
      <c r="AA373" s="14">
        <f>+SUM('31:29'!AA373)</f>
        <v>0</v>
      </c>
      <c r="AB373" s="14">
        <f>+SUM('31:29'!AB373)</f>
        <v>0</v>
      </c>
      <c r="AC373" s="14">
        <f>+SUM('31:29'!AC373)</f>
        <v>0</v>
      </c>
    </row>
    <row r="374" spans="1:29" s="2" customFormat="1" ht="21.95" customHeight="1">
      <c r="A374" s="141">
        <v>300396</v>
      </c>
      <c r="B374" s="135">
        <v>18501</v>
      </c>
      <c r="C374" s="237" t="s">
        <v>147</v>
      </c>
      <c r="D374" s="238"/>
      <c r="E374" s="147" t="s">
        <v>41</v>
      </c>
      <c r="F374" s="146"/>
      <c r="G374" s="14">
        <f>+SUM('31:29'!G374)</f>
        <v>0</v>
      </c>
      <c r="H374" s="14">
        <f>+SUM('31:29'!H374)</f>
        <v>0</v>
      </c>
      <c r="I374" s="14">
        <f>+SUM('31:29'!I374)</f>
        <v>0</v>
      </c>
      <c r="J374" s="14">
        <f>+SUM('31:29'!J374)</f>
        <v>0</v>
      </c>
      <c r="K374" s="145">
        <f t="shared" si="46"/>
        <v>0</v>
      </c>
      <c r="L374" s="145">
        <f t="shared" si="47"/>
        <v>0</v>
      </c>
      <c r="M374" s="145">
        <v>417.1</v>
      </c>
      <c r="N374" s="145">
        <f t="shared" si="51"/>
        <v>3.9388891407158937</v>
      </c>
      <c r="O374" s="14">
        <f>+SUM('31:29'!O374)</f>
        <v>0</v>
      </c>
      <c r="P374" s="145">
        <f t="shared" si="48"/>
        <v>0</v>
      </c>
      <c r="Q374" s="14">
        <f>+SUM('31:29'!Q374)</f>
        <v>0</v>
      </c>
      <c r="R374" s="19">
        <f t="shared" si="49"/>
        <v>0</v>
      </c>
      <c r="S374" s="145">
        <f t="shared" si="50"/>
        <v>0</v>
      </c>
      <c r="T374" s="20">
        <v>5</v>
      </c>
      <c r="U374" s="14">
        <f>+SUM('31:29'!U374)</f>
        <v>0</v>
      </c>
      <c r="V374" s="142"/>
      <c r="W374" s="14">
        <f>+SUM('31:29'!W374)</f>
        <v>0</v>
      </c>
      <c r="X374" s="14">
        <f>+SUM('31:29'!X374)</f>
        <v>0</v>
      </c>
      <c r="Y374" s="14">
        <f>+SUM('31:29'!Y374)</f>
        <v>0</v>
      </c>
      <c r="Z374" s="14">
        <f>+SUM('31:29'!Z374)</f>
        <v>0</v>
      </c>
      <c r="AA374" s="14">
        <f>+SUM('31:29'!AA374)</f>
        <v>0</v>
      </c>
      <c r="AB374" s="14">
        <f>+SUM('31:29'!AB374)</f>
        <v>0</v>
      </c>
      <c r="AC374" s="14">
        <f>+SUM('31:29'!AC374)</f>
        <v>0</v>
      </c>
    </row>
    <row r="375" spans="1:29" s="2" customFormat="1" ht="21.95" customHeight="1">
      <c r="A375" s="141">
        <v>300397</v>
      </c>
      <c r="B375" s="135">
        <v>18501</v>
      </c>
      <c r="C375" s="237" t="s">
        <v>147</v>
      </c>
      <c r="D375" s="238"/>
      <c r="E375" s="147" t="s">
        <v>66</v>
      </c>
      <c r="F375" s="146"/>
      <c r="G375" s="14">
        <f>+SUM('31:29'!G375)</f>
        <v>0</v>
      </c>
      <c r="H375" s="14">
        <f>+SUM('31:29'!H375)</f>
        <v>0</v>
      </c>
      <c r="I375" s="14">
        <f>+SUM('31:29'!I375)</f>
        <v>0</v>
      </c>
      <c r="J375" s="14">
        <f>+SUM('31:29'!J375)</f>
        <v>0</v>
      </c>
      <c r="K375" s="145">
        <f t="shared" si="46"/>
        <v>0</v>
      </c>
      <c r="L375" s="145">
        <f t="shared" si="47"/>
        <v>0</v>
      </c>
      <c r="M375" s="145">
        <v>417.1</v>
      </c>
      <c r="N375" s="145">
        <f t="shared" si="51"/>
        <v>3.9388891407158937</v>
      </c>
      <c r="O375" s="14">
        <f>+SUM('31:29'!O375)</f>
        <v>0</v>
      </c>
      <c r="P375" s="145">
        <f t="shared" si="48"/>
        <v>0</v>
      </c>
      <c r="Q375" s="14">
        <f>+SUM('31:29'!Q375)</f>
        <v>0</v>
      </c>
      <c r="R375" s="19">
        <f t="shared" si="49"/>
        <v>0</v>
      </c>
      <c r="S375" s="145">
        <f t="shared" si="50"/>
        <v>0</v>
      </c>
      <c r="T375" s="20">
        <v>5</v>
      </c>
      <c r="U375" s="14">
        <f>+SUM('31:29'!U375)</f>
        <v>0</v>
      </c>
      <c r="V375" s="142"/>
      <c r="W375" s="14">
        <f>+SUM('31:29'!W375)</f>
        <v>0</v>
      </c>
      <c r="X375" s="14">
        <f>+SUM('31:29'!X375)</f>
        <v>0</v>
      </c>
      <c r="Y375" s="14">
        <f>+SUM('31:29'!Y375)</f>
        <v>0</v>
      </c>
      <c r="Z375" s="14">
        <f>+SUM('31:29'!Z375)</f>
        <v>0</v>
      </c>
      <c r="AA375" s="14">
        <f>+SUM('31:29'!AA375)</f>
        <v>0</v>
      </c>
      <c r="AB375" s="14">
        <f>+SUM('31:29'!AB375)</f>
        <v>0</v>
      </c>
      <c r="AC375" s="14">
        <f>+SUM('31:29'!AC375)</f>
        <v>0</v>
      </c>
    </row>
    <row r="376" spans="1:29" s="2" customFormat="1" ht="21.95" customHeight="1">
      <c r="A376" s="141">
        <v>300398</v>
      </c>
      <c r="B376" s="135">
        <v>18501</v>
      </c>
      <c r="C376" s="237" t="s">
        <v>147</v>
      </c>
      <c r="D376" s="238"/>
      <c r="E376" s="147" t="s">
        <v>141</v>
      </c>
      <c r="F376" s="146"/>
      <c r="G376" s="14">
        <f>+SUM('31:29'!G376)</f>
        <v>0</v>
      </c>
      <c r="H376" s="14">
        <f>+SUM('31:29'!H376)</f>
        <v>0</v>
      </c>
      <c r="I376" s="14">
        <f>+SUM('31:29'!I376)</f>
        <v>0</v>
      </c>
      <c r="J376" s="14">
        <f>+SUM('31:29'!J376)</f>
        <v>0</v>
      </c>
      <c r="K376" s="145">
        <f t="shared" si="46"/>
        <v>0</v>
      </c>
      <c r="L376" s="145">
        <f t="shared" si="47"/>
        <v>0</v>
      </c>
      <c r="M376" s="145">
        <v>417.1</v>
      </c>
      <c r="N376" s="145">
        <f t="shared" si="51"/>
        <v>3.9388891407158937</v>
      </c>
      <c r="O376" s="14">
        <f>+SUM('31:29'!O376)</f>
        <v>0</v>
      </c>
      <c r="P376" s="145">
        <f t="shared" si="48"/>
        <v>0</v>
      </c>
      <c r="Q376" s="14">
        <f>+SUM('31:29'!Q376)</f>
        <v>0</v>
      </c>
      <c r="R376" s="19">
        <f t="shared" si="49"/>
        <v>0</v>
      </c>
      <c r="S376" s="145">
        <f t="shared" si="50"/>
        <v>0</v>
      </c>
      <c r="T376" s="20">
        <v>5</v>
      </c>
      <c r="U376" s="14">
        <f>+SUM('31:29'!U376)</f>
        <v>0</v>
      </c>
      <c r="V376" s="142"/>
      <c r="W376" s="14">
        <f>+SUM('31:29'!W376)</f>
        <v>0</v>
      </c>
      <c r="X376" s="14">
        <f>+SUM('31:29'!X376)</f>
        <v>0</v>
      </c>
      <c r="Y376" s="14">
        <f>+SUM('31:29'!Y376)</f>
        <v>0</v>
      </c>
      <c r="Z376" s="14">
        <f>+SUM('31:29'!Z376)</f>
        <v>0</v>
      </c>
      <c r="AA376" s="14">
        <f>+SUM('31:29'!AA376)</f>
        <v>0</v>
      </c>
      <c r="AB376" s="14">
        <f>+SUM('31:29'!AB376)</f>
        <v>0</v>
      </c>
      <c r="AC376" s="14">
        <f>+SUM('31:29'!AC376)</f>
        <v>0</v>
      </c>
    </row>
    <row r="377" spans="1:29" s="2" customFormat="1" ht="21.95" customHeight="1">
      <c r="A377" s="141">
        <v>300271</v>
      </c>
      <c r="B377" s="135">
        <v>18501</v>
      </c>
      <c r="C377" s="219" t="s">
        <v>148</v>
      </c>
      <c r="D377" s="219"/>
      <c r="E377" s="147" t="s">
        <v>134</v>
      </c>
      <c r="F377" s="146"/>
      <c r="G377" s="14">
        <f>+SUM('31:29'!G377)</f>
        <v>0</v>
      </c>
      <c r="H377" s="14">
        <f>+SUM('31:29'!H377)</f>
        <v>0</v>
      </c>
      <c r="I377" s="14">
        <f>+SUM('31:29'!I377)</f>
        <v>0</v>
      </c>
      <c r="J377" s="14">
        <f>+SUM('31:29'!J377)</f>
        <v>0</v>
      </c>
      <c r="K377" s="145">
        <f t="shared" si="46"/>
        <v>0</v>
      </c>
      <c r="L377" s="145">
        <f t="shared" si="47"/>
        <v>0</v>
      </c>
      <c r="M377" s="145">
        <v>580.1</v>
      </c>
      <c r="N377" s="145">
        <f>+M377*1000/(188*4*13*60)*T377</f>
        <v>4.9449331696672125</v>
      </c>
      <c r="O377" s="14">
        <f>+SUM('31:29'!O377)</f>
        <v>0</v>
      </c>
      <c r="P377" s="145">
        <f t="shared" si="48"/>
        <v>0</v>
      </c>
      <c r="Q377" s="14">
        <f>+SUM('31:29'!Q377)</f>
        <v>0</v>
      </c>
      <c r="R377" s="19">
        <f t="shared" si="49"/>
        <v>0</v>
      </c>
      <c r="S377" s="145">
        <f t="shared" si="50"/>
        <v>0</v>
      </c>
      <c r="T377" s="20">
        <v>5</v>
      </c>
      <c r="U377" s="14">
        <f>+SUM('31:29'!U377)</f>
        <v>0</v>
      </c>
      <c r="V377" s="142" t="str">
        <f t="array" ref="V377">IF(ISERROR(L377/K377),"",L377/K377)</f>
        <v/>
      </c>
      <c r="W377" s="14">
        <f>+SUM('31:29'!W377)</f>
        <v>0</v>
      </c>
      <c r="X377" s="14">
        <f>+SUM('31:29'!X377)</f>
        <v>0</v>
      </c>
      <c r="Y377" s="14">
        <f>+SUM('31:29'!Y377)</f>
        <v>0</v>
      </c>
      <c r="Z377" s="14">
        <f>+SUM('31:29'!Z377)</f>
        <v>0</v>
      </c>
      <c r="AA377" s="14">
        <f>+SUM('31:29'!AA377)</f>
        <v>0</v>
      </c>
      <c r="AB377" s="14">
        <f>+SUM('31:29'!AB377)</f>
        <v>0</v>
      </c>
      <c r="AC377" s="14">
        <f>+SUM('31:29'!AC377)</f>
        <v>0</v>
      </c>
    </row>
    <row r="378" spans="1:29" s="2" customFormat="1" ht="21.95" customHeight="1">
      <c r="A378" s="141">
        <v>300009</v>
      </c>
      <c r="B378" s="135">
        <v>18501</v>
      </c>
      <c r="C378" s="219" t="s">
        <v>149</v>
      </c>
      <c r="D378" s="219" t="s">
        <v>150</v>
      </c>
      <c r="E378" s="147" t="s">
        <v>127</v>
      </c>
      <c r="F378" s="146"/>
      <c r="G378" s="14">
        <f>+SUM('31:29'!G378)</f>
        <v>14.43</v>
      </c>
      <c r="H378" s="14">
        <f>+SUM('31:29'!H378)</f>
        <v>0.8</v>
      </c>
      <c r="I378" s="14">
        <f>+SUM('31:29'!I378)</f>
        <v>14.425000000000001</v>
      </c>
      <c r="J378" s="14">
        <f>+SUM('31:29'!J378)</f>
        <v>150</v>
      </c>
      <c r="K378" s="145">
        <f t="shared" si="46"/>
        <v>7515.1439999999993</v>
      </c>
      <c r="L378" s="145">
        <f t="shared" si="47"/>
        <v>7512.54</v>
      </c>
      <c r="M378" s="15">
        <v>520.79999999999995</v>
      </c>
      <c r="N378" s="145">
        <f>+M378*1000/(188*4*13*60)*T378</f>
        <v>4.4394435351882153</v>
      </c>
      <c r="O378" s="14">
        <f>+SUM('31:29'!O378)</f>
        <v>0</v>
      </c>
      <c r="P378" s="145">
        <f t="shared" si="48"/>
        <v>64.038972995090006</v>
      </c>
      <c r="Q378" s="14">
        <f>+SUM('31:29'!Q378)</f>
        <v>15.5</v>
      </c>
      <c r="R378" s="19">
        <f t="shared" si="49"/>
        <v>217</v>
      </c>
      <c r="S378" s="145">
        <f t="shared" si="50"/>
        <v>152.96102700490999</v>
      </c>
      <c r="T378" s="20">
        <v>5</v>
      </c>
      <c r="U378" s="14">
        <f>+SUM('31:29'!U378)</f>
        <v>14</v>
      </c>
      <c r="V378" s="142">
        <f t="array" ref="V378">IF(ISERROR(L378/K378),"",L378/K378)</f>
        <v>0.9996534996534997</v>
      </c>
      <c r="W378" s="14">
        <f>+SUM('31:29'!W378)</f>
        <v>0</v>
      </c>
      <c r="X378" s="14">
        <f>+SUM('31:29'!X378)</f>
        <v>0</v>
      </c>
      <c r="Y378" s="14">
        <f>+SUM('31:29'!Y378)</f>
        <v>0</v>
      </c>
      <c r="Z378" s="14">
        <f>+SUM('31:29'!Z378)</f>
        <v>0</v>
      </c>
      <c r="AA378" s="14">
        <f>+SUM('31:29'!AA378)</f>
        <v>0</v>
      </c>
      <c r="AB378" s="14">
        <f>+SUM('31:29'!AB378)</f>
        <v>0</v>
      </c>
      <c r="AC378" s="14">
        <f>+SUM('31:29'!AC378)</f>
        <v>0</v>
      </c>
    </row>
    <row r="379" spans="1:29" s="2" customFormat="1" ht="21.95" customHeight="1">
      <c r="A379" s="141">
        <v>300010</v>
      </c>
      <c r="B379" s="135">
        <v>18501</v>
      </c>
      <c r="C379" s="219" t="s">
        <v>149</v>
      </c>
      <c r="D379" s="219" t="s">
        <v>150</v>
      </c>
      <c r="E379" s="147" t="s">
        <v>80</v>
      </c>
      <c r="F379" s="146"/>
      <c r="G379" s="14">
        <f>+SUM('31:29'!G379)</f>
        <v>10.130000000000001</v>
      </c>
      <c r="H379" s="14">
        <f>+SUM('31:29'!H379)</f>
        <v>0.5</v>
      </c>
      <c r="I379" s="14">
        <f>+SUM('31:29'!I379)</f>
        <v>10.125</v>
      </c>
      <c r="J379" s="14">
        <f>+SUM('31:29'!J379)</f>
        <v>150</v>
      </c>
      <c r="K379" s="145">
        <f t="shared" si="46"/>
        <v>5378.0169999999998</v>
      </c>
      <c r="L379" s="145">
        <f t="shared" si="47"/>
        <v>5375.3625000000002</v>
      </c>
      <c r="M379" s="15">
        <v>530.9</v>
      </c>
      <c r="N379" s="145">
        <f>+M379*1000/(188*4*13*60)*T379</f>
        <v>4.5255387343153304</v>
      </c>
      <c r="O379" s="14">
        <f>+SUM('31:29'!O379)</f>
        <v>0</v>
      </c>
      <c r="P379" s="145">
        <f t="shared" si="48"/>
        <v>45.821079684942717</v>
      </c>
      <c r="Q379" s="14">
        <f>+SUM('31:29'!Q379)</f>
        <v>11.5</v>
      </c>
      <c r="R379" s="19">
        <f t="shared" si="49"/>
        <v>57.5</v>
      </c>
      <c r="S379" s="145">
        <f t="shared" si="50"/>
        <v>11.678920315057283</v>
      </c>
      <c r="T379" s="20">
        <v>5</v>
      </c>
      <c r="U379" s="14">
        <f>+SUM('31:29'!U379)</f>
        <v>5</v>
      </c>
      <c r="V379" s="142">
        <f t="array" ref="V379">IF(ISERROR(L379/K379),"",L379/K379)</f>
        <v>0.99950641658440287</v>
      </c>
      <c r="W379" s="14">
        <f>+SUM('31:29'!W379)</f>
        <v>0</v>
      </c>
      <c r="X379" s="14">
        <f>+SUM('31:29'!X379)</f>
        <v>0</v>
      </c>
      <c r="Y379" s="14">
        <f>+SUM('31:29'!Y379)</f>
        <v>0</v>
      </c>
      <c r="Z379" s="14">
        <f>+SUM('31:29'!Z379)</f>
        <v>0</v>
      </c>
      <c r="AA379" s="14">
        <f>+SUM('31:29'!AA379)</f>
        <v>0</v>
      </c>
      <c r="AB379" s="14">
        <f>+SUM('31:29'!AB379)</f>
        <v>0</v>
      </c>
      <c r="AC379" s="14">
        <f>+SUM('31:29'!AC379)</f>
        <v>0</v>
      </c>
    </row>
    <row r="380" spans="1:29" s="2" customFormat="1" ht="21.95" customHeight="1">
      <c r="A380" s="141">
        <v>300305</v>
      </c>
      <c r="B380" s="135">
        <v>18501</v>
      </c>
      <c r="C380" s="219" t="s">
        <v>151</v>
      </c>
      <c r="D380" s="219" t="s">
        <v>152</v>
      </c>
      <c r="E380" s="147" t="s">
        <v>57</v>
      </c>
      <c r="F380" s="146"/>
      <c r="G380" s="14">
        <f>+SUM('31:29'!G380)</f>
        <v>0</v>
      </c>
      <c r="H380" s="14">
        <f>+SUM('31:29'!H380)</f>
        <v>0</v>
      </c>
      <c r="I380" s="14">
        <f>+SUM('31:29'!I380)</f>
        <v>0</v>
      </c>
      <c r="J380" s="14">
        <f>+SUM('31:29'!J380)</f>
        <v>0</v>
      </c>
      <c r="K380" s="145">
        <f t="shared" si="46"/>
        <v>0</v>
      </c>
      <c r="L380" s="145">
        <f t="shared" si="47"/>
        <v>0</v>
      </c>
      <c r="M380" s="145">
        <v>530.20000000000005</v>
      </c>
      <c r="N380" s="145">
        <f t="shared" ref="N380:N385" si="52">+M380*1000/(202*4*13*60)*T380</f>
        <v>4.2063340949479562</v>
      </c>
      <c r="O380" s="14">
        <f>+SUM('31:29'!O380)</f>
        <v>0</v>
      </c>
      <c r="P380" s="145">
        <f t="shared" si="48"/>
        <v>0</v>
      </c>
      <c r="Q380" s="14">
        <f>+SUM('31:29'!Q380)</f>
        <v>0</v>
      </c>
      <c r="R380" s="19">
        <f t="shared" si="49"/>
        <v>0</v>
      </c>
      <c r="S380" s="145">
        <f t="shared" si="50"/>
        <v>0</v>
      </c>
      <c r="T380" s="20">
        <v>5</v>
      </c>
      <c r="U380" s="14">
        <f>+SUM('31:29'!U380)</f>
        <v>0</v>
      </c>
      <c r="V380" s="142" t="str">
        <f t="array" ref="V380">IF(ISERROR(L380/K380),"",L380/K380)</f>
        <v/>
      </c>
      <c r="W380" s="14">
        <f>+SUM('31:29'!W380)</f>
        <v>0</v>
      </c>
      <c r="X380" s="14">
        <f>+SUM('31:29'!X380)</f>
        <v>0</v>
      </c>
      <c r="Y380" s="14">
        <f>+SUM('31:29'!Y380)</f>
        <v>0</v>
      </c>
      <c r="Z380" s="14">
        <f>+SUM('31:29'!Z380)</f>
        <v>0</v>
      </c>
      <c r="AA380" s="14">
        <f>+SUM('31:29'!AA380)</f>
        <v>0</v>
      </c>
      <c r="AB380" s="14">
        <f>+SUM('31:29'!AB380)</f>
        <v>0</v>
      </c>
      <c r="AC380" s="14">
        <f>+SUM('31:29'!AC380)</f>
        <v>0</v>
      </c>
    </row>
    <row r="381" spans="1:29" s="2" customFormat="1" ht="21.95" customHeight="1">
      <c r="A381" s="141">
        <v>300306</v>
      </c>
      <c r="B381" s="135">
        <v>18501</v>
      </c>
      <c r="C381" s="219" t="s">
        <v>151</v>
      </c>
      <c r="D381" s="219" t="s">
        <v>152</v>
      </c>
      <c r="E381" s="147" t="s">
        <v>109</v>
      </c>
      <c r="F381" s="146"/>
      <c r="G381" s="14">
        <f>+SUM('31:29'!G381)</f>
        <v>0</v>
      </c>
      <c r="H381" s="14">
        <f>+SUM('31:29'!H381)</f>
        <v>0</v>
      </c>
      <c r="I381" s="14">
        <f>+SUM('31:29'!I381)</f>
        <v>0</v>
      </c>
      <c r="J381" s="14">
        <f>+SUM('31:29'!J381)</f>
        <v>0</v>
      </c>
      <c r="K381" s="145">
        <f t="shared" si="46"/>
        <v>0</v>
      </c>
      <c r="L381" s="145">
        <f t="shared" si="47"/>
        <v>0</v>
      </c>
      <c r="M381" s="145">
        <v>538.79999999999995</v>
      </c>
      <c r="N381" s="145">
        <f t="shared" si="52"/>
        <v>4.2745620715917747</v>
      </c>
      <c r="O381" s="14">
        <f>+SUM('31:29'!O381)</f>
        <v>0</v>
      </c>
      <c r="P381" s="145">
        <f t="shared" si="48"/>
        <v>0</v>
      </c>
      <c r="Q381" s="14">
        <f>+SUM('31:29'!Q381)</f>
        <v>0</v>
      </c>
      <c r="R381" s="19">
        <f t="shared" si="49"/>
        <v>0</v>
      </c>
      <c r="S381" s="145">
        <f t="shared" si="50"/>
        <v>0</v>
      </c>
      <c r="T381" s="20">
        <v>5</v>
      </c>
      <c r="U381" s="14">
        <f>+SUM('31:29'!U381)</f>
        <v>0</v>
      </c>
      <c r="V381" s="142" t="str">
        <f t="array" ref="V381">IF(ISERROR(L381/K381),"",L381/K381)</f>
        <v/>
      </c>
      <c r="W381" s="14">
        <f>+SUM('31:29'!W381)</f>
        <v>0</v>
      </c>
      <c r="X381" s="14">
        <f>+SUM('31:29'!X381)</f>
        <v>0</v>
      </c>
      <c r="Y381" s="14">
        <f>+SUM('31:29'!Y381)</f>
        <v>0</v>
      </c>
      <c r="Z381" s="14">
        <f>+SUM('31:29'!Z381)</f>
        <v>0</v>
      </c>
      <c r="AA381" s="14">
        <f>+SUM('31:29'!AA381)</f>
        <v>0</v>
      </c>
      <c r="AB381" s="14">
        <f>+SUM('31:29'!AB381)</f>
        <v>0</v>
      </c>
      <c r="AC381" s="14">
        <f>+SUM('31:29'!AC381)</f>
        <v>0</v>
      </c>
    </row>
    <row r="382" spans="1:29" s="2" customFormat="1" ht="22.5" customHeight="1">
      <c r="A382" s="141">
        <v>300307</v>
      </c>
      <c r="B382" s="135">
        <v>18501</v>
      </c>
      <c r="C382" s="219" t="s">
        <v>151</v>
      </c>
      <c r="D382" s="219" t="s">
        <v>152</v>
      </c>
      <c r="E382" s="147" t="s">
        <v>125</v>
      </c>
      <c r="F382" s="146"/>
      <c r="G382" s="14">
        <f>+SUM('31:29'!G382)</f>
        <v>0</v>
      </c>
      <c r="H382" s="14">
        <f>+SUM('31:29'!H382)</f>
        <v>0</v>
      </c>
      <c r="I382" s="14">
        <f>+SUM('31:29'!I382)</f>
        <v>0</v>
      </c>
      <c r="J382" s="14">
        <f>+SUM('31:29'!J382)</f>
        <v>0</v>
      </c>
      <c r="K382" s="145">
        <f t="shared" si="46"/>
        <v>0</v>
      </c>
      <c r="L382" s="145">
        <f t="shared" si="47"/>
        <v>0</v>
      </c>
      <c r="M382" s="145">
        <v>569</v>
      </c>
      <c r="N382" s="145">
        <f t="shared" si="52"/>
        <v>4.5141533384107637</v>
      </c>
      <c r="O382" s="14">
        <f>+SUM('31:29'!O382)</f>
        <v>0</v>
      </c>
      <c r="P382" s="145">
        <f t="shared" si="48"/>
        <v>0</v>
      </c>
      <c r="Q382" s="14">
        <f>+SUM('31:29'!Q382)</f>
        <v>0</v>
      </c>
      <c r="R382" s="19">
        <f t="shared" si="49"/>
        <v>0</v>
      </c>
      <c r="S382" s="145">
        <f t="shared" si="50"/>
        <v>0</v>
      </c>
      <c r="T382" s="20">
        <v>5</v>
      </c>
      <c r="U382" s="14">
        <f>+SUM('31:29'!U382)</f>
        <v>0</v>
      </c>
      <c r="V382" s="142" t="str">
        <f t="array" ref="V382">IF(ISERROR(L382/K382),"",L382/K382)</f>
        <v/>
      </c>
      <c r="W382" s="14">
        <f>+SUM('31:29'!W382)</f>
        <v>0</v>
      </c>
      <c r="X382" s="14">
        <f>+SUM('31:29'!X382)</f>
        <v>0</v>
      </c>
      <c r="Y382" s="14">
        <f>+SUM('31:29'!Y382)</f>
        <v>0</v>
      </c>
      <c r="Z382" s="14">
        <f>+SUM('31:29'!Z382)</f>
        <v>0</v>
      </c>
      <c r="AA382" s="14">
        <f>+SUM('31:29'!AA382)</f>
        <v>0</v>
      </c>
      <c r="AB382" s="14">
        <f>+SUM('31:29'!AB382)</f>
        <v>0</v>
      </c>
      <c r="AC382" s="14">
        <f>+SUM('31:29'!AC382)</f>
        <v>0</v>
      </c>
    </row>
    <row r="383" spans="1:29" s="2" customFormat="1" ht="21.95" customHeight="1">
      <c r="A383" s="141">
        <v>300308</v>
      </c>
      <c r="B383" s="135">
        <v>18501</v>
      </c>
      <c r="C383" s="219" t="s">
        <v>151</v>
      </c>
      <c r="D383" s="219" t="s">
        <v>152</v>
      </c>
      <c r="E383" s="147" t="s">
        <v>124</v>
      </c>
      <c r="F383" s="146"/>
      <c r="G383" s="14">
        <f>+SUM('31:29'!G383)</f>
        <v>0</v>
      </c>
      <c r="H383" s="14">
        <f>+SUM('31:29'!H383)</f>
        <v>0</v>
      </c>
      <c r="I383" s="14">
        <f>+SUM('31:29'!I383)</f>
        <v>0</v>
      </c>
      <c r="J383" s="14">
        <f>+SUM('31:29'!J383)</f>
        <v>0</v>
      </c>
      <c r="K383" s="145">
        <f t="shared" si="46"/>
        <v>0</v>
      </c>
      <c r="L383" s="145">
        <f t="shared" si="47"/>
        <v>0</v>
      </c>
      <c r="M383" s="145">
        <v>523.6</v>
      </c>
      <c r="N383" s="145">
        <f t="shared" si="52"/>
        <v>4.1539730896166542</v>
      </c>
      <c r="O383" s="14">
        <f>+SUM('31:29'!O383)</f>
        <v>0</v>
      </c>
      <c r="P383" s="145">
        <f t="shared" si="48"/>
        <v>0</v>
      </c>
      <c r="Q383" s="14">
        <f>+SUM('31:29'!Q383)</f>
        <v>0</v>
      </c>
      <c r="R383" s="19">
        <f t="shared" si="49"/>
        <v>0</v>
      </c>
      <c r="S383" s="145">
        <f t="shared" si="50"/>
        <v>0</v>
      </c>
      <c r="T383" s="20">
        <v>5</v>
      </c>
      <c r="U383" s="14">
        <f>+SUM('31:29'!U383)</f>
        <v>0</v>
      </c>
      <c r="V383" s="142" t="str">
        <f t="array" ref="V383">IF(ISERROR(L383/K383),"",L383/K383)</f>
        <v/>
      </c>
      <c r="W383" s="14">
        <f>+SUM('31:29'!W383)</f>
        <v>0</v>
      </c>
      <c r="X383" s="14">
        <f>+SUM('31:29'!X383)</f>
        <v>0</v>
      </c>
      <c r="Y383" s="14">
        <f>+SUM('31:29'!Y383)</f>
        <v>0</v>
      </c>
      <c r="Z383" s="14">
        <f>+SUM('31:29'!Z383)</f>
        <v>0</v>
      </c>
      <c r="AA383" s="14">
        <f>+SUM('31:29'!AA383)</f>
        <v>0</v>
      </c>
      <c r="AB383" s="14">
        <f>+SUM('31:29'!AB383)</f>
        <v>0</v>
      </c>
      <c r="AC383" s="14">
        <f>+SUM('31:29'!AC383)</f>
        <v>0</v>
      </c>
    </row>
    <row r="384" spans="1:29" s="2" customFormat="1" ht="21.95" customHeight="1">
      <c r="A384" s="141">
        <v>300182</v>
      </c>
      <c r="B384" s="135">
        <v>18501</v>
      </c>
      <c r="C384" s="219" t="s">
        <v>153</v>
      </c>
      <c r="D384" s="219" t="s">
        <v>152</v>
      </c>
      <c r="E384" s="147" t="s">
        <v>80</v>
      </c>
      <c r="F384" s="146"/>
      <c r="G384" s="14">
        <f>+SUM('31:29'!G384)</f>
        <v>6</v>
      </c>
      <c r="H384" s="14">
        <f>+SUM('31:29'!H384)</f>
        <v>0</v>
      </c>
      <c r="I384" s="14">
        <f>+SUM('31:29'!I384)</f>
        <v>5.8</v>
      </c>
      <c r="J384" s="14">
        <f>+SUM('31:29'!J384)</f>
        <v>100</v>
      </c>
      <c r="K384" s="145">
        <f t="shared" si="46"/>
        <v>3894.6000000000004</v>
      </c>
      <c r="L384" s="145">
        <f t="shared" si="47"/>
        <v>3764.78</v>
      </c>
      <c r="M384" s="145">
        <v>649.1</v>
      </c>
      <c r="N384" s="145">
        <f t="shared" si="52"/>
        <v>5.1496255394770252</v>
      </c>
      <c r="O384" s="14">
        <f>+SUM('31:29'!O384)</f>
        <v>0</v>
      </c>
      <c r="P384" s="145">
        <f t="shared" si="48"/>
        <v>29.867828128966746</v>
      </c>
      <c r="Q384" s="14">
        <f>+SUM('31:29'!Q384)</f>
        <v>7.5</v>
      </c>
      <c r="R384" s="19">
        <f t="shared" si="49"/>
        <v>45</v>
      </c>
      <c r="S384" s="145">
        <f t="shared" si="50"/>
        <v>15.132171871033254</v>
      </c>
      <c r="T384" s="20">
        <v>5</v>
      </c>
      <c r="U384" s="14">
        <f>+SUM('31:29'!U384)</f>
        <v>6</v>
      </c>
      <c r="V384" s="142">
        <f t="array" ref="V384">IF(ISERROR(L384/K384),"",L384/K384)</f>
        <v>0.96666666666666667</v>
      </c>
      <c r="W384" s="14">
        <f>+SUM('31:29'!W384)</f>
        <v>0</v>
      </c>
      <c r="X384" s="14">
        <f>+SUM('31:29'!X384)</f>
        <v>0</v>
      </c>
      <c r="Y384" s="14">
        <f>+SUM('31:29'!Y384)</f>
        <v>0</v>
      </c>
      <c r="Z384" s="14">
        <f>+SUM('31:29'!Z384)</f>
        <v>0</v>
      </c>
      <c r="AA384" s="14">
        <f>+SUM('31:29'!AA384)</f>
        <v>2</v>
      </c>
      <c r="AB384" s="14">
        <f>+SUM('31:29'!AB384)</f>
        <v>0</v>
      </c>
      <c r="AC384" s="14">
        <f>+SUM('31:29'!AC384)</f>
        <v>0</v>
      </c>
    </row>
    <row r="385" spans="1:29" s="2" customFormat="1" ht="21.95" customHeight="1">
      <c r="A385" s="141">
        <v>300185</v>
      </c>
      <c r="B385" s="135">
        <v>18501</v>
      </c>
      <c r="C385" s="219" t="s">
        <v>153</v>
      </c>
      <c r="D385" s="219" t="s">
        <v>152</v>
      </c>
      <c r="E385" s="147" t="s">
        <v>127</v>
      </c>
      <c r="F385" s="146"/>
      <c r="G385" s="14">
        <f>+SUM('31:29'!G385)</f>
        <v>7</v>
      </c>
      <c r="H385" s="14">
        <f>+SUM('31:29'!H385)</f>
        <v>0</v>
      </c>
      <c r="I385" s="14">
        <f>+SUM('31:29'!I385)</f>
        <v>6.4</v>
      </c>
      <c r="J385" s="14">
        <f>+SUM('31:29'!J385)</f>
        <v>300</v>
      </c>
      <c r="K385" s="145">
        <f t="shared" si="46"/>
        <v>4466</v>
      </c>
      <c r="L385" s="145">
        <f t="shared" si="47"/>
        <v>4083.2000000000003</v>
      </c>
      <c r="M385" s="145">
        <v>638</v>
      </c>
      <c r="N385" s="145">
        <f t="shared" si="52"/>
        <v>6.0738766184310737</v>
      </c>
      <c r="O385" s="14">
        <f>+SUM('31:29'!O385)</f>
        <v>0.5</v>
      </c>
      <c r="P385" s="145">
        <f t="shared" si="48"/>
        <v>42.372810357958876</v>
      </c>
      <c r="Q385" s="14">
        <f>+SUM('31:29'!Q385)</f>
        <v>7.5</v>
      </c>
      <c r="R385" s="19">
        <f t="shared" si="49"/>
        <v>52.5</v>
      </c>
      <c r="S385" s="145">
        <f t="shared" si="50"/>
        <v>10.127189642041124</v>
      </c>
      <c r="T385" s="20">
        <v>6</v>
      </c>
      <c r="U385" s="14">
        <f>+SUM('31:29'!U385)</f>
        <v>7</v>
      </c>
      <c r="V385" s="142">
        <f t="array" ref="V385">IF(ISERROR(L385/K385),"",L385/K385)</f>
        <v>0.91428571428571437</v>
      </c>
      <c r="W385" s="14">
        <f>+SUM('31:29'!W385)</f>
        <v>0</v>
      </c>
      <c r="X385" s="14">
        <f>+SUM('31:29'!X385)</f>
        <v>0</v>
      </c>
      <c r="Y385" s="14">
        <f>+SUM('31:29'!Y385)</f>
        <v>0</v>
      </c>
      <c r="Z385" s="14">
        <f>+SUM('31:29'!Z385)</f>
        <v>0</v>
      </c>
      <c r="AA385" s="14">
        <f>+SUM('31:29'!AA385)</f>
        <v>0</v>
      </c>
      <c r="AB385" s="14">
        <f>+SUM('31:29'!AB385)</f>
        <v>0</v>
      </c>
      <c r="AC385" s="14">
        <f>+SUM('31:29'!AC385)</f>
        <v>0</v>
      </c>
    </row>
    <row r="386" spans="1:29" s="2" customFormat="1" ht="21.95" customHeight="1">
      <c r="A386" s="141">
        <v>300272</v>
      </c>
      <c r="B386" s="135">
        <v>18502</v>
      </c>
      <c r="C386" s="219" t="s">
        <v>154</v>
      </c>
      <c r="D386" s="219"/>
      <c r="E386" s="147" t="s">
        <v>42</v>
      </c>
      <c r="F386" s="146"/>
      <c r="G386" s="14">
        <f>+SUM('31:29'!G386)</f>
        <v>0</v>
      </c>
      <c r="H386" s="14">
        <f>+SUM('31:29'!H386)</f>
        <v>0</v>
      </c>
      <c r="I386" s="14">
        <f>+SUM('31:29'!I386)</f>
        <v>0</v>
      </c>
      <c r="J386" s="14">
        <f>+SUM('31:29'!J386)</f>
        <v>0</v>
      </c>
      <c r="K386" s="145">
        <f t="shared" si="46"/>
        <v>0</v>
      </c>
      <c r="L386" s="145">
        <f t="shared" si="47"/>
        <v>0</v>
      </c>
      <c r="M386" s="145">
        <v>523.9</v>
      </c>
      <c r="N386" s="145">
        <f>+M386*1000/(128*4*13*60)*T386</f>
        <v>5.247395833333333</v>
      </c>
      <c r="O386" s="14">
        <f>+SUM('31:29'!O386)</f>
        <v>0</v>
      </c>
      <c r="P386" s="145">
        <f t="shared" si="48"/>
        <v>0</v>
      </c>
      <c r="Q386" s="14">
        <f>+SUM('31:29'!Q386)</f>
        <v>0</v>
      </c>
      <c r="R386" s="19">
        <f t="shared" si="49"/>
        <v>0</v>
      </c>
      <c r="S386" s="145">
        <f t="shared" si="50"/>
        <v>0</v>
      </c>
      <c r="T386" s="20">
        <v>4</v>
      </c>
      <c r="U386" s="14">
        <f>+SUM('31:29'!U386)</f>
        <v>0</v>
      </c>
      <c r="V386" s="142" t="str">
        <f t="array" ref="V386">IF(ISERROR(L386/K386),"",L386/K386)</f>
        <v/>
      </c>
      <c r="W386" s="14">
        <f>+SUM('31:29'!W386)</f>
        <v>0</v>
      </c>
      <c r="X386" s="14">
        <f>+SUM('31:29'!X386)</f>
        <v>0</v>
      </c>
      <c r="Y386" s="14">
        <f>+SUM('31:29'!Y386)</f>
        <v>0</v>
      </c>
      <c r="Z386" s="14">
        <f>+SUM('31:29'!Z386)</f>
        <v>0</v>
      </c>
      <c r="AA386" s="14">
        <f>+SUM('31:29'!AA386)</f>
        <v>0</v>
      </c>
      <c r="AB386" s="14">
        <f>+SUM('31:29'!AB386)</f>
        <v>0</v>
      </c>
      <c r="AC386" s="14">
        <f>+SUM('31:29'!AC386)</f>
        <v>0</v>
      </c>
    </row>
    <row r="387" spans="1:29" s="2" customFormat="1" ht="21.95" customHeight="1">
      <c r="A387" s="141">
        <v>300273</v>
      </c>
      <c r="B387" s="135">
        <v>18502</v>
      </c>
      <c r="C387" s="219" t="s">
        <v>154</v>
      </c>
      <c r="D387" s="219"/>
      <c r="E387" s="147" t="s">
        <v>155</v>
      </c>
      <c r="F387" s="146"/>
      <c r="G387" s="14">
        <f>+SUM('31:29'!G387)</f>
        <v>0</v>
      </c>
      <c r="H387" s="14">
        <f>+SUM('31:29'!H387)</f>
        <v>0</v>
      </c>
      <c r="I387" s="14">
        <f>+SUM('31:29'!I387)</f>
        <v>0</v>
      </c>
      <c r="J387" s="14">
        <f>+SUM('31:29'!J387)</f>
        <v>0</v>
      </c>
      <c r="K387" s="145">
        <f t="shared" si="46"/>
        <v>0</v>
      </c>
      <c r="L387" s="145">
        <f t="shared" si="47"/>
        <v>0</v>
      </c>
      <c r="M387" s="145">
        <v>523.9</v>
      </c>
      <c r="N387" s="145">
        <f>+M387*1000/(128*4*13*60)*T387</f>
        <v>6.5592447916666661</v>
      </c>
      <c r="O387" s="14">
        <f>+SUM('31:29'!O387)</f>
        <v>0</v>
      </c>
      <c r="P387" s="145">
        <f t="shared" si="48"/>
        <v>0</v>
      </c>
      <c r="Q387" s="14">
        <f>+SUM('31:29'!Q387)</f>
        <v>0</v>
      </c>
      <c r="R387" s="19">
        <f t="shared" si="49"/>
        <v>0</v>
      </c>
      <c r="S387" s="145">
        <f t="shared" si="50"/>
        <v>0</v>
      </c>
      <c r="T387" s="20">
        <v>5</v>
      </c>
      <c r="U387" s="14">
        <f>+SUM('31:29'!U387)</f>
        <v>0</v>
      </c>
      <c r="V387" s="142" t="str">
        <f t="array" ref="V387">IF(ISERROR(L387/K387),"",L387/K387)</f>
        <v/>
      </c>
      <c r="W387" s="14">
        <f>+SUM('31:29'!W387)</f>
        <v>0</v>
      </c>
      <c r="X387" s="14">
        <f>+SUM('31:29'!X387)</f>
        <v>0</v>
      </c>
      <c r="Y387" s="14">
        <f>+SUM('31:29'!Y387)</f>
        <v>0</v>
      </c>
      <c r="Z387" s="14">
        <f>+SUM('31:29'!Z387)</f>
        <v>0</v>
      </c>
      <c r="AA387" s="14">
        <f>+SUM('31:29'!AA387)</f>
        <v>0</v>
      </c>
      <c r="AB387" s="14">
        <f>+SUM('31:29'!AB387)</f>
        <v>0</v>
      </c>
      <c r="AC387" s="14">
        <f>+SUM('31:29'!AC387)</f>
        <v>0</v>
      </c>
    </row>
    <row r="388" spans="1:29" s="2" customFormat="1" ht="21.95" customHeight="1">
      <c r="A388" s="141">
        <v>300274</v>
      </c>
      <c r="B388" s="135">
        <v>18502</v>
      </c>
      <c r="C388" s="219" t="s">
        <v>154</v>
      </c>
      <c r="D388" s="219"/>
      <c r="E388" s="147" t="s">
        <v>138</v>
      </c>
      <c r="F388" s="146"/>
      <c r="G388" s="14">
        <f>+SUM('31:29'!G388)</f>
        <v>0</v>
      </c>
      <c r="H388" s="14">
        <f>+SUM('31:29'!H388)</f>
        <v>0</v>
      </c>
      <c r="I388" s="14">
        <f>+SUM('31:29'!I388)</f>
        <v>0</v>
      </c>
      <c r="J388" s="14">
        <f>+SUM('31:29'!J388)</f>
        <v>0</v>
      </c>
      <c r="K388" s="145">
        <f t="shared" si="46"/>
        <v>0</v>
      </c>
      <c r="L388" s="145">
        <f t="shared" si="47"/>
        <v>0</v>
      </c>
      <c r="M388" s="145">
        <v>523.9</v>
      </c>
      <c r="N388" s="145">
        <f>+M388*1000/(128*4*13*60)*T388</f>
        <v>5.247395833333333</v>
      </c>
      <c r="O388" s="14">
        <f>+SUM('31:29'!O388)</f>
        <v>0</v>
      </c>
      <c r="P388" s="145">
        <f t="shared" si="48"/>
        <v>0</v>
      </c>
      <c r="Q388" s="14">
        <f>+SUM('31:29'!Q388)</f>
        <v>0</v>
      </c>
      <c r="R388" s="19">
        <f t="shared" si="49"/>
        <v>0</v>
      </c>
      <c r="S388" s="145">
        <f t="shared" si="50"/>
        <v>0</v>
      </c>
      <c r="T388" s="20">
        <v>4</v>
      </c>
      <c r="U388" s="14">
        <f>+SUM('31:29'!U388)</f>
        <v>0</v>
      </c>
      <c r="V388" s="142" t="str">
        <f t="array" ref="V388">IF(ISERROR(L388/K388),"",L388/K388)</f>
        <v/>
      </c>
      <c r="W388" s="14">
        <f>+SUM('31:29'!W388)</f>
        <v>0</v>
      </c>
      <c r="X388" s="14">
        <f>+SUM('31:29'!X388)</f>
        <v>0</v>
      </c>
      <c r="Y388" s="14">
        <f>+SUM('31:29'!Y388)</f>
        <v>0</v>
      </c>
      <c r="Z388" s="14">
        <f>+SUM('31:29'!Z388)</f>
        <v>0</v>
      </c>
      <c r="AA388" s="14">
        <f>+SUM('31:29'!AA388)</f>
        <v>0</v>
      </c>
      <c r="AB388" s="14">
        <f>+SUM('31:29'!AB388)</f>
        <v>0</v>
      </c>
      <c r="AC388" s="14">
        <f>+SUM('31:29'!AC388)</f>
        <v>0</v>
      </c>
    </row>
    <row r="389" spans="1:29" s="2" customFormat="1" ht="21.95" customHeight="1">
      <c r="A389" s="141">
        <v>300275</v>
      </c>
      <c r="B389" s="135">
        <v>18502</v>
      </c>
      <c r="C389" s="219" t="s">
        <v>154</v>
      </c>
      <c r="D389" s="219"/>
      <c r="E389" s="147" t="s">
        <v>156</v>
      </c>
      <c r="F389" s="146"/>
      <c r="G389" s="14">
        <f>+SUM('31:29'!G389)</f>
        <v>0</v>
      </c>
      <c r="H389" s="14">
        <f>+SUM('31:29'!H389)</f>
        <v>0</v>
      </c>
      <c r="I389" s="14">
        <f>+SUM('31:29'!I389)</f>
        <v>0</v>
      </c>
      <c r="J389" s="14">
        <f>+SUM('31:29'!J389)</f>
        <v>0</v>
      </c>
      <c r="K389" s="145">
        <f t="shared" si="46"/>
        <v>0</v>
      </c>
      <c r="L389" s="145">
        <f t="shared" si="47"/>
        <v>0</v>
      </c>
      <c r="M389" s="145">
        <v>523.9</v>
      </c>
      <c r="N389" s="145">
        <f>+M389*1000/(128*4*13*60)*T389</f>
        <v>5.247395833333333</v>
      </c>
      <c r="O389" s="14">
        <f>+SUM('31:29'!O389)</f>
        <v>0</v>
      </c>
      <c r="P389" s="145">
        <f t="shared" si="48"/>
        <v>0</v>
      </c>
      <c r="Q389" s="14">
        <f>+SUM('31:29'!Q389)</f>
        <v>0</v>
      </c>
      <c r="R389" s="19">
        <f t="shared" si="49"/>
        <v>0</v>
      </c>
      <c r="S389" s="145">
        <f t="shared" si="50"/>
        <v>0</v>
      </c>
      <c r="T389" s="20">
        <v>4</v>
      </c>
      <c r="U389" s="14">
        <f>+SUM('31:29'!U389)</f>
        <v>0</v>
      </c>
      <c r="V389" s="142" t="str">
        <f t="array" ref="V389">IF(ISERROR(L389/K389),"",L389/K389)</f>
        <v/>
      </c>
      <c r="W389" s="14">
        <f>+SUM('31:29'!W389)</f>
        <v>0</v>
      </c>
      <c r="X389" s="14">
        <f>+SUM('31:29'!X389)</f>
        <v>0</v>
      </c>
      <c r="Y389" s="14">
        <f>+SUM('31:29'!Y389)</f>
        <v>0</v>
      </c>
      <c r="Z389" s="14">
        <f>+SUM('31:29'!Z389)</f>
        <v>0</v>
      </c>
      <c r="AA389" s="14">
        <f>+SUM('31:29'!AA389)</f>
        <v>0</v>
      </c>
      <c r="AB389" s="14">
        <f>+SUM('31:29'!AB389)</f>
        <v>0</v>
      </c>
      <c r="AC389" s="14">
        <f>+SUM('31:29'!AC389)</f>
        <v>0</v>
      </c>
    </row>
    <row r="390" spans="1:29" s="2" customFormat="1" ht="21.95" customHeight="1">
      <c r="A390" s="141">
        <v>300285</v>
      </c>
      <c r="B390" s="135">
        <v>13001</v>
      </c>
      <c r="C390" s="219" t="s">
        <v>157</v>
      </c>
      <c r="D390" s="219"/>
      <c r="E390" s="147" t="s">
        <v>37</v>
      </c>
      <c r="F390" s="146"/>
      <c r="G390" s="14">
        <f>+SUM('31:29'!G390)</f>
        <v>0</v>
      </c>
      <c r="H390" s="14">
        <f>+SUM('31:29'!H390)</f>
        <v>0</v>
      </c>
      <c r="I390" s="14">
        <f>+SUM('31:29'!I390)</f>
        <v>0</v>
      </c>
      <c r="J390" s="14">
        <f>+SUM('31:29'!J390)</f>
        <v>0</v>
      </c>
      <c r="K390" s="145">
        <f t="shared" si="46"/>
        <v>0</v>
      </c>
      <c r="L390" s="145">
        <f t="shared" si="47"/>
        <v>0</v>
      </c>
      <c r="M390" s="145">
        <v>438.7</v>
      </c>
      <c r="N390" s="145">
        <f t="shared" ref="N390:N395" si="53">+M390*1000/(90*4*18*60)*T390</f>
        <v>5.6417181069958842</v>
      </c>
      <c r="O390" s="14">
        <f>+SUM('31:29'!O390)</f>
        <v>0</v>
      </c>
      <c r="P390" s="145">
        <f t="shared" si="48"/>
        <v>0</v>
      </c>
      <c r="Q390" s="14">
        <f>+SUM('31:29'!Q390)</f>
        <v>0</v>
      </c>
      <c r="R390" s="19">
        <f t="shared" si="49"/>
        <v>0</v>
      </c>
      <c r="S390" s="145">
        <f t="shared" si="50"/>
        <v>0</v>
      </c>
      <c r="T390" s="20">
        <v>5</v>
      </c>
      <c r="U390" s="14">
        <f>+SUM('31:29'!U390)</f>
        <v>0</v>
      </c>
      <c r="V390" s="142" t="str">
        <f t="array" ref="V390">IF(ISERROR(L390/K390),"",L390/K390)</f>
        <v/>
      </c>
      <c r="W390" s="14">
        <f>+SUM('31:29'!W390)</f>
        <v>0</v>
      </c>
      <c r="X390" s="14">
        <f>+SUM('31:29'!X390)</f>
        <v>0</v>
      </c>
      <c r="Y390" s="14">
        <f>+SUM('31:29'!Y390)</f>
        <v>0</v>
      </c>
      <c r="Z390" s="14">
        <f>+SUM('31:29'!Z390)</f>
        <v>0</v>
      </c>
      <c r="AA390" s="14">
        <f>+SUM('31:29'!AA390)</f>
        <v>0</v>
      </c>
      <c r="AB390" s="14">
        <f>+SUM('31:29'!AB390)</f>
        <v>0</v>
      </c>
      <c r="AC390" s="14">
        <f>+SUM('31:29'!AC390)</f>
        <v>0</v>
      </c>
    </row>
    <row r="391" spans="1:29" s="2" customFormat="1" ht="21.95" customHeight="1">
      <c r="A391" s="141">
        <v>300287</v>
      </c>
      <c r="B391" s="135">
        <v>13001</v>
      </c>
      <c r="C391" s="219" t="s">
        <v>157</v>
      </c>
      <c r="D391" s="219"/>
      <c r="E391" s="147" t="s">
        <v>57</v>
      </c>
      <c r="F391" s="146"/>
      <c r="G391" s="14">
        <f>+SUM('31:29'!G391)</f>
        <v>0</v>
      </c>
      <c r="H391" s="14">
        <f>+SUM('31:29'!H391)</f>
        <v>0</v>
      </c>
      <c r="I391" s="14">
        <f>+SUM('31:29'!I391)</f>
        <v>0</v>
      </c>
      <c r="J391" s="14">
        <f>+SUM('31:29'!J391)</f>
        <v>0</v>
      </c>
      <c r="K391" s="145">
        <f t="shared" si="46"/>
        <v>0</v>
      </c>
      <c r="L391" s="145">
        <f t="shared" si="47"/>
        <v>0</v>
      </c>
      <c r="M391" s="145">
        <v>438.7</v>
      </c>
      <c r="N391" s="145">
        <f t="shared" si="53"/>
        <v>5.6417181069958842</v>
      </c>
      <c r="O391" s="14">
        <f>+SUM('31:29'!O391)</f>
        <v>0</v>
      </c>
      <c r="P391" s="145">
        <f t="shared" si="48"/>
        <v>0</v>
      </c>
      <c r="Q391" s="14">
        <f>+SUM('31:29'!Q391)</f>
        <v>0</v>
      </c>
      <c r="R391" s="19">
        <f t="shared" si="49"/>
        <v>0</v>
      </c>
      <c r="S391" s="145">
        <f t="shared" si="50"/>
        <v>0</v>
      </c>
      <c r="T391" s="20">
        <v>5</v>
      </c>
      <c r="U391" s="14">
        <f>+SUM('31:29'!U391)</f>
        <v>0</v>
      </c>
      <c r="V391" s="142" t="str">
        <f t="array" ref="V391">IF(ISERROR(L391/K391),"",L391/K391)</f>
        <v/>
      </c>
      <c r="W391" s="14">
        <f>+SUM('31:29'!W391)</f>
        <v>0</v>
      </c>
      <c r="X391" s="14">
        <f>+SUM('31:29'!X391)</f>
        <v>0</v>
      </c>
      <c r="Y391" s="14">
        <f>+SUM('31:29'!Y391)</f>
        <v>0</v>
      </c>
      <c r="Z391" s="14">
        <f>+SUM('31:29'!Z391)</f>
        <v>0</v>
      </c>
      <c r="AA391" s="14">
        <f>+SUM('31:29'!AA391)</f>
        <v>0</v>
      </c>
      <c r="AB391" s="14">
        <f>+SUM('31:29'!AB391)</f>
        <v>0</v>
      </c>
      <c r="AC391" s="14">
        <f>+SUM('31:29'!AC391)</f>
        <v>0</v>
      </c>
    </row>
    <row r="392" spans="1:29" s="2" customFormat="1" ht="21.95" customHeight="1">
      <c r="A392" s="141">
        <v>300284</v>
      </c>
      <c r="B392" s="135">
        <v>13001</v>
      </c>
      <c r="C392" s="219" t="s">
        <v>157</v>
      </c>
      <c r="D392" s="219"/>
      <c r="E392" s="147" t="s">
        <v>41</v>
      </c>
      <c r="F392" s="146"/>
      <c r="G392" s="14">
        <f>+SUM('31:29'!G392)</f>
        <v>0</v>
      </c>
      <c r="H392" s="14">
        <f>+SUM('31:29'!H392)</f>
        <v>0</v>
      </c>
      <c r="I392" s="14">
        <f>+SUM('31:29'!I392)</f>
        <v>0</v>
      </c>
      <c r="J392" s="14">
        <f>+SUM('31:29'!J392)</f>
        <v>0</v>
      </c>
      <c r="K392" s="145">
        <f t="shared" si="46"/>
        <v>0</v>
      </c>
      <c r="L392" s="145">
        <f t="shared" si="47"/>
        <v>0</v>
      </c>
      <c r="M392" s="145">
        <v>438.7</v>
      </c>
      <c r="N392" s="145">
        <f t="shared" si="53"/>
        <v>5.6417181069958842</v>
      </c>
      <c r="O392" s="14">
        <f>+SUM('31:29'!O392)</f>
        <v>0</v>
      </c>
      <c r="P392" s="145">
        <f t="shared" si="48"/>
        <v>0</v>
      </c>
      <c r="Q392" s="14">
        <f>+SUM('31:29'!Q392)</f>
        <v>0</v>
      </c>
      <c r="R392" s="19">
        <f t="shared" si="49"/>
        <v>0</v>
      </c>
      <c r="S392" s="145">
        <f t="shared" si="50"/>
        <v>0</v>
      </c>
      <c r="T392" s="20">
        <v>5</v>
      </c>
      <c r="U392" s="14">
        <f>+SUM('31:29'!U392)</f>
        <v>0</v>
      </c>
      <c r="V392" s="142" t="str">
        <f t="array" ref="V392">IF(ISERROR(L392/K392),"",L392/K392)</f>
        <v/>
      </c>
      <c r="W392" s="14">
        <f>+SUM('31:29'!W392)</f>
        <v>0</v>
      </c>
      <c r="X392" s="14">
        <f>+SUM('31:29'!X392)</f>
        <v>0</v>
      </c>
      <c r="Y392" s="14">
        <f>+SUM('31:29'!Y392)</f>
        <v>0</v>
      </c>
      <c r="Z392" s="14">
        <f>+SUM('31:29'!Z392)</f>
        <v>0</v>
      </c>
      <c r="AA392" s="14">
        <f>+SUM('31:29'!AA392)</f>
        <v>0</v>
      </c>
      <c r="AB392" s="14">
        <f>+SUM('31:29'!AB392)</f>
        <v>0</v>
      </c>
      <c r="AC392" s="14">
        <f>+SUM('31:29'!AC392)</f>
        <v>0</v>
      </c>
    </row>
    <row r="393" spans="1:29" s="2" customFormat="1" ht="21.95" customHeight="1">
      <c r="A393" s="141">
        <v>300283</v>
      </c>
      <c r="B393" s="135">
        <v>13001</v>
      </c>
      <c r="C393" s="219" t="s">
        <v>157</v>
      </c>
      <c r="D393" s="219"/>
      <c r="E393" s="147" t="s">
        <v>35</v>
      </c>
      <c r="F393" s="146"/>
      <c r="G393" s="14">
        <f>+SUM('31:29'!G393)</f>
        <v>0</v>
      </c>
      <c r="H393" s="14">
        <f>+SUM('31:29'!H393)</f>
        <v>0</v>
      </c>
      <c r="I393" s="14">
        <f>+SUM('31:29'!I393)</f>
        <v>0</v>
      </c>
      <c r="J393" s="14">
        <f>+SUM('31:29'!J393)</f>
        <v>0</v>
      </c>
      <c r="K393" s="136">
        <f t="shared" si="46"/>
        <v>0</v>
      </c>
      <c r="L393" s="136">
        <f t="shared" si="47"/>
        <v>0</v>
      </c>
      <c r="M393" s="145">
        <v>438.7</v>
      </c>
      <c r="N393" s="145">
        <f t="shared" si="53"/>
        <v>5.6417181069958842</v>
      </c>
      <c r="O393" s="14">
        <f>+SUM('31:29'!O393)</f>
        <v>0</v>
      </c>
      <c r="P393" s="145">
        <f t="shared" si="48"/>
        <v>0</v>
      </c>
      <c r="Q393" s="14">
        <f>+SUM('31:29'!Q393)</f>
        <v>0</v>
      </c>
      <c r="R393" s="19">
        <f t="shared" si="49"/>
        <v>0</v>
      </c>
      <c r="S393" s="145">
        <f t="shared" si="50"/>
        <v>0</v>
      </c>
      <c r="T393" s="20">
        <v>5</v>
      </c>
      <c r="U393" s="14">
        <f>+SUM('31:29'!U393)</f>
        <v>0</v>
      </c>
      <c r="V393" s="142" t="str">
        <f t="array" ref="V393">IF(ISERROR(L393/K393),"",L393/K393)</f>
        <v/>
      </c>
      <c r="W393" s="14">
        <f>+SUM('31:29'!W393)</f>
        <v>0</v>
      </c>
      <c r="X393" s="14">
        <f>+SUM('31:29'!X393)</f>
        <v>0</v>
      </c>
      <c r="Y393" s="14">
        <f>+SUM('31:29'!Y393)</f>
        <v>0</v>
      </c>
      <c r="Z393" s="14">
        <f>+SUM('31:29'!Z393)</f>
        <v>0</v>
      </c>
      <c r="AA393" s="14">
        <f>+SUM('31:29'!AA393)</f>
        <v>0</v>
      </c>
      <c r="AB393" s="14">
        <f>+SUM('31:29'!AB393)</f>
        <v>0</v>
      </c>
      <c r="AC393" s="14">
        <f>+SUM('31:29'!AC393)</f>
        <v>0</v>
      </c>
    </row>
    <row r="394" spans="1:29" s="2" customFormat="1" ht="21.95" customHeight="1">
      <c r="A394" s="141">
        <v>300289</v>
      </c>
      <c r="B394" s="135">
        <v>13001</v>
      </c>
      <c r="C394" s="219" t="s">
        <v>157</v>
      </c>
      <c r="D394" s="219"/>
      <c r="E394" s="147" t="s">
        <v>66</v>
      </c>
      <c r="F394" s="146"/>
      <c r="G394" s="14">
        <f>+SUM('31:29'!G394)</f>
        <v>0</v>
      </c>
      <c r="H394" s="14">
        <f>+SUM('31:29'!H394)</f>
        <v>0</v>
      </c>
      <c r="I394" s="14">
        <f>+SUM('31:29'!I394)</f>
        <v>0</v>
      </c>
      <c r="J394" s="14">
        <f>+SUM('31:29'!J394)</f>
        <v>0</v>
      </c>
      <c r="K394" s="136">
        <f t="shared" si="46"/>
        <v>0</v>
      </c>
      <c r="L394" s="136">
        <f t="shared" si="47"/>
        <v>0</v>
      </c>
      <c r="M394" s="145">
        <v>438.7</v>
      </c>
      <c r="N394" s="145">
        <f t="shared" si="53"/>
        <v>5.6417181069958842</v>
      </c>
      <c r="O394" s="14">
        <f>+SUM('31:29'!O394)</f>
        <v>0</v>
      </c>
      <c r="P394" s="145">
        <f t="shared" si="48"/>
        <v>0</v>
      </c>
      <c r="Q394" s="14">
        <f>+SUM('31:29'!Q394)</f>
        <v>0</v>
      </c>
      <c r="R394" s="19">
        <f t="shared" si="49"/>
        <v>0</v>
      </c>
      <c r="S394" s="145">
        <f t="shared" si="50"/>
        <v>0</v>
      </c>
      <c r="T394" s="20">
        <v>5</v>
      </c>
      <c r="U394" s="14">
        <f>+SUM('31:29'!U394)</f>
        <v>0</v>
      </c>
      <c r="V394" s="142" t="str">
        <f t="array" ref="V394">IF(ISERROR(L394/K394),"",L394/K394)</f>
        <v/>
      </c>
      <c r="W394" s="14">
        <f>+SUM('31:29'!W394)</f>
        <v>0</v>
      </c>
      <c r="X394" s="14">
        <f>+SUM('31:29'!X394)</f>
        <v>0</v>
      </c>
      <c r="Y394" s="14">
        <f>+SUM('31:29'!Y394)</f>
        <v>0</v>
      </c>
      <c r="Z394" s="14">
        <f>+SUM('31:29'!Z394)</f>
        <v>0</v>
      </c>
      <c r="AA394" s="14">
        <f>+SUM('31:29'!AA394)</f>
        <v>0</v>
      </c>
      <c r="AB394" s="14">
        <f>+SUM('31:29'!AB394)</f>
        <v>0</v>
      </c>
      <c r="AC394" s="14">
        <f>+SUM('31:29'!AC394)</f>
        <v>0</v>
      </c>
    </row>
    <row r="395" spans="1:29" s="2" customFormat="1" ht="21.95" customHeight="1">
      <c r="A395" s="141">
        <v>300288</v>
      </c>
      <c r="B395" s="135">
        <v>13001</v>
      </c>
      <c r="C395" s="219" t="s">
        <v>157</v>
      </c>
      <c r="D395" s="219"/>
      <c r="E395" s="147" t="s">
        <v>158</v>
      </c>
      <c r="F395" s="146"/>
      <c r="G395" s="14">
        <f>+SUM('31:29'!G395)</f>
        <v>0</v>
      </c>
      <c r="H395" s="14">
        <f>+SUM('31:29'!H395)</f>
        <v>0</v>
      </c>
      <c r="I395" s="14">
        <f>+SUM('31:29'!I395)</f>
        <v>0</v>
      </c>
      <c r="J395" s="14">
        <f>+SUM('31:29'!J395)</f>
        <v>0</v>
      </c>
      <c r="K395" s="145">
        <f t="shared" si="46"/>
        <v>0</v>
      </c>
      <c r="L395" s="145">
        <f t="shared" si="47"/>
        <v>0</v>
      </c>
      <c r="M395" s="145">
        <v>438.7</v>
      </c>
      <c r="N395" s="145">
        <f t="shared" si="53"/>
        <v>5.6417181069958842</v>
      </c>
      <c r="O395" s="14">
        <f>+SUM('31:29'!O395)</f>
        <v>0</v>
      </c>
      <c r="P395" s="145">
        <f t="shared" si="48"/>
        <v>0</v>
      </c>
      <c r="Q395" s="14">
        <f>+SUM('31:29'!Q395)</f>
        <v>0</v>
      </c>
      <c r="R395" s="19">
        <f t="shared" si="49"/>
        <v>0</v>
      </c>
      <c r="S395" s="145">
        <f t="shared" si="50"/>
        <v>0</v>
      </c>
      <c r="T395" s="20">
        <v>5</v>
      </c>
      <c r="U395" s="14">
        <f>+SUM('31:29'!U395)</f>
        <v>0</v>
      </c>
      <c r="V395" s="142" t="str">
        <f t="array" ref="V395">IF(ISERROR(L395/K395),"",L395/K395)</f>
        <v/>
      </c>
      <c r="W395" s="14">
        <f>+SUM('31:29'!W395)</f>
        <v>0</v>
      </c>
      <c r="X395" s="14">
        <f>+SUM('31:29'!X395)</f>
        <v>0</v>
      </c>
      <c r="Y395" s="14">
        <f>+SUM('31:29'!Y395)</f>
        <v>0</v>
      </c>
      <c r="Z395" s="14">
        <f>+SUM('31:29'!Z395)</f>
        <v>0</v>
      </c>
      <c r="AA395" s="14">
        <f>+SUM('31:29'!AA395)</f>
        <v>0</v>
      </c>
      <c r="AB395" s="14">
        <f>+SUM('31:29'!AB395)</f>
        <v>0</v>
      </c>
      <c r="AC395" s="14">
        <f>+SUM('31:29'!AC395)</f>
        <v>0</v>
      </c>
    </row>
    <row r="396" spans="1:29" s="2" customFormat="1" ht="21.95" customHeight="1">
      <c r="A396" s="139">
        <v>300355</v>
      </c>
      <c r="B396" s="124">
        <v>13001</v>
      </c>
      <c r="C396" s="233" t="s">
        <v>160</v>
      </c>
      <c r="D396" s="234"/>
      <c r="E396" s="53" t="s">
        <v>35</v>
      </c>
      <c r="F396" s="146"/>
      <c r="G396" s="14">
        <f>+SUM('31:29'!G396)</f>
        <v>0</v>
      </c>
      <c r="H396" s="14">
        <f>+SUM('31:29'!H396)</f>
        <v>0</v>
      </c>
      <c r="I396" s="14">
        <f>+SUM('31:29'!I396)</f>
        <v>0</v>
      </c>
      <c r="J396" s="14">
        <f>+SUM('31:29'!J396)</f>
        <v>0</v>
      </c>
      <c r="K396" s="136">
        <f t="shared" si="46"/>
        <v>0</v>
      </c>
      <c r="L396" s="145">
        <f t="shared" si="47"/>
        <v>0</v>
      </c>
      <c r="M396" s="145">
        <v>438</v>
      </c>
      <c r="N396" s="145">
        <f>+M396*1000/(110*4*18*60)*T396</f>
        <v>4.6085858585858581</v>
      </c>
      <c r="O396" s="14">
        <f>+SUM('31:29'!O396)</f>
        <v>0</v>
      </c>
      <c r="P396" s="145">
        <f t="shared" si="48"/>
        <v>0</v>
      </c>
      <c r="Q396" s="14">
        <f>+SUM('31:29'!Q396)</f>
        <v>0</v>
      </c>
      <c r="R396" s="19">
        <f t="shared" si="49"/>
        <v>0</v>
      </c>
      <c r="S396" s="145">
        <f t="shared" si="50"/>
        <v>0</v>
      </c>
      <c r="T396" s="20">
        <v>5</v>
      </c>
      <c r="U396" s="14">
        <f>+SUM('31:29'!U396)</f>
        <v>0</v>
      </c>
      <c r="V396" s="142" t="str">
        <f t="array" ref="V396">IF(ISERROR(L396/K396),"",L396/K396)</f>
        <v/>
      </c>
      <c r="W396" s="14">
        <f>+SUM('31:29'!W396)</f>
        <v>0</v>
      </c>
      <c r="X396" s="14">
        <f>+SUM('31:29'!X396)</f>
        <v>0</v>
      </c>
      <c r="Y396" s="14">
        <f>+SUM('31:29'!Y396)</f>
        <v>0</v>
      </c>
      <c r="Z396" s="14">
        <f>+SUM('31:29'!Z396)</f>
        <v>0</v>
      </c>
      <c r="AA396" s="14">
        <f>+SUM('31:29'!AA396)</f>
        <v>0</v>
      </c>
      <c r="AB396" s="14">
        <f>+SUM('31:29'!AB396)</f>
        <v>0</v>
      </c>
      <c r="AC396" s="14">
        <f>+SUM('31:29'!AC396)</f>
        <v>0</v>
      </c>
    </row>
    <row r="397" spans="1:29" s="2" customFormat="1" ht="21.95" customHeight="1">
      <c r="A397" s="139">
        <v>300356</v>
      </c>
      <c r="B397" s="124">
        <v>13001</v>
      </c>
      <c r="C397" s="233" t="s">
        <v>160</v>
      </c>
      <c r="D397" s="234"/>
      <c r="E397" s="54" t="s">
        <v>41</v>
      </c>
      <c r="F397" s="146"/>
      <c r="G397" s="14">
        <f>+SUM('31:29'!G397)</f>
        <v>0</v>
      </c>
      <c r="H397" s="14">
        <f>+SUM('31:29'!H397)</f>
        <v>0</v>
      </c>
      <c r="I397" s="14">
        <f>+SUM('31:29'!I397)</f>
        <v>0</v>
      </c>
      <c r="J397" s="14">
        <f>+SUM('31:29'!J397)</f>
        <v>0</v>
      </c>
      <c r="K397" s="136">
        <f t="shared" si="46"/>
        <v>0</v>
      </c>
      <c r="L397" s="145">
        <f t="shared" si="47"/>
        <v>0</v>
      </c>
      <c r="M397" s="145">
        <v>438</v>
      </c>
      <c r="N397" s="145">
        <f>+M397*1000/(110*4*18*60)*T397</f>
        <v>4.6085858585858581</v>
      </c>
      <c r="O397" s="14">
        <f>+SUM('31:29'!O397)</f>
        <v>0</v>
      </c>
      <c r="P397" s="145">
        <f t="shared" si="48"/>
        <v>0</v>
      </c>
      <c r="Q397" s="14">
        <f>+SUM('31:29'!Q397)</f>
        <v>0</v>
      </c>
      <c r="R397" s="19">
        <f t="shared" si="49"/>
        <v>0</v>
      </c>
      <c r="S397" s="145">
        <f t="shared" si="50"/>
        <v>0</v>
      </c>
      <c r="T397" s="20">
        <v>5</v>
      </c>
      <c r="U397" s="14">
        <f>+SUM('31:29'!U397)</f>
        <v>0</v>
      </c>
      <c r="V397" s="142" t="str">
        <f t="array" ref="V397">IF(ISERROR(L397/K397),"",L397/K397)</f>
        <v/>
      </c>
      <c r="W397" s="14">
        <f>+SUM('31:29'!W397)</f>
        <v>0</v>
      </c>
      <c r="X397" s="14">
        <f>+SUM('31:29'!X397)</f>
        <v>0</v>
      </c>
      <c r="Y397" s="14">
        <f>+SUM('31:29'!Y397)</f>
        <v>0</v>
      </c>
      <c r="Z397" s="14">
        <f>+SUM('31:29'!Z397)</f>
        <v>0</v>
      </c>
      <c r="AA397" s="14">
        <f>+SUM('31:29'!AA397)</f>
        <v>0</v>
      </c>
      <c r="AB397" s="14">
        <f>+SUM('31:29'!AB397)</f>
        <v>0</v>
      </c>
      <c r="AC397" s="14">
        <f>+SUM('31:29'!AC397)</f>
        <v>0</v>
      </c>
    </row>
    <row r="398" spans="1:29" ht="21.95" customHeight="1">
      <c r="A398" s="139">
        <v>300357</v>
      </c>
      <c r="B398" s="135" t="s">
        <v>162</v>
      </c>
      <c r="C398" s="230" t="s">
        <v>160</v>
      </c>
      <c r="D398" s="231"/>
      <c r="E398" s="149" t="s">
        <v>37</v>
      </c>
      <c r="F398" s="13"/>
      <c r="G398" s="14">
        <f>+SUM('31:29'!G398)</f>
        <v>0</v>
      </c>
      <c r="H398" s="14">
        <f>+SUM('31:29'!H398)</f>
        <v>0</v>
      </c>
      <c r="I398" s="14">
        <f>+SUM('31:29'!I398)</f>
        <v>0</v>
      </c>
      <c r="J398" s="14">
        <f>+SUM('31:29'!J398)</f>
        <v>0</v>
      </c>
      <c r="K398" s="136">
        <f t="shared" si="46"/>
        <v>0</v>
      </c>
      <c r="L398" s="145">
        <f t="shared" si="47"/>
        <v>0</v>
      </c>
      <c r="M398" s="145">
        <v>438</v>
      </c>
      <c r="N398" s="15">
        <f>+M398*1000/(110*4*18*60)*T398</f>
        <v>4.6085858585858581</v>
      </c>
      <c r="O398" s="14">
        <f>+SUM('31:29'!O398)</f>
        <v>0</v>
      </c>
      <c r="P398" s="145">
        <f t="shared" si="48"/>
        <v>0</v>
      </c>
      <c r="Q398" s="14">
        <f>+SUM('31:29'!Q398)</f>
        <v>0</v>
      </c>
      <c r="R398" s="19">
        <f t="shared" si="49"/>
        <v>0</v>
      </c>
      <c r="S398" s="145">
        <f t="shared" si="50"/>
        <v>0</v>
      </c>
      <c r="T398" s="20">
        <v>5</v>
      </c>
      <c r="U398" s="14">
        <f>+SUM('31:29'!U398)</f>
        <v>0</v>
      </c>
      <c r="V398" s="142" t="str">
        <f t="array" ref="V398">IF(ISERROR(L398/K398),"",L398/K398)</f>
        <v/>
      </c>
      <c r="W398" s="14">
        <f>+SUM('31:29'!W398)</f>
        <v>0</v>
      </c>
      <c r="X398" s="14">
        <f>+SUM('31:29'!X398)</f>
        <v>0</v>
      </c>
      <c r="Y398" s="14">
        <f>+SUM('31:29'!Y398)</f>
        <v>0</v>
      </c>
      <c r="Z398" s="14">
        <f>+SUM('31:29'!Z398)</f>
        <v>0</v>
      </c>
      <c r="AA398" s="14">
        <f>+SUM('31:29'!AA398)</f>
        <v>0</v>
      </c>
      <c r="AB398" s="14">
        <f>+SUM('31:29'!AB398)</f>
        <v>0</v>
      </c>
      <c r="AC398" s="14">
        <f>+SUM('31:29'!AC398)</f>
        <v>0</v>
      </c>
    </row>
    <row r="399" spans="1:29" ht="21.95" customHeight="1">
      <c r="A399" s="139">
        <v>300358</v>
      </c>
      <c r="B399" s="135" t="s">
        <v>163</v>
      </c>
      <c r="C399" s="230" t="s">
        <v>160</v>
      </c>
      <c r="D399" s="231"/>
      <c r="E399" s="149" t="s">
        <v>66</v>
      </c>
      <c r="F399" s="13"/>
      <c r="G399" s="14">
        <f>+SUM('31:29'!G399)</f>
        <v>0</v>
      </c>
      <c r="H399" s="14">
        <f>+SUM('31:29'!H399)</f>
        <v>0</v>
      </c>
      <c r="I399" s="14">
        <f>+SUM('31:29'!I399)</f>
        <v>0</v>
      </c>
      <c r="J399" s="14">
        <f>+SUM('31:29'!J399)</f>
        <v>0</v>
      </c>
      <c r="K399" s="136">
        <f t="shared" si="46"/>
        <v>0</v>
      </c>
      <c r="L399" s="145">
        <f t="shared" si="47"/>
        <v>0</v>
      </c>
      <c r="M399" s="145">
        <v>438</v>
      </c>
      <c r="N399" s="15">
        <f>+M399*1000/(110*4*18*60)*T399</f>
        <v>4.6085858585858581</v>
      </c>
      <c r="O399" s="14">
        <f>+SUM('31:29'!O399)</f>
        <v>0</v>
      </c>
      <c r="P399" s="145">
        <f t="shared" si="48"/>
        <v>0</v>
      </c>
      <c r="Q399" s="14">
        <f>+SUM('31:29'!Q399)</f>
        <v>0</v>
      </c>
      <c r="R399" s="19">
        <f t="shared" si="49"/>
        <v>0</v>
      </c>
      <c r="S399" s="145">
        <f t="shared" si="50"/>
        <v>0</v>
      </c>
      <c r="T399" s="20">
        <v>5</v>
      </c>
      <c r="U399" s="14">
        <f>+SUM('31:29'!U399)</f>
        <v>0</v>
      </c>
      <c r="V399" s="142" t="str">
        <f t="array" ref="V399">IF(ISERROR(L399/K399),"",L399/K399)</f>
        <v/>
      </c>
      <c r="W399" s="14">
        <f>+SUM('31:29'!W399)</f>
        <v>0</v>
      </c>
      <c r="X399" s="14">
        <f>+SUM('31:29'!X399)</f>
        <v>0</v>
      </c>
      <c r="Y399" s="14">
        <f>+SUM('31:29'!Y399)</f>
        <v>0</v>
      </c>
      <c r="Z399" s="14">
        <f>+SUM('31:29'!Z399)</f>
        <v>0</v>
      </c>
      <c r="AA399" s="14">
        <f>+SUM('31:29'!AA399)</f>
        <v>0</v>
      </c>
      <c r="AB399" s="14">
        <f>+SUM('31:29'!AB399)</f>
        <v>0</v>
      </c>
      <c r="AC399" s="14">
        <f>+SUM('31:29'!AC399)</f>
        <v>0</v>
      </c>
    </row>
    <row r="400" spans="1:29" ht="21.95" customHeight="1">
      <c r="A400" s="141">
        <v>300438</v>
      </c>
      <c r="B400" s="135" t="s">
        <v>87</v>
      </c>
      <c r="C400" s="219" t="s">
        <v>304</v>
      </c>
      <c r="D400" s="219" t="s">
        <v>89</v>
      </c>
      <c r="E400" s="147" t="s">
        <v>35</v>
      </c>
      <c r="F400" s="13"/>
      <c r="G400" s="14">
        <f>+SUM('31:29'!G400)</f>
        <v>12.1</v>
      </c>
      <c r="H400" s="14">
        <f>+SUM('31:29'!H400)</f>
        <v>0.1</v>
      </c>
      <c r="I400" s="14">
        <f>+SUM('31:29'!I400)</f>
        <v>11.6</v>
      </c>
      <c r="J400" s="14">
        <f>+SUM('31:29'!J400)</f>
        <v>150</v>
      </c>
      <c r="K400" s="145">
        <f t="shared" ref="K400:K407" si="54">G400*M400</f>
        <v>4072.86</v>
      </c>
      <c r="L400" s="145">
        <f t="shared" ref="L400:L407" si="55">I400*M400</f>
        <v>3904.56</v>
      </c>
      <c r="M400" s="145">
        <v>336.6</v>
      </c>
      <c r="N400" s="145">
        <f>+M400*1000/(45*10*18*60)*T400</f>
        <v>1.3851851851851851</v>
      </c>
      <c r="O400" s="14">
        <f>+SUM('31:29'!O400)</f>
        <v>0</v>
      </c>
      <c r="P400" s="145">
        <f t="shared" ref="P400:P407" si="56">N400*I400+O400*U400</f>
        <v>16.068148148148147</v>
      </c>
      <c r="Q400" s="14">
        <f>+SUM('31:29'!Q400)</f>
        <v>12</v>
      </c>
      <c r="R400" s="19">
        <f t="shared" ref="R400:R407" si="57">Q400*U400</f>
        <v>120</v>
      </c>
      <c r="S400" s="145">
        <f t="shared" ref="S400:S407" si="58">R400-P400</f>
        <v>103.93185185185186</v>
      </c>
      <c r="T400" s="20">
        <v>2</v>
      </c>
      <c r="U400" s="14">
        <f>+SUM('31:29'!U400)</f>
        <v>10</v>
      </c>
      <c r="V400" s="142"/>
      <c r="W400" s="14">
        <f>+SUM('31:29'!W400)</f>
        <v>0</v>
      </c>
      <c r="X400" s="14">
        <f>+SUM('31:29'!X400)</f>
        <v>0</v>
      </c>
      <c r="Y400" s="14">
        <f>+SUM('31:29'!Y400)</f>
        <v>0</v>
      </c>
      <c r="Z400" s="14">
        <f>+SUM('31:29'!Z400)</f>
        <v>0</v>
      </c>
      <c r="AA400" s="14">
        <f>+SUM('31:29'!AA400)</f>
        <v>0</v>
      </c>
      <c r="AB400" s="14">
        <f>+SUM('31:29'!AB400)</f>
        <v>0</v>
      </c>
      <c r="AC400" s="14">
        <f>+SUM('31:29'!AC400)</f>
        <v>0</v>
      </c>
    </row>
    <row r="401" spans="1:29" ht="21.95" customHeight="1">
      <c r="A401" s="141">
        <v>300439</v>
      </c>
      <c r="B401" s="135" t="s">
        <v>87</v>
      </c>
      <c r="C401" s="219" t="s">
        <v>304</v>
      </c>
      <c r="D401" s="219" t="s">
        <v>89</v>
      </c>
      <c r="E401" s="147" t="s">
        <v>66</v>
      </c>
      <c r="F401" s="13"/>
      <c r="G401" s="14">
        <f>+SUM('31:29'!G401)</f>
        <v>0</v>
      </c>
      <c r="H401" s="14">
        <f>+SUM('31:29'!H401)</f>
        <v>0</v>
      </c>
      <c r="I401" s="14">
        <f>+SUM('31:29'!I401)</f>
        <v>0</v>
      </c>
      <c r="J401" s="14">
        <f>+SUM('31:29'!J401)</f>
        <v>0</v>
      </c>
      <c r="K401" s="145">
        <f t="shared" si="54"/>
        <v>0</v>
      </c>
      <c r="L401" s="145">
        <f t="shared" si="55"/>
        <v>0</v>
      </c>
      <c r="M401" s="145">
        <v>336.6</v>
      </c>
      <c r="N401" s="145">
        <f>+M401*1000/(45*10*18*60)*T401</f>
        <v>1.3851851851851851</v>
      </c>
      <c r="O401" s="14">
        <f>+SUM('31:29'!O401)</f>
        <v>0</v>
      </c>
      <c r="P401" s="145">
        <f t="shared" si="56"/>
        <v>0</v>
      </c>
      <c r="Q401" s="14">
        <f>+SUM('31:29'!Q401)</f>
        <v>0</v>
      </c>
      <c r="R401" s="19">
        <f t="shared" si="57"/>
        <v>0</v>
      </c>
      <c r="S401" s="145">
        <f t="shared" si="58"/>
        <v>0</v>
      </c>
      <c r="T401" s="20">
        <v>2</v>
      </c>
      <c r="U401" s="14">
        <f>+SUM('31:29'!U401)</f>
        <v>0</v>
      </c>
      <c r="V401" s="142"/>
      <c r="W401" s="14">
        <f>+SUM('31:29'!W401)</f>
        <v>0</v>
      </c>
      <c r="X401" s="14">
        <f>+SUM('31:29'!X401)</f>
        <v>0</v>
      </c>
      <c r="Y401" s="14">
        <f>+SUM('31:29'!Y401)</f>
        <v>0</v>
      </c>
      <c r="Z401" s="14">
        <f>+SUM('31:29'!Z401)</f>
        <v>0</v>
      </c>
      <c r="AA401" s="14">
        <f>+SUM('31:29'!AA401)</f>
        <v>0</v>
      </c>
      <c r="AB401" s="14">
        <f>+SUM('31:29'!AB401)</f>
        <v>0</v>
      </c>
      <c r="AC401" s="14">
        <f>+SUM('31:29'!AC401)</f>
        <v>0</v>
      </c>
    </row>
    <row r="402" spans="1:29" ht="21.95" customHeight="1">
      <c r="A402" s="141">
        <v>300440</v>
      </c>
      <c r="B402" s="135" t="s">
        <v>87</v>
      </c>
      <c r="C402" s="219" t="s">
        <v>304</v>
      </c>
      <c r="D402" s="219" t="s">
        <v>89</v>
      </c>
      <c r="E402" s="147" t="s">
        <v>41</v>
      </c>
      <c r="F402" s="13"/>
      <c r="G402" s="14">
        <f>+SUM('31:29'!G402)</f>
        <v>0</v>
      </c>
      <c r="H402" s="14">
        <f>+SUM('31:29'!H402)</f>
        <v>0</v>
      </c>
      <c r="I402" s="14">
        <f>+SUM('31:29'!I402)</f>
        <v>0</v>
      </c>
      <c r="J402" s="14">
        <f>+SUM('31:29'!J402)</f>
        <v>0</v>
      </c>
      <c r="K402" s="145">
        <f t="shared" si="54"/>
        <v>0</v>
      </c>
      <c r="L402" s="145">
        <f t="shared" si="55"/>
        <v>0</v>
      </c>
      <c r="M402" s="145">
        <v>336.6</v>
      </c>
      <c r="N402" s="145">
        <f>+M402*1000/(45*10*18*60)*T402</f>
        <v>1.3851851851851851</v>
      </c>
      <c r="O402" s="14">
        <f>+SUM('31:29'!O402)</f>
        <v>0</v>
      </c>
      <c r="P402" s="145">
        <f t="shared" si="56"/>
        <v>0</v>
      </c>
      <c r="Q402" s="14">
        <f>+SUM('31:29'!Q402)</f>
        <v>0</v>
      </c>
      <c r="R402" s="19">
        <f t="shared" si="57"/>
        <v>0</v>
      </c>
      <c r="S402" s="145">
        <f t="shared" si="58"/>
        <v>0</v>
      </c>
      <c r="T402" s="20">
        <v>2</v>
      </c>
      <c r="U402" s="14">
        <f>+SUM('31:29'!U402)</f>
        <v>0</v>
      </c>
      <c r="V402" s="142"/>
      <c r="W402" s="14">
        <f>+SUM('31:29'!W402)</f>
        <v>0</v>
      </c>
      <c r="X402" s="14">
        <f>+SUM('31:29'!X402)</f>
        <v>0</v>
      </c>
      <c r="Y402" s="14">
        <f>+SUM('31:29'!Y402)</f>
        <v>0</v>
      </c>
      <c r="Z402" s="14">
        <f>+SUM('31:29'!Z402)</f>
        <v>0</v>
      </c>
      <c r="AA402" s="14">
        <f>+SUM('31:29'!AA402)</f>
        <v>0</v>
      </c>
      <c r="AB402" s="14">
        <f>+SUM('31:29'!AB402)</f>
        <v>0</v>
      </c>
      <c r="AC402" s="14">
        <f>+SUM('31:29'!AC402)</f>
        <v>0</v>
      </c>
    </row>
    <row r="403" spans="1:29" ht="21.95" customHeight="1">
      <c r="A403" s="141">
        <v>300441</v>
      </c>
      <c r="B403" s="135" t="s">
        <v>87</v>
      </c>
      <c r="C403" s="219" t="s">
        <v>304</v>
      </c>
      <c r="D403" s="219" t="s">
        <v>89</v>
      </c>
      <c r="E403" s="147" t="s">
        <v>37</v>
      </c>
      <c r="F403" s="13"/>
      <c r="G403" s="14">
        <f>+SUM('31:29'!G403)</f>
        <v>11</v>
      </c>
      <c r="H403" s="14">
        <f>+SUM('31:29'!H403)</f>
        <v>1.1666666666666667</v>
      </c>
      <c r="I403" s="14">
        <f>+SUM('31:29'!I403)</f>
        <v>10.5</v>
      </c>
      <c r="J403" s="14">
        <f>+SUM('31:29'!J403)</f>
        <v>200</v>
      </c>
      <c r="K403" s="145">
        <f t="shared" si="54"/>
        <v>3702.6000000000004</v>
      </c>
      <c r="L403" s="145">
        <f t="shared" si="55"/>
        <v>3534.3</v>
      </c>
      <c r="M403" s="145">
        <v>336.6</v>
      </c>
      <c r="N403" s="145">
        <f>+M403*1000/(45*10*18*60)*T403</f>
        <v>1.3851851851851851</v>
      </c>
      <c r="O403" s="14">
        <f>+SUM('31:29'!O403)</f>
        <v>0.5</v>
      </c>
      <c r="P403" s="145">
        <f t="shared" si="56"/>
        <v>20.544444444444444</v>
      </c>
      <c r="Q403" s="14">
        <f>+SUM('31:29'!Q403)</f>
        <v>13</v>
      </c>
      <c r="R403" s="19">
        <f t="shared" si="57"/>
        <v>156</v>
      </c>
      <c r="S403" s="145">
        <f t="shared" si="58"/>
        <v>135.45555555555555</v>
      </c>
      <c r="T403" s="20">
        <v>2</v>
      </c>
      <c r="U403" s="14">
        <f>+SUM('31:29'!U403)</f>
        <v>12</v>
      </c>
      <c r="V403" s="142"/>
      <c r="W403" s="14">
        <f>+SUM('31:29'!W403)</f>
        <v>0</v>
      </c>
      <c r="X403" s="14">
        <f>+SUM('31:29'!X403)</f>
        <v>1.1333333333333333</v>
      </c>
      <c r="Y403" s="14">
        <f>+SUM('31:29'!Y403)</f>
        <v>0</v>
      </c>
      <c r="Z403" s="14">
        <f>+SUM('31:29'!Z403)</f>
        <v>0</v>
      </c>
      <c r="AA403" s="14">
        <f>+SUM('31:29'!AA403)</f>
        <v>0</v>
      </c>
      <c r="AB403" s="14">
        <f>+SUM('31:29'!AB403)</f>
        <v>0</v>
      </c>
      <c r="AC403" s="14">
        <f>+SUM('31:29'!AC403)</f>
        <v>0</v>
      </c>
    </row>
    <row r="404" spans="1:29" s="2" customFormat="1" ht="22.5" customHeight="1">
      <c r="A404" s="139">
        <v>300406</v>
      </c>
      <c r="B404" s="135" t="s">
        <v>163</v>
      </c>
      <c r="C404" s="230" t="s">
        <v>164</v>
      </c>
      <c r="D404" s="231"/>
      <c r="E404" s="149" t="s">
        <v>141</v>
      </c>
      <c r="F404" s="27"/>
      <c r="G404" s="14">
        <f>+SUM('31:29'!G404)</f>
        <v>0</v>
      </c>
      <c r="H404" s="14">
        <f>+SUM('31:29'!H404)</f>
        <v>0</v>
      </c>
      <c r="I404" s="14">
        <f>+SUM('31:29'!I404)</f>
        <v>0</v>
      </c>
      <c r="J404" s="14">
        <f>+SUM('31:29'!J404)</f>
        <v>0</v>
      </c>
      <c r="K404" s="136">
        <f t="shared" si="54"/>
        <v>0</v>
      </c>
      <c r="L404" s="145">
        <f t="shared" si="55"/>
        <v>0</v>
      </c>
      <c r="M404" s="145">
        <v>628.29999999999995</v>
      </c>
      <c r="N404" s="15">
        <f>+M404*1000/(132*4*18*60)*T404</f>
        <v>5.5090838945005611</v>
      </c>
      <c r="O404" s="14">
        <f>+SUM('31:29'!O404)</f>
        <v>0</v>
      </c>
      <c r="P404" s="145">
        <f t="shared" si="56"/>
        <v>0</v>
      </c>
      <c r="Q404" s="14">
        <f>+SUM('31:29'!Q404)</f>
        <v>0</v>
      </c>
      <c r="R404" s="19">
        <f t="shared" si="57"/>
        <v>0</v>
      </c>
      <c r="S404" s="145">
        <f t="shared" si="58"/>
        <v>0</v>
      </c>
      <c r="T404" s="20">
        <v>5</v>
      </c>
      <c r="U404" s="14">
        <f>+SUM('31:29'!U404)</f>
        <v>0</v>
      </c>
      <c r="V404" s="142" t="str">
        <f t="array" ref="V404">IF(ISERROR(L404/K404),"",L404/K404)</f>
        <v/>
      </c>
      <c r="W404" s="14">
        <f>+SUM('31:29'!W404)</f>
        <v>0</v>
      </c>
      <c r="X404" s="14">
        <f>+SUM('31:29'!X404)</f>
        <v>0</v>
      </c>
      <c r="Y404" s="14">
        <f>+SUM('31:29'!Y404)</f>
        <v>0</v>
      </c>
      <c r="Z404" s="14">
        <f>+SUM('31:29'!Z404)</f>
        <v>0</v>
      </c>
      <c r="AA404" s="14">
        <f>+SUM('31:29'!AA404)</f>
        <v>0</v>
      </c>
      <c r="AB404" s="14">
        <f>+SUM('31:29'!AB404)</f>
        <v>0</v>
      </c>
      <c r="AC404" s="14">
        <f>+SUM('31:29'!AC404)</f>
        <v>0</v>
      </c>
    </row>
    <row r="405" spans="1:29" s="2" customFormat="1" ht="22.5" customHeight="1">
      <c r="A405" s="139">
        <v>300407</v>
      </c>
      <c r="B405" s="135" t="s">
        <v>163</v>
      </c>
      <c r="C405" s="230" t="s">
        <v>164</v>
      </c>
      <c r="D405" s="231"/>
      <c r="E405" s="149" t="s">
        <v>165</v>
      </c>
      <c r="F405" s="27"/>
      <c r="G405" s="14">
        <f>+SUM('31:29'!G405)</f>
        <v>0</v>
      </c>
      <c r="H405" s="14">
        <f>+SUM('31:29'!H405)</f>
        <v>0</v>
      </c>
      <c r="I405" s="14">
        <f>+SUM('31:29'!I405)</f>
        <v>0</v>
      </c>
      <c r="J405" s="14">
        <f>+SUM('31:29'!J405)</f>
        <v>0</v>
      </c>
      <c r="K405" s="136">
        <f t="shared" si="54"/>
        <v>0</v>
      </c>
      <c r="L405" s="145">
        <f t="shared" si="55"/>
        <v>0</v>
      </c>
      <c r="M405" s="145">
        <v>628.29999999999995</v>
      </c>
      <c r="N405" s="15">
        <f>+M405*1000/(132*4*18*60)*T405</f>
        <v>5.5090838945005611</v>
      </c>
      <c r="O405" s="14">
        <f>+SUM('31:29'!O405)</f>
        <v>0</v>
      </c>
      <c r="P405" s="145">
        <f t="shared" si="56"/>
        <v>0</v>
      </c>
      <c r="Q405" s="14">
        <f>+SUM('31:29'!Q405)</f>
        <v>0</v>
      </c>
      <c r="R405" s="19">
        <f t="shared" si="57"/>
        <v>0</v>
      </c>
      <c r="S405" s="145">
        <f t="shared" si="58"/>
        <v>0</v>
      </c>
      <c r="T405" s="20">
        <v>5</v>
      </c>
      <c r="U405" s="14">
        <f>+SUM('31:29'!U405)</f>
        <v>0</v>
      </c>
      <c r="V405" s="142" t="str">
        <f t="array" ref="V405">IF(ISERROR(L405/K405),"",L405/K405)</f>
        <v/>
      </c>
      <c r="W405" s="14">
        <f>+SUM('31:29'!W405)</f>
        <v>0</v>
      </c>
      <c r="X405" s="14">
        <f>+SUM('31:29'!X405)</f>
        <v>0</v>
      </c>
      <c r="Y405" s="14">
        <f>+SUM('31:29'!Y405)</f>
        <v>0</v>
      </c>
      <c r="Z405" s="14">
        <f>+SUM('31:29'!Z405)</f>
        <v>0</v>
      </c>
      <c r="AA405" s="14">
        <f>+SUM('31:29'!AA405)</f>
        <v>0</v>
      </c>
      <c r="AB405" s="14">
        <f>+SUM('31:29'!AB405)</f>
        <v>0</v>
      </c>
      <c r="AC405" s="14">
        <f>+SUM('31:29'!AC405)</f>
        <v>0</v>
      </c>
    </row>
    <row r="406" spans="1:29" s="2" customFormat="1" ht="22.5" customHeight="1">
      <c r="A406" s="139">
        <v>300408</v>
      </c>
      <c r="B406" s="135" t="s">
        <v>163</v>
      </c>
      <c r="C406" s="230" t="s">
        <v>164</v>
      </c>
      <c r="D406" s="231"/>
      <c r="E406" s="149" t="s">
        <v>41</v>
      </c>
      <c r="F406" s="27"/>
      <c r="G406" s="14">
        <f>+SUM('31:29'!G406)</f>
        <v>0</v>
      </c>
      <c r="H406" s="14">
        <f>+SUM('31:29'!H406)</f>
        <v>0</v>
      </c>
      <c r="I406" s="14">
        <f>+SUM('31:29'!I406)</f>
        <v>0</v>
      </c>
      <c r="J406" s="14">
        <f>+SUM('31:29'!J406)</f>
        <v>0</v>
      </c>
      <c r="K406" s="136">
        <f t="shared" si="54"/>
        <v>0</v>
      </c>
      <c r="L406" s="145">
        <f t="shared" si="55"/>
        <v>0</v>
      </c>
      <c r="M406" s="145">
        <v>628.29999999999995</v>
      </c>
      <c r="N406" s="15">
        <f>+M406*1000/(132*4*18*60)*T406</f>
        <v>5.5090838945005611</v>
      </c>
      <c r="O406" s="14">
        <f>+SUM('31:29'!O406)</f>
        <v>0</v>
      </c>
      <c r="P406" s="145">
        <f t="shared" si="56"/>
        <v>0</v>
      </c>
      <c r="Q406" s="14">
        <f>+SUM('31:29'!Q406)</f>
        <v>0</v>
      </c>
      <c r="R406" s="19">
        <f t="shared" si="57"/>
        <v>0</v>
      </c>
      <c r="S406" s="145">
        <f t="shared" si="58"/>
        <v>0</v>
      </c>
      <c r="T406" s="20">
        <v>5</v>
      </c>
      <c r="U406" s="14">
        <f>+SUM('31:29'!U406)</f>
        <v>0</v>
      </c>
      <c r="V406" s="142" t="str">
        <f t="array" ref="V406">IF(ISERROR(L406/K406),"",L406/K406)</f>
        <v/>
      </c>
      <c r="W406" s="14">
        <f>+SUM('31:29'!W406)</f>
        <v>0</v>
      </c>
      <c r="X406" s="14">
        <f>+SUM('31:29'!X406)</f>
        <v>0</v>
      </c>
      <c r="Y406" s="14">
        <f>+SUM('31:29'!Y406)</f>
        <v>0</v>
      </c>
      <c r="Z406" s="14">
        <f>+SUM('31:29'!Z406)</f>
        <v>0</v>
      </c>
      <c r="AA406" s="14">
        <f>+SUM('31:29'!AA406)</f>
        <v>0</v>
      </c>
      <c r="AB406" s="14">
        <f>+SUM('31:29'!AB406)</f>
        <v>0</v>
      </c>
      <c r="AC406" s="14">
        <f>+SUM('31:29'!AC406)</f>
        <v>0</v>
      </c>
    </row>
    <row r="407" spans="1:29" s="2" customFormat="1" ht="22.5" customHeight="1">
      <c r="A407" s="139">
        <v>300409</v>
      </c>
      <c r="B407" s="135" t="s">
        <v>163</v>
      </c>
      <c r="C407" s="230" t="s">
        <v>164</v>
      </c>
      <c r="D407" s="231"/>
      <c r="E407" s="149" t="s">
        <v>166</v>
      </c>
      <c r="F407" s="27"/>
      <c r="G407" s="14">
        <f>+SUM('31:29'!G407)</f>
        <v>0</v>
      </c>
      <c r="H407" s="14">
        <f>+SUM('31:29'!H407)</f>
        <v>0</v>
      </c>
      <c r="I407" s="14">
        <f>+SUM('31:29'!I407)</f>
        <v>0</v>
      </c>
      <c r="J407" s="14">
        <f>+SUM('31:29'!J407)</f>
        <v>0</v>
      </c>
      <c r="K407" s="136">
        <f t="shared" si="54"/>
        <v>0</v>
      </c>
      <c r="L407" s="145">
        <f t="shared" si="55"/>
        <v>0</v>
      </c>
      <c r="M407" s="145">
        <v>628.29999999999995</v>
      </c>
      <c r="N407" s="15">
        <f>+M407*1000/(132*4*18*60)*T407</f>
        <v>5.5090838945005611</v>
      </c>
      <c r="O407" s="14">
        <f>+SUM('31:29'!O407)</f>
        <v>0</v>
      </c>
      <c r="P407" s="145">
        <f t="shared" si="56"/>
        <v>0</v>
      </c>
      <c r="Q407" s="14">
        <f>+SUM('31:29'!Q407)</f>
        <v>0</v>
      </c>
      <c r="R407" s="19">
        <f t="shared" si="57"/>
        <v>0</v>
      </c>
      <c r="S407" s="145">
        <f t="shared" si="58"/>
        <v>0</v>
      </c>
      <c r="T407" s="20">
        <v>5</v>
      </c>
      <c r="U407" s="14">
        <f>+SUM('31:29'!U407)</f>
        <v>0</v>
      </c>
      <c r="V407" s="142" t="str">
        <f t="array" ref="V407">IF(ISERROR(L407/K407),"",L407/K407)</f>
        <v/>
      </c>
      <c r="W407" s="14">
        <f>+SUM('31:29'!W407)</f>
        <v>0</v>
      </c>
      <c r="X407" s="14">
        <f>+SUM('31:29'!X407)</f>
        <v>0</v>
      </c>
      <c r="Y407" s="14">
        <f>+SUM('31:29'!Y407)</f>
        <v>0</v>
      </c>
      <c r="Z407" s="14">
        <f>+SUM('31:29'!Z407)</f>
        <v>0</v>
      </c>
      <c r="AA407" s="14">
        <f>+SUM('31:29'!AA407)</f>
        <v>0</v>
      </c>
      <c r="AB407" s="14">
        <f>+SUM('31:29'!AB407)</f>
        <v>0</v>
      </c>
      <c r="AC407" s="14">
        <f>+SUM('31:29'!AC407)</f>
        <v>0</v>
      </c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45">
        <f t="array" ref="G408">SUM(IF(ISERROR(G215:G407),“”,G215:G407))</f>
        <v>325.93</v>
      </c>
      <c r="H408" s="145">
        <f t="array" ref="H408">SUM(IF(ISERROR(H215:H407),“”,H215:H407))</f>
        <v>11.702857142857143</v>
      </c>
      <c r="I408" s="145">
        <f t="array" ref="I408">SUM(IF(ISERROR(I215:I407),“”,I215:I407))</f>
        <v>308.43380952380949</v>
      </c>
      <c r="J408" s="145">
        <f t="array" ref="J408">SUM(IF(ISERROR(J215:J407),“”,J215:J407))</f>
        <v>8410</v>
      </c>
      <c r="K408" s="14">
        <f>+SUM('31:29'!K408)</f>
        <v>161463.4301</v>
      </c>
      <c r="L408" s="14">
        <f>+SUM('31:29'!L408)</f>
        <v>148805.6376904762</v>
      </c>
      <c r="M408" s="145"/>
      <c r="N408" s="145"/>
      <c r="O408" s="145">
        <f t="array" ref="O408">SUM(IF(ISERROR(O215:O407),“”,O215:O407))</f>
        <v>16.5</v>
      </c>
      <c r="P408" s="14">
        <f>+SUM('31:29'!P408)</f>
        <v>1958.499409652228</v>
      </c>
      <c r="Q408" s="145"/>
      <c r="R408" s="14">
        <f>+SUM('31:29'!R408)</f>
        <v>2150.5</v>
      </c>
      <c r="S408" s="145">
        <f t="array" ref="S408">SUM(IF(ISERROR(S215:S407),“”,S215:S407))</f>
        <v>999.88799775517941</v>
      </c>
      <c r="T408" s="145"/>
      <c r="U408" s="145"/>
      <c r="V408" s="142">
        <f t="array" ref="V408">IF(ISERROR(L408/K408),"",L408/K408)</f>
        <v>0.92160582491227649</v>
      </c>
      <c r="W408" s="145">
        <f t="array" ref="W408">SUM(IF(ISERROR(W215:W407),“”,W215:W407))</f>
        <v>2.5</v>
      </c>
      <c r="X408" s="145">
        <f t="array" ref="X408">SUM(IF(ISERROR(X215:X407),“”,X215:X407))</f>
        <v>6.5500000000000007</v>
      </c>
      <c r="Y408" s="145">
        <f t="array" ref="Y408">SUM(IF(ISERROR(Y215:Y407),“”,Y215:Y407))</f>
        <v>0</v>
      </c>
      <c r="Z408" s="145">
        <f t="array" ref="Z408">SUM(IF(ISERROR(Z215:Z407),“”,Z215:Z407))</f>
        <v>0</v>
      </c>
      <c r="AA408" s="145">
        <f t="array" ref="AA408">SUM(IF(ISERROR(AA215:AA407),“”,AA215:AA407))</f>
        <v>16</v>
      </c>
      <c r="AB408" s="145">
        <f t="array" ref="AB408">SUM(IF(ISERROR(AB215:AB407),“”,AB215:AB407))</f>
        <v>0</v>
      </c>
      <c r="AC408" s="145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>
        <f t="array" ref="O409">IF(ISERROR(P408/R408),"",P408/R408)</f>
        <v>0.91071816305613951</v>
      </c>
      <c r="P409" s="245"/>
      <c r="Q409" s="245"/>
      <c r="R409" s="246"/>
      <c r="S409" s="44"/>
      <c r="T409" s="45"/>
      <c r="U409" s="45"/>
      <c r="V409" s="45"/>
      <c r="W409" s="247">
        <f>SUM(W408:AC408)</f>
        <v>25.05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331">
        <f>+SUM('31:29'!E411)</f>
        <v>814</v>
      </c>
      <c r="F411" s="331"/>
      <c r="G411" s="331">
        <f>+SUM('31:29'!G411)</f>
        <v>814</v>
      </c>
      <c r="H411" s="331"/>
      <c r="I411" s="250">
        <f>G411-E411</f>
        <v>0</v>
      </c>
      <c r="J411" s="250"/>
      <c r="K411" s="252">
        <f t="array" ref="K411">IF(ISERROR(I411/E411),"",I411/E411)</f>
        <v>0</v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331">
        <f>+SUM('31:29'!E412)</f>
        <v>27808.5</v>
      </c>
      <c r="F412" s="331"/>
      <c r="G412" s="331">
        <f>+SUM('31:29'!G412)</f>
        <v>29695.5</v>
      </c>
      <c r="H412" s="331"/>
      <c r="I412" s="250">
        <f>G412-E412</f>
        <v>1887</v>
      </c>
      <c r="J412" s="250"/>
      <c r="K412" s="252">
        <f t="array" ref="K412">IF(ISERROR(I412/E412),"",I412/E412)</f>
        <v>6.7856950213064357E-2</v>
      </c>
      <c r="L412" s="252"/>
      <c r="M412" s="237"/>
      <c r="N412" s="238"/>
      <c r="O412" s="291"/>
      <c r="P412" s="291"/>
      <c r="Q412" s="254" t="s">
        <v>185</v>
      </c>
      <c r="R412" s="254"/>
      <c r="S412" s="331">
        <f>+SUM('31:29'!S412)</f>
        <v>147</v>
      </c>
      <c r="T412" s="331"/>
      <c r="U412" s="331">
        <f>+SUM('31:29'!U412)</f>
        <v>138</v>
      </c>
      <c r="V412" s="331"/>
      <c r="W412" s="254">
        <f>S412*9</f>
        <v>1323</v>
      </c>
      <c r="X412" s="254"/>
      <c r="Y412" s="254">
        <f>U412*9</f>
        <v>1242</v>
      </c>
      <c r="Z412" s="254"/>
      <c r="AA412" s="254">
        <f t="shared" ref="AA412:AA419" si="59">Y412-W412</f>
        <v>-81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331">
        <f>+SUM('31:29'!E413)</f>
        <v>6448</v>
      </c>
      <c r="F413" s="331"/>
      <c r="G413" s="331">
        <f>+SUM('31:29'!G413)</f>
        <v>6448</v>
      </c>
      <c r="H413" s="331"/>
      <c r="I413" s="250">
        <f>G413-E413</f>
        <v>0</v>
      </c>
      <c r="J413" s="250"/>
      <c r="K413" s="252">
        <f t="array" ref="K413">IF(ISERROR(I413/E413),"",I413/E413)</f>
        <v>0</v>
      </c>
      <c r="L413" s="252"/>
      <c r="M413" s="237"/>
      <c r="N413" s="238"/>
      <c r="O413" s="291"/>
      <c r="P413" s="291"/>
      <c r="Q413" s="254" t="s">
        <v>187</v>
      </c>
      <c r="R413" s="254"/>
      <c r="S413" s="331">
        <f>+SUM('31:29'!S413)</f>
        <v>30</v>
      </c>
      <c r="T413" s="331"/>
      <c r="U413" s="331">
        <f>+SUM('31:29'!U413)</f>
        <v>31</v>
      </c>
      <c r="V413" s="331"/>
      <c r="W413" s="254">
        <f t="shared" ref="W413:W418" si="60">S413*9</f>
        <v>270</v>
      </c>
      <c r="X413" s="254"/>
      <c r="Y413" s="254">
        <f t="shared" ref="Y413:Y418" si="61">U413*9</f>
        <v>279</v>
      </c>
      <c r="Z413" s="254"/>
      <c r="AA413" s="254">
        <f t="shared" si="59"/>
        <v>9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331">
        <f>+SUM('31:29'!S414)</f>
        <v>3.75</v>
      </c>
      <c r="T414" s="331"/>
      <c r="U414" s="331">
        <f>+SUM('31:29'!U414)</f>
        <v>11</v>
      </c>
      <c r="V414" s="331"/>
      <c r="W414" s="254">
        <f t="shared" si="60"/>
        <v>33.75</v>
      </c>
      <c r="X414" s="254"/>
      <c r="Y414" s="254">
        <f t="shared" si="61"/>
        <v>99</v>
      </c>
      <c r="Z414" s="254"/>
      <c r="AA414" s="254">
        <f t="shared" si="59"/>
        <v>65.25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43">
        <v>5</v>
      </c>
      <c r="G415" s="331">
        <f>+SUM('31:29'!G415)</f>
        <v>770957</v>
      </c>
      <c r="H415" s="331"/>
      <c r="I415" s="331">
        <f>+SUM('31:29'!I415)</f>
        <v>770296</v>
      </c>
      <c r="J415" s="331"/>
      <c r="K415" s="260">
        <f>G415-I415</f>
        <v>661</v>
      </c>
      <c r="L415" s="260"/>
      <c r="M415" s="261">
        <f t="array" ref="M415">IF(ISERROR(K415/L408),"",K415/(L408/1000))</f>
        <v>4.4420360025264358</v>
      </c>
      <c r="N415" s="261"/>
      <c r="O415" s="291"/>
      <c r="P415" s="291"/>
      <c r="Q415" s="254" t="s">
        <v>197</v>
      </c>
      <c r="R415" s="254"/>
      <c r="S415" s="331">
        <f>+SUM('31:29'!S415)</f>
        <v>3.75</v>
      </c>
      <c r="T415" s="331"/>
      <c r="U415" s="331">
        <f>+SUM('31:29'!U415)</f>
        <v>6</v>
      </c>
      <c r="V415" s="331"/>
      <c r="W415" s="254">
        <f t="shared" si="60"/>
        <v>33.75</v>
      </c>
      <c r="X415" s="254"/>
      <c r="Y415" s="254">
        <f t="shared" si="61"/>
        <v>54</v>
      </c>
      <c r="Z415" s="254"/>
      <c r="AA415" s="254">
        <f t="shared" si="59"/>
        <v>20.25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43">
        <v>105</v>
      </c>
      <c r="G416" s="331">
        <f>+SUM('31:29'!G416)</f>
        <v>30949956</v>
      </c>
      <c r="H416" s="331"/>
      <c r="I416" s="331">
        <f>+SUM('31:29'!I416)</f>
        <v>30940740</v>
      </c>
      <c r="J416" s="331"/>
      <c r="K416" s="260">
        <f>G416-I416</f>
        <v>9216</v>
      </c>
      <c r="L416" s="260"/>
      <c r="M416" s="261">
        <f t="array" ref="M416">IF(ISERROR(K416/L408),"",K416/(L408/1000))</f>
        <v>61.933137366541047</v>
      </c>
      <c r="N416" s="261"/>
      <c r="O416" s="291"/>
      <c r="P416" s="291"/>
      <c r="Q416" s="254" t="s">
        <v>200</v>
      </c>
      <c r="R416" s="254"/>
      <c r="S416" s="331">
        <f>+SUM('31:29'!S416)</f>
        <v>7.5</v>
      </c>
      <c r="T416" s="331"/>
      <c r="U416" s="331">
        <f>+SUM('31:29'!U416)</f>
        <v>5</v>
      </c>
      <c r="V416" s="331"/>
      <c r="W416" s="254">
        <f t="shared" si="60"/>
        <v>67.5</v>
      </c>
      <c r="X416" s="254"/>
      <c r="Y416" s="254">
        <f t="shared" si="61"/>
        <v>45</v>
      </c>
      <c r="Z416" s="254"/>
      <c r="AA416" s="254">
        <f t="shared" si="59"/>
        <v>-22.5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43">
        <v>0.55000000000000004</v>
      </c>
      <c r="G417" s="331">
        <f>+SUM('31:29'!G417)</f>
        <v>142609</v>
      </c>
      <c r="H417" s="331"/>
      <c r="I417" s="331">
        <f>+SUM('31:29'!I417)</f>
        <v>141497</v>
      </c>
      <c r="J417" s="331"/>
      <c r="K417" s="260">
        <f>G417-I417</f>
        <v>1112</v>
      </c>
      <c r="L417" s="260"/>
      <c r="M417" s="264">
        <f t="array" ref="M417">IF(ISERROR(K417/L408),"",K417/(L408/1000))</f>
        <v>7.4728351509975735</v>
      </c>
      <c r="N417" s="264"/>
      <c r="O417" s="291"/>
      <c r="P417" s="291"/>
      <c r="Q417" s="254" t="s">
        <v>203</v>
      </c>
      <c r="R417" s="254"/>
      <c r="S417" s="331">
        <f>+SUM('31:29'!S417)</f>
        <v>5</v>
      </c>
      <c r="T417" s="331"/>
      <c r="U417" s="331">
        <f>+SUM('31:29'!U417)</f>
        <v>5</v>
      </c>
      <c r="V417" s="331"/>
      <c r="W417" s="254">
        <f t="shared" si="60"/>
        <v>45</v>
      </c>
      <c r="X417" s="254"/>
      <c r="Y417" s="254">
        <f t="shared" si="61"/>
        <v>45</v>
      </c>
      <c r="Z417" s="254"/>
      <c r="AA417" s="254">
        <f t="shared" si="5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331">
        <f>+SUM('31:29'!K418)</f>
        <v>21.05</v>
      </c>
      <c r="L418" s="331"/>
      <c r="M418" s="265">
        <f t="array" ref="M418">IF(ISERROR((K418+K419)/L408),"",((K418+K419)*1000)/(L408/1000))</f>
        <v>141.45969418030478</v>
      </c>
      <c r="N418" s="266"/>
      <c r="O418" s="291"/>
      <c r="P418" s="291"/>
      <c r="Q418" s="254" t="s">
        <v>206</v>
      </c>
      <c r="R418" s="254"/>
      <c r="S418" s="331">
        <f>+SUM('31:29'!S418)</f>
        <v>15</v>
      </c>
      <c r="T418" s="331"/>
      <c r="U418" s="331">
        <f>+SUM('31:29'!U418)</f>
        <v>15</v>
      </c>
      <c r="V418" s="331"/>
      <c r="W418" s="254">
        <f t="shared" si="60"/>
        <v>135</v>
      </c>
      <c r="X418" s="254"/>
      <c r="Y418" s="254">
        <f t="shared" si="61"/>
        <v>135</v>
      </c>
      <c r="Z418" s="254"/>
      <c r="AA418" s="254">
        <f t="shared" si="5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331">
        <f>+SUM('31:29'!K419)</f>
        <v>0</v>
      </c>
      <c r="L419" s="331"/>
      <c r="M419" s="267"/>
      <c r="N419" s="268"/>
      <c r="O419" s="291"/>
      <c r="P419" s="291"/>
      <c r="Q419" s="254" t="s">
        <v>208</v>
      </c>
      <c r="R419" s="254"/>
      <c r="S419" s="255">
        <f>SUM(S412:T418)</f>
        <v>212</v>
      </c>
      <c r="T419" s="255"/>
      <c r="U419" s="255">
        <f>SUM(U412:V418)</f>
        <v>211</v>
      </c>
      <c r="V419" s="255"/>
      <c r="W419" s="331">
        <f>+SUM('31:29'!W419)</f>
        <v>2311</v>
      </c>
      <c r="X419" s="331"/>
      <c r="Y419" s="331">
        <f>+SUM('31:29'!Y419)</f>
        <v>2301</v>
      </c>
      <c r="Z419" s="331"/>
      <c r="AA419" s="254">
        <f t="shared" si="59"/>
        <v>-10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>
        <f>IF(ISERROR(K417/K418),"",K417/K418)</f>
        <v>52.826603325415675</v>
      </c>
      <c r="N420" s="274"/>
      <c r="O420" s="291"/>
      <c r="P420" s="291"/>
      <c r="Q420" s="251" t="s">
        <v>211</v>
      </c>
      <c r="R420" s="251"/>
      <c r="S420" s="297">
        <f t="array" ref="S420">IF(ISERROR(L408/Y419),"",L408/Y419)</f>
        <v>64.669985958485967</v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289495.60820000002</v>
      </c>
      <c r="D423" s="304"/>
      <c r="E423" s="300" t="s">
        <v>218</v>
      </c>
      <c r="F423" s="300"/>
      <c r="G423" s="300">
        <f>L199+L408</f>
        <v>273501.8573809524</v>
      </c>
      <c r="H423" s="300"/>
      <c r="I423" s="307" t="s">
        <v>219</v>
      </c>
      <c r="J423" s="307"/>
      <c r="K423" s="306">
        <f>IF(ISERROR(G423/C423),"",G423/C423)</f>
        <v>0.94475304506865532</v>
      </c>
      <c r="L423" s="306"/>
      <c r="M423" s="300" t="s">
        <v>220</v>
      </c>
      <c r="N423" s="300"/>
      <c r="O423" s="301">
        <f>IF(ISERROR(G423/G424),"",G423/G424)</f>
        <v>67.539661039869713</v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3613.2275000452464</v>
      </c>
      <c r="D424" s="304"/>
      <c r="E424" s="305" t="s">
        <v>18</v>
      </c>
      <c r="F424" s="305"/>
      <c r="G424" s="300">
        <f>R199+R408</f>
        <v>4049.5</v>
      </c>
      <c r="H424" s="300"/>
      <c r="I424" s="284" t="s">
        <v>168</v>
      </c>
      <c r="J424" s="284"/>
      <c r="K424" s="306">
        <f>IF(ISERROR(C424/G424),"",C424/G424)</f>
        <v>0.89226509446727897</v>
      </c>
      <c r="L424" s="306"/>
      <c r="M424" s="250" t="s">
        <v>222</v>
      </c>
      <c r="N424" s="250"/>
      <c r="O424" s="300">
        <f>W200+W409</f>
        <v>45.833333333333329</v>
      </c>
      <c r="P424" s="250"/>
      <c r="Q424" s="250" t="s">
        <v>223</v>
      </c>
      <c r="R424" s="250"/>
      <c r="S424" s="306">
        <f t="array" ref="S424">IF(ISERROR(O424/G424),"",O424/G424)</f>
        <v>1.1318269745236037E-2</v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1204</v>
      </c>
      <c r="D426" s="304"/>
      <c r="E426" s="300" t="s">
        <v>226</v>
      </c>
      <c r="F426" s="300"/>
      <c r="G426" s="264">
        <f t="array" ref="G426">IF(ISERROR(C426/G423),"",C426/(G423/1000))</f>
        <v>4.4021638884996133</v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17346</v>
      </c>
      <c r="D427" s="304"/>
      <c r="E427" s="300" t="s">
        <v>228</v>
      </c>
      <c r="F427" s="300"/>
      <c r="G427" s="264">
        <f>IF(ISERROR(C427/G423),"",C427/(G423/1000))</f>
        <v>63.421872765709537</v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1190</v>
      </c>
      <c r="D428" s="304"/>
      <c r="E428" s="300" t="s">
        <v>230</v>
      </c>
      <c r="F428" s="300"/>
      <c r="G428" s="264">
        <f>IF(ISERROR(C428/G423),"",C428/(G423/1000))</f>
        <v>4.3509759363077567</v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37.370000000000005</v>
      </c>
      <c r="D429" s="304"/>
      <c r="E429" s="300" t="s">
        <v>232</v>
      </c>
      <c r="F429" s="300"/>
      <c r="G429" s="308">
        <f>IF(ISERROR(C429/G423),"",C429/(G423/1000))</f>
        <v>0.13663526952926125</v>
      </c>
      <c r="H429" s="308"/>
      <c r="I429" s="300" t="s">
        <v>233</v>
      </c>
      <c r="J429" s="300"/>
      <c r="K429" s="309">
        <f>IF(ISERROR(C428/C429),"",C428/C429)</f>
        <v>31.843724913031838</v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>
        <f>IF(ISERROR(C430/G423),"",C430/(G423/1000))</f>
        <v>0</v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1490.5</v>
      </c>
      <c r="D432" s="313"/>
      <c r="E432" s="300" t="s">
        <v>239</v>
      </c>
      <c r="F432" s="318"/>
      <c r="G432" s="314">
        <f>+G411+G202</f>
        <v>1490.5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>
        <f t="array" ref="O432">IF(ISERROR(K432/C432),"",K432/C432)</f>
        <v>0</v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49389.2</v>
      </c>
      <c r="D433" s="313"/>
      <c r="E433" s="300" t="s">
        <v>243</v>
      </c>
      <c r="F433" s="300"/>
      <c r="G433" s="314">
        <f>+G412+G203</f>
        <v>52136.800000000003</v>
      </c>
      <c r="H433" s="315"/>
      <c r="I433" s="300" t="s">
        <v>244</v>
      </c>
      <c r="J433" s="300"/>
      <c r="K433" s="285">
        <f>G433-C433</f>
        <v>2747.6000000000058</v>
      </c>
      <c r="L433" s="287"/>
      <c r="M433" s="316" t="s">
        <v>245</v>
      </c>
      <c r="N433" s="317"/>
      <c r="O433" s="310">
        <f t="array" ref="O433">IF(ISERROR(K433/C433),"",K433/C433)</f>
        <v>5.5631595571501581E-2</v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13384</v>
      </c>
      <c r="D434" s="313"/>
      <c r="E434" s="300" t="s">
        <v>247</v>
      </c>
      <c r="F434" s="318"/>
      <c r="G434" s="314">
        <f>+G413+G204</f>
        <v>13321</v>
      </c>
      <c r="H434" s="315"/>
      <c r="I434" s="300" t="s">
        <v>248</v>
      </c>
      <c r="J434" s="318"/>
      <c r="K434" s="285">
        <f>G434-C434</f>
        <v>-63</v>
      </c>
      <c r="L434" s="287"/>
      <c r="M434" s="316" t="s">
        <v>249</v>
      </c>
      <c r="N434" s="317"/>
      <c r="O434" s="310">
        <f t="array" ref="O434">IF(ISERROR(K434/C434),"",K434/C434)</f>
        <v>-4.7071129707112972E-3</v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35" t="s">
        <v>252</v>
      </c>
      <c r="D436" s="135" t="s">
        <v>253</v>
      </c>
      <c r="E436" s="135" t="s">
        <v>254</v>
      </c>
      <c r="F436" s="135" t="s">
        <v>255</v>
      </c>
      <c r="G436" s="135" t="s">
        <v>256</v>
      </c>
      <c r="H436" s="136" t="s">
        <v>257</v>
      </c>
      <c r="I436" s="136" t="s">
        <v>258</v>
      </c>
      <c r="J436" s="136" t="s">
        <v>259</v>
      </c>
      <c r="K436" s="136" t="s">
        <v>260</v>
      </c>
      <c r="L436" s="136" t="s">
        <v>261</v>
      </c>
      <c r="M436" s="136" t="s">
        <v>262</v>
      </c>
      <c r="N436" s="136" t="s">
        <v>263</v>
      </c>
      <c r="O436" s="136" t="s">
        <v>264</v>
      </c>
      <c r="P436" s="150" t="s">
        <v>265</v>
      </c>
      <c r="Q436" s="136" t="s">
        <v>266</v>
      </c>
      <c r="R436" s="140" t="s">
        <v>181</v>
      </c>
      <c r="S436" s="135" t="s">
        <v>267</v>
      </c>
      <c r="T436" s="137" t="s">
        <v>268</v>
      </c>
      <c r="U436" s="135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62">SUM(D437:F437)-O437-P437-G437</f>
        <v>25</v>
      </c>
      <c r="D437" s="14">
        <f>+SUM('31:29'!D437)</f>
        <v>25</v>
      </c>
      <c r="E437" s="14">
        <f>+SUM('31:29'!E437)</f>
        <v>0</v>
      </c>
      <c r="F437" s="14">
        <f>+SUM('31:29'!F437)</f>
        <v>0</v>
      </c>
      <c r="G437" s="14">
        <f>+SUM('31:29'!G437)</f>
        <v>0</v>
      </c>
      <c r="H437" s="14">
        <f>+SUM('31:29'!H437)</f>
        <v>0</v>
      </c>
      <c r="I437" s="14">
        <f>+SUM('31:29'!I437)</f>
        <v>0</v>
      </c>
      <c r="J437" s="83">
        <f t="shared" ref="J437:J452" si="63">C437-H437-I437</f>
        <v>25</v>
      </c>
      <c r="K437" s="14">
        <f>+SUM('31:29'!K437)</f>
        <v>0</v>
      </c>
      <c r="L437" s="14">
        <f>+SUM('31:29'!L437)</f>
        <v>0</v>
      </c>
      <c r="M437" s="14">
        <f>+SUM('31:29'!M437)</f>
        <v>0</v>
      </c>
      <c r="N437" s="14">
        <f>+SUM('31:29'!N437)</f>
        <v>0</v>
      </c>
      <c r="O437" s="14">
        <f>+SUM('31:29'!O437)</f>
        <v>0</v>
      </c>
      <c r="P437" s="14">
        <f>+SUM('31:29'!P437)</f>
        <v>0</v>
      </c>
      <c r="Q437" s="83">
        <f t="shared" ref="Q437:Q452" si="64">J437-K437-L437</f>
        <v>25</v>
      </c>
      <c r="R437" s="140">
        <f>Q437*11-M437-N437</f>
        <v>275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62"/>
        <v>30</v>
      </c>
      <c r="D438" s="14">
        <f>+SUM('31:29'!D438)</f>
        <v>30</v>
      </c>
      <c r="E438" s="14">
        <f>+SUM('31:29'!E438)</f>
        <v>0</v>
      </c>
      <c r="F438" s="14">
        <f>+SUM('31:29'!F438)</f>
        <v>0</v>
      </c>
      <c r="G438" s="14">
        <f>+SUM('31:29'!G438)</f>
        <v>0</v>
      </c>
      <c r="H438" s="14">
        <f>+SUM('31:29'!H438)</f>
        <v>0</v>
      </c>
      <c r="I438" s="14">
        <f>+SUM('31:29'!I438)</f>
        <v>0</v>
      </c>
      <c r="J438" s="83">
        <f t="shared" si="63"/>
        <v>30</v>
      </c>
      <c r="K438" s="14">
        <f>+SUM('31:29'!K438)</f>
        <v>0</v>
      </c>
      <c r="L438" s="14">
        <f>+SUM('31:29'!L438)</f>
        <v>0</v>
      </c>
      <c r="M438" s="14">
        <f>+SUM('31:29'!M438)</f>
        <v>0</v>
      </c>
      <c r="N438" s="14">
        <f>+SUM('31:29'!N438)</f>
        <v>0</v>
      </c>
      <c r="O438" s="14">
        <f>+SUM('31:29'!O438)</f>
        <v>0</v>
      </c>
      <c r="P438" s="14">
        <f>+SUM('31:29'!P438)</f>
        <v>0</v>
      </c>
      <c r="Q438" s="83">
        <f t="shared" si="64"/>
        <v>30</v>
      </c>
      <c r="R438" s="140">
        <f t="shared" ref="R438:R443" si="65">Q438*11-M438-N438</f>
        <v>330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62"/>
        <v>15</v>
      </c>
      <c r="D439" s="14">
        <f>+SUM('31:29'!D439)</f>
        <v>15</v>
      </c>
      <c r="E439" s="14">
        <f>+SUM('31:29'!E439)</f>
        <v>0</v>
      </c>
      <c r="F439" s="14">
        <f>+SUM('31:29'!F439)</f>
        <v>0</v>
      </c>
      <c r="G439" s="14">
        <f>+SUM('31:29'!G439)</f>
        <v>0</v>
      </c>
      <c r="H439" s="14">
        <f>+SUM('31:29'!H439)</f>
        <v>0</v>
      </c>
      <c r="I439" s="14">
        <f>+SUM('31:29'!I439)</f>
        <v>0</v>
      </c>
      <c r="J439" s="83">
        <f t="shared" si="63"/>
        <v>15</v>
      </c>
      <c r="K439" s="14">
        <f>+SUM('31:29'!K439)</f>
        <v>0</v>
      </c>
      <c r="L439" s="14">
        <f>+SUM('31:29'!L439)</f>
        <v>0</v>
      </c>
      <c r="M439" s="14">
        <f>+SUM('31:29'!M439)</f>
        <v>0</v>
      </c>
      <c r="N439" s="14">
        <f>+SUM('31:29'!N439)</f>
        <v>0</v>
      </c>
      <c r="O439" s="14">
        <f>+SUM('31:29'!O439)</f>
        <v>0</v>
      </c>
      <c r="P439" s="14">
        <f>+SUM('31:29'!P439)</f>
        <v>0</v>
      </c>
      <c r="Q439" s="83">
        <f t="shared" si="64"/>
        <v>15</v>
      </c>
      <c r="R439" s="140">
        <f t="shared" si="65"/>
        <v>165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62"/>
        <v>128</v>
      </c>
      <c r="D440" s="14">
        <f>+SUM('31:29'!D440)</f>
        <v>120</v>
      </c>
      <c r="E440" s="14">
        <f>+SUM('31:29'!E440)</f>
        <v>10</v>
      </c>
      <c r="F440" s="14">
        <f>+SUM('31:29'!F440)</f>
        <v>0</v>
      </c>
      <c r="G440" s="14">
        <f>+SUM('31:29'!G440)</f>
        <v>0</v>
      </c>
      <c r="H440" s="14">
        <f>+SUM('31:29'!H440)</f>
        <v>0</v>
      </c>
      <c r="I440" s="14">
        <f>+SUM('31:29'!I440)</f>
        <v>0</v>
      </c>
      <c r="J440" s="83">
        <f t="shared" si="63"/>
        <v>128</v>
      </c>
      <c r="K440" s="14">
        <f>+SUM('31:29'!K440)</f>
        <v>4</v>
      </c>
      <c r="L440" s="14">
        <f>+SUM('31:29'!L440)</f>
        <v>0</v>
      </c>
      <c r="M440" s="14">
        <f>+SUM('31:29'!M440)</f>
        <v>0</v>
      </c>
      <c r="N440" s="14">
        <f>+SUM('31:29'!N440)</f>
        <v>0</v>
      </c>
      <c r="O440" s="14">
        <f>+SUM('31:29'!O440)</f>
        <v>0</v>
      </c>
      <c r="P440" s="14">
        <f>+SUM('31:29'!P440)</f>
        <v>2</v>
      </c>
      <c r="Q440" s="83">
        <f t="shared" si="64"/>
        <v>124</v>
      </c>
      <c r="R440" s="140">
        <f t="shared" si="65"/>
        <v>1364</v>
      </c>
      <c r="S440" s="101">
        <f t="array" ref="S440">IF(ISERROR(Q440/J440),"",Q440/J440)</f>
        <v>0.96875</v>
      </c>
      <c r="T440" s="119">
        <f t="array" ref="T440">IF(ISERROR((O440:P440)/C440),"",SUM(O440:P440)/C440)</f>
        <v>1.5625E-2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62"/>
        <v>5</v>
      </c>
      <c r="D441" s="14">
        <f>+SUM('31:29'!D441)</f>
        <v>5</v>
      </c>
      <c r="E441" s="14">
        <f>+SUM('31:29'!E441)</f>
        <v>0</v>
      </c>
      <c r="F441" s="14">
        <f>+SUM('31:29'!F441)</f>
        <v>0</v>
      </c>
      <c r="G441" s="14">
        <f>+SUM('31:29'!G441)</f>
        <v>0</v>
      </c>
      <c r="H441" s="14">
        <f>+SUM('31:29'!H441)</f>
        <v>0</v>
      </c>
      <c r="I441" s="14">
        <f>+SUM('31:29'!I441)</f>
        <v>0</v>
      </c>
      <c r="J441" s="83">
        <f t="shared" si="63"/>
        <v>5</v>
      </c>
      <c r="K441" s="14">
        <f>+SUM('31:29'!K441)</f>
        <v>0</v>
      </c>
      <c r="L441" s="14">
        <f>+SUM('31:29'!L441)</f>
        <v>0</v>
      </c>
      <c r="M441" s="14">
        <f>+SUM('31:29'!M441)</f>
        <v>0</v>
      </c>
      <c r="N441" s="14">
        <f>+SUM('31:29'!N441)</f>
        <v>0</v>
      </c>
      <c r="O441" s="14">
        <f>+SUM('31:29'!O441)</f>
        <v>0</v>
      </c>
      <c r="P441" s="14">
        <f>+SUM('31:29'!P441)</f>
        <v>0</v>
      </c>
      <c r="Q441" s="83">
        <f t="shared" si="64"/>
        <v>5</v>
      </c>
      <c r="R441" s="140">
        <f t="shared" si="65"/>
        <v>55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62"/>
        <v>10</v>
      </c>
      <c r="D442" s="14">
        <f>+SUM('31:29'!D442)</f>
        <v>10</v>
      </c>
      <c r="E442" s="14">
        <f>+SUM('31:29'!E442)</f>
        <v>0</v>
      </c>
      <c r="F442" s="14">
        <f>+SUM('31:29'!F442)</f>
        <v>0</v>
      </c>
      <c r="G442" s="14">
        <f>+SUM('31:29'!G442)</f>
        <v>0</v>
      </c>
      <c r="H442" s="14">
        <f>+SUM('31:29'!H442)</f>
        <v>0</v>
      </c>
      <c r="I442" s="14">
        <f>+SUM('31:29'!I442)</f>
        <v>0</v>
      </c>
      <c r="J442" s="83">
        <f t="shared" si="63"/>
        <v>10</v>
      </c>
      <c r="K442" s="14">
        <f>+SUM('31:29'!K442)</f>
        <v>0</v>
      </c>
      <c r="L442" s="14">
        <f>+SUM('31:29'!L442)</f>
        <v>0</v>
      </c>
      <c r="M442" s="14">
        <f>+SUM('31:29'!M442)</f>
        <v>0</v>
      </c>
      <c r="N442" s="14">
        <f>+SUM('31:29'!N442)</f>
        <v>0</v>
      </c>
      <c r="O442" s="14">
        <f>+SUM('31:29'!O442)</f>
        <v>0</v>
      </c>
      <c r="P442" s="14">
        <f>+SUM('31:29'!P442)</f>
        <v>0</v>
      </c>
      <c r="Q442" s="83">
        <f t="shared" si="64"/>
        <v>10</v>
      </c>
      <c r="R442" s="140">
        <f t="shared" si="65"/>
        <v>110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66">SUM(D443:F443)-O443-P443-G443</f>
        <v>213</v>
      </c>
      <c r="D443" s="68">
        <f>SUM(D437:D442)</f>
        <v>205</v>
      </c>
      <c r="E443" s="68">
        <f t="shared" ref="E443:P443" si="67">SUM(E437:E442)</f>
        <v>10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213</v>
      </c>
      <c r="K443" s="68">
        <f t="shared" si="67"/>
        <v>4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2</v>
      </c>
      <c r="Q443" s="83">
        <f t="shared" si="64"/>
        <v>209</v>
      </c>
      <c r="R443" s="140">
        <f t="shared" si="65"/>
        <v>2299</v>
      </c>
      <c r="S443" s="120">
        <f t="array" ref="S443">IF(ISERROR(Q443/J443),"",Q443/J443)</f>
        <v>0.98122065727699526</v>
      </c>
      <c r="T443" s="121">
        <f t="array" ref="T443">IF(ISERROR((O443:P443)/C443),"",SUM(O443:P443)/C443)</f>
        <v>9.3896713615023476E-3</v>
      </c>
      <c r="U443" s="101">
        <f t="array" ref="U443">IF(ISERROR((O443:P443)/C443),"",SUM(O443:P443)/C443)</f>
        <v>9.3896713615023476E-3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66"/>
        <v>25</v>
      </c>
      <c r="D444" s="14">
        <f>+SUM('31:29'!D444)</f>
        <v>25</v>
      </c>
      <c r="E444" s="14">
        <f>+SUM('31:29'!E444)</f>
        <v>0</v>
      </c>
      <c r="F444" s="14">
        <f>+SUM('31:29'!F444)</f>
        <v>0</v>
      </c>
      <c r="G444" s="14">
        <f>+SUM('31:29'!G444)</f>
        <v>0</v>
      </c>
      <c r="H444" s="14">
        <f>+SUM('31:29'!H444)</f>
        <v>0</v>
      </c>
      <c r="I444" s="14">
        <f>+SUM('31:29'!I444)</f>
        <v>0</v>
      </c>
      <c r="J444" s="83">
        <f t="shared" si="63"/>
        <v>25</v>
      </c>
      <c r="K444" s="14">
        <f>+SUM('31:29'!K444)</f>
        <v>1</v>
      </c>
      <c r="L444" s="14">
        <f>+SUM('31:29'!L444)</f>
        <v>0</v>
      </c>
      <c r="M444" s="14">
        <f>+SUM('31:29'!M444)</f>
        <v>0</v>
      </c>
      <c r="N444" s="14">
        <f>+SUM('31:29'!N444)</f>
        <v>0</v>
      </c>
      <c r="O444" s="14">
        <f>+SUM('31:29'!O444)</f>
        <v>0</v>
      </c>
      <c r="P444" s="14">
        <f>+SUM('31:29'!P444)</f>
        <v>0</v>
      </c>
      <c r="Q444" s="83">
        <f t="shared" si="64"/>
        <v>24</v>
      </c>
      <c r="R444" s="140">
        <f>Q444*11.5-M444-N444</f>
        <v>276</v>
      </c>
      <c r="S444" s="101">
        <f t="array" ref="S444">IF(ISERROR(Q444/J444),"",Q444/J444)</f>
        <v>0.96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66"/>
        <v>25</v>
      </c>
      <c r="D445" s="14">
        <f>+SUM('31:29'!D445)</f>
        <v>25</v>
      </c>
      <c r="E445" s="14">
        <f>+SUM('31:29'!E445)</f>
        <v>0</v>
      </c>
      <c r="F445" s="14">
        <f>+SUM('31:29'!F445)</f>
        <v>0</v>
      </c>
      <c r="G445" s="14">
        <f>+SUM('31:29'!G445)</f>
        <v>0</v>
      </c>
      <c r="H445" s="14">
        <f>+SUM('31:29'!H445)</f>
        <v>0</v>
      </c>
      <c r="I445" s="14">
        <f>+SUM('31:29'!I445)</f>
        <v>0</v>
      </c>
      <c r="J445" s="83">
        <f t="shared" si="63"/>
        <v>25</v>
      </c>
      <c r="K445" s="14">
        <f>+SUM('31:29'!K445)</f>
        <v>0</v>
      </c>
      <c r="L445" s="14">
        <f>+SUM('31:29'!L445)</f>
        <v>0</v>
      </c>
      <c r="M445" s="14">
        <f>+SUM('31:29'!M445)</f>
        <v>0</v>
      </c>
      <c r="N445" s="14">
        <f>+SUM('31:29'!N445)</f>
        <v>0</v>
      </c>
      <c r="O445" s="14">
        <f>+SUM('31:29'!O445)</f>
        <v>0</v>
      </c>
      <c r="P445" s="14">
        <f>+SUM('31:29'!P445)</f>
        <v>0</v>
      </c>
      <c r="Q445" s="83">
        <f t="shared" si="64"/>
        <v>25</v>
      </c>
      <c r="R445" s="140">
        <f t="shared" ref="R445:R450" si="68">Q445*11.5-M445-N445</f>
        <v>287.5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66"/>
        <v>15</v>
      </c>
      <c r="D446" s="14">
        <f>+SUM('31:29'!D446)</f>
        <v>15</v>
      </c>
      <c r="E446" s="14">
        <f>+SUM('31:29'!E446)</f>
        <v>0</v>
      </c>
      <c r="F446" s="14">
        <f>+SUM('31:29'!F446)</f>
        <v>0</v>
      </c>
      <c r="G446" s="14">
        <f>+SUM('31:29'!G446)</f>
        <v>0</v>
      </c>
      <c r="H446" s="14">
        <f>+SUM('31:29'!H446)</f>
        <v>0</v>
      </c>
      <c r="I446" s="14">
        <f>+SUM('31:29'!I446)</f>
        <v>0</v>
      </c>
      <c r="J446" s="83">
        <f t="shared" si="63"/>
        <v>15</v>
      </c>
      <c r="K446" s="14">
        <f>+SUM('31:29'!K446)</f>
        <v>0</v>
      </c>
      <c r="L446" s="14">
        <f>+SUM('31:29'!L446)</f>
        <v>0</v>
      </c>
      <c r="M446" s="14">
        <f>+SUM('31:29'!M446)</f>
        <v>0</v>
      </c>
      <c r="N446" s="14">
        <f>+SUM('31:29'!N446)</f>
        <v>0</v>
      </c>
      <c r="O446" s="14">
        <f>+SUM('31:29'!O446)</f>
        <v>0</v>
      </c>
      <c r="P446" s="14">
        <f>+SUM('31:29'!P446)</f>
        <v>0</v>
      </c>
      <c r="Q446" s="83">
        <f t="shared" si="64"/>
        <v>15</v>
      </c>
      <c r="R446" s="140">
        <f t="shared" si="68"/>
        <v>172.5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66"/>
        <v>139</v>
      </c>
      <c r="D447" s="14">
        <f>+SUM('31:29'!D447)</f>
        <v>136</v>
      </c>
      <c r="E447" s="14">
        <f>+SUM('31:29'!E447)</f>
        <v>3</v>
      </c>
      <c r="F447" s="14">
        <f>+SUM('31:29'!F447)</f>
        <v>0</v>
      </c>
      <c r="G447" s="14">
        <f>+SUM('31:29'!G447)</f>
        <v>0</v>
      </c>
      <c r="H447" s="14">
        <f>+SUM('31:29'!H447)</f>
        <v>0</v>
      </c>
      <c r="I447" s="14">
        <f>+SUM('31:29'!I447)</f>
        <v>5</v>
      </c>
      <c r="J447" s="83">
        <f t="shared" si="63"/>
        <v>134</v>
      </c>
      <c r="K447" s="14">
        <f>+SUM('31:29'!K447)</f>
        <v>2</v>
      </c>
      <c r="L447" s="14">
        <f>+SUM('31:29'!L447)</f>
        <v>0</v>
      </c>
      <c r="M447" s="14">
        <f>+SUM('31:29'!M447)</f>
        <v>0</v>
      </c>
      <c r="N447" s="14">
        <f>+SUM('31:29'!N447)</f>
        <v>0</v>
      </c>
      <c r="O447" s="14">
        <f>+SUM('31:29'!O447)</f>
        <v>0</v>
      </c>
      <c r="P447" s="14">
        <f>+SUM('31:29'!P447)</f>
        <v>0</v>
      </c>
      <c r="Q447" s="83">
        <f t="shared" si="64"/>
        <v>132</v>
      </c>
      <c r="R447" s="140">
        <f t="shared" si="68"/>
        <v>1518</v>
      </c>
      <c r="S447" s="101">
        <f t="array" ref="S447">IF(ISERROR(Q447/J447),"",Q447/J447)</f>
        <v>0.9850746268656716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66"/>
        <v>5</v>
      </c>
      <c r="D448" s="14">
        <f>+SUM('31:29'!D448)</f>
        <v>5</v>
      </c>
      <c r="E448" s="14">
        <f>+SUM('31:29'!E448)</f>
        <v>0</v>
      </c>
      <c r="F448" s="14">
        <f>+SUM('31:29'!F448)</f>
        <v>0</v>
      </c>
      <c r="G448" s="14">
        <f>+SUM('31:29'!G448)</f>
        <v>0</v>
      </c>
      <c r="H448" s="14">
        <f>+SUM('31:29'!H448)</f>
        <v>0</v>
      </c>
      <c r="I448" s="14">
        <f>+SUM('31:29'!I448)</f>
        <v>0</v>
      </c>
      <c r="J448" s="83">
        <f t="shared" si="63"/>
        <v>5</v>
      </c>
      <c r="K448" s="14">
        <f>+SUM('31:29'!K448)</f>
        <v>0</v>
      </c>
      <c r="L448" s="14">
        <f>+SUM('31:29'!L448)</f>
        <v>0</v>
      </c>
      <c r="M448" s="14">
        <f>+SUM('31:29'!M448)</f>
        <v>0</v>
      </c>
      <c r="N448" s="14">
        <f>+SUM('31:29'!N448)</f>
        <v>0</v>
      </c>
      <c r="O448" s="14">
        <f>+SUM('31:29'!O448)</f>
        <v>0</v>
      </c>
      <c r="P448" s="14">
        <f>+SUM('31:29'!P448)</f>
        <v>0</v>
      </c>
      <c r="Q448" s="83">
        <f t="shared" si="64"/>
        <v>5</v>
      </c>
      <c r="R448" s="140">
        <f t="shared" si="68"/>
        <v>57.5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66"/>
        <v>10</v>
      </c>
      <c r="D449" s="14">
        <f>+SUM('31:29'!D449)</f>
        <v>10</v>
      </c>
      <c r="E449" s="14">
        <f>+SUM('31:29'!E449)</f>
        <v>0</v>
      </c>
      <c r="F449" s="14">
        <f>+SUM('31:29'!F449)</f>
        <v>0</v>
      </c>
      <c r="G449" s="14">
        <f>+SUM('31:29'!G449)</f>
        <v>0</v>
      </c>
      <c r="H449" s="14">
        <f>+SUM('31:29'!H449)</f>
        <v>0</v>
      </c>
      <c r="I449" s="14">
        <f>+SUM('31:29'!I449)</f>
        <v>0</v>
      </c>
      <c r="J449" s="83">
        <f t="shared" si="63"/>
        <v>10</v>
      </c>
      <c r="K449" s="14">
        <f>+SUM('31:29'!K449)</f>
        <v>0</v>
      </c>
      <c r="L449" s="14">
        <f>+SUM('31:29'!L449)</f>
        <v>0</v>
      </c>
      <c r="M449" s="14">
        <f>+SUM('31:29'!M449)</f>
        <v>0</v>
      </c>
      <c r="N449" s="14">
        <f>+SUM('31:29'!N449)</f>
        <v>0</v>
      </c>
      <c r="O449" s="14">
        <f>+SUM('31:29'!O449)</f>
        <v>0</v>
      </c>
      <c r="P449" s="14">
        <f>+SUM('31:29'!P449)</f>
        <v>0</v>
      </c>
      <c r="Q449" s="83">
        <f t="shared" si="64"/>
        <v>10</v>
      </c>
      <c r="R449" s="140">
        <f t="shared" si="68"/>
        <v>115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66"/>
        <v>219</v>
      </c>
      <c r="D450" s="69">
        <f t="shared" ref="D450:I450" si="69">SUM(D444:D449)</f>
        <v>216</v>
      </c>
      <c r="E450" s="69">
        <f t="shared" si="69"/>
        <v>3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5</v>
      </c>
      <c r="J450" s="85">
        <f t="shared" si="63"/>
        <v>214</v>
      </c>
      <c r="K450" s="69">
        <f t="shared" ref="K450:P450" si="70">SUM(K444:K449)</f>
        <v>3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211</v>
      </c>
      <c r="R450" s="140">
        <f t="shared" si="68"/>
        <v>2426.5</v>
      </c>
      <c r="S450" s="122">
        <f t="array" ref="S450">IF(ISERROR(Q450/J450),"",Q450/J450)</f>
        <v>0.98598130841121501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66"/>
        <v>10</v>
      </c>
      <c r="D451" s="14">
        <f>+SUM('31:29'!D451)</f>
        <v>10</v>
      </c>
      <c r="E451" s="14">
        <f>+SUM('31:29'!E451)</f>
        <v>0</v>
      </c>
      <c r="F451" s="14">
        <f>+SUM('31:29'!F451)</f>
        <v>0</v>
      </c>
      <c r="G451" s="14">
        <f>+SUM('31:29'!G451)</f>
        <v>0</v>
      </c>
      <c r="H451" s="14">
        <f>+SUM('31:29'!H451)</f>
        <v>0</v>
      </c>
      <c r="I451" s="14">
        <f>+SUM('31:29'!I451)</f>
        <v>0</v>
      </c>
      <c r="J451" s="83">
        <f t="shared" si="63"/>
        <v>10</v>
      </c>
      <c r="K451" s="14">
        <f>+SUM('31:29'!K451)</f>
        <v>0</v>
      </c>
      <c r="L451" s="14">
        <f>+SUM('31:29'!L451)</f>
        <v>0</v>
      </c>
      <c r="M451" s="14">
        <f>+SUM('31:29'!M451)</f>
        <v>0</v>
      </c>
      <c r="N451" s="14">
        <f>+SUM('31:29'!N451)</f>
        <v>0</v>
      </c>
      <c r="O451" s="14">
        <f>+SUM('31:29'!O451)</f>
        <v>0</v>
      </c>
      <c r="P451" s="14">
        <f>+SUM('31:29'!P451)</f>
        <v>0</v>
      </c>
      <c r="Q451" s="83">
        <f t="shared" si="64"/>
        <v>10</v>
      </c>
      <c r="R451" s="140">
        <f>Q451*11-M451-N451</f>
        <v>110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66"/>
        <v>442</v>
      </c>
      <c r="D452" s="69">
        <f>+D451+D450+D443</f>
        <v>431</v>
      </c>
      <c r="E452" s="69">
        <f>+E443+E450+E451</f>
        <v>13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5</v>
      </c>
      <c r="J452" s="85">
        <f t="shared" si="63"/>
        <v>437</v>
      </c>
      <c r="K452" s="69">
        <f t="shared" ref="K452:P452" si="71">+K443+K450+K451</f>
        <v>7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2</v>
      </c>
      <c r="Q452" s="83">
        <f t="shared" si="64"/>
        <v>430</v>
      </c>
      <c r="R452" s="67">
        <f>R443+R450+R451</f>
        <v>4835.5</v>
      </c>
      <c r="S452" s="123">
        <f t="array" ref="S452">IF(ISERROR(Q452/J452),"",Q452/J452)</f>
        <v>0.98398169336384445</v>
      </c>
      <c r="T452" s="148">
        <f t="array" ref="T452">IF(ISERROR((O452:P452)/C452),"",SUM(O452:P452)/C452)</f>
        <v>4.5248868778280547E-3</v>
      </c>
      <c r="U452" s="101">
        <f t="array" ref="U452">IF(ISERROR((O452:P452)/C452),"",SUM(O452:P452)/C452)</f>
        <v>4.5248868778280547E-3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9"/>
  <dimension ref="A1:AC454"/>
  <sheetViews>
    <sheetView workbookViewId="0">
      <pane xSplit="5" ySplit="10" topLeftCell="G411" activePane="bottomRight" state="frozen"/>
      <selection pane="topRight" activeCell="F1" sqref="F1"/>
      <selection pane="bottomLeft" activeCell="A11" sqref="A11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hidden="1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hidden="1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hidden="1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hidden="1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hidden="1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s="2" customFormat="1" ht="21.95" customHeight="1">
      <c r="A11" s="200">
        <v>300315</v>
      </c>
      <c r="B11" s="197" t="s">
        <v>33</v>
      </c>
      <c r="C11" s="219" t="s">
        <v>34</v>
      </c>
      <c r="D11" s="219"/>
      <c r="E11" s="204" t="s">
        <v>40</v>
      </c>
      <c r="F11" s="203" t="s">
        <v>320</v>
      </c>
      <c r="G11" s="133">
        <v>6.27</v>
      </c>
      <c r="H11" s="133">
        <v>0.43333333333333335</v>
      </c>
      <c r="I11" s="133">
        <f>6+H11-J11/600</f>
        <v>6.2666666666666666</v>
      </c>
      <c r="J11" s="133">
        <v>100</v>
      </c>
      <c r="K11" s="202">
        <f t="shared" si="0"/>
        <v>3862.3199999999997</v>
      </c>
      <c r="L11" s="202">
        <f t="shared" si="1"/>
        <v>3860.2666666666664</v>
      </c>
      <c r="M11" s="202">
        <v>616</v>
      </c>
      <c r="N11" s="202">
        <f t="shared" si="5"/>
        <v>4.534746760895171</v>
      </c>
      <c r="O11" s="202"/>
      <c r="P11" s="202">
        <f t="shared" si="2"/>
        <v>28.417746368276404</v>
      </c>
      <c r="Q11" s="202">
        <v>11</v>
      </c>
      <c r="R11" s="19">
        <f t="shared" si="3"/>
        <v>22</v>
      </c>
      <c r="S11" s="202">
        <f t="shared" si="4"/>
        <v>-6.4177463682764042</v>
      </c>
      <c r="T11" s="20">
        <v>5</v>
      </c>
      <c r="U11" s="20">
        <v>2</v>
      </c>
      <c r="V11" s="201">
        <f t="array" ref="V11">IF(ISERROR(L11/K11),"",L11/K11)</f>
        <v>0.99946836788942051</v>
      </c>
      <c r="W11" s="20"/>
      <c r="X11" s="197"/>
      <c r="Y11" s="197"/>
      <c r="Z11" s="203"/>
      <c r="AA11" s="20"/>
      <c r="AB11" s="20"/>
      <c r="AC11" s="20"/>
    </row>
    <row r="12" spans="1:29" s="2" customFormat="1" ht="21.95" hidden="1" customHeight="1">
      <c r="A12" s="200">
        <v>300314</v>
      </c>
      <c r="B12" s="197" t="s">
        <v>33</v>
      </c>
      <c r="C12" s="219" t="s">
        <v>34</v>
      </c>
      <c r="D12" s="219"/>
      <c r="E12" s="204" t="s">
        <v>41</v>
      </c>
      <c r="F12" s="203"/>
      <c r="G12" s="133"/>
      <c r="H12" s="133"/>
      <c r="I12" s="133"/>
      <c r="J12" s="133"/>
      <c r="K12" s="202">
        <f t="shared" si="0"/>
        <v>0</v>
      </c>
      <c r="L12" s="202">
        <f t="shared" si="1"/>
        <v>0</v>
      </c>
      <c r="M12" s="202">
        <v>616</v>
      </c>
      <c r="N12" s="202">
        <f t="shared" si="5"/>
        <v>4.534746760895171</v>
      </c>
      <c r="O12" s="202"/>
      <c r="P12" s="202">
        <f t="shared" si="2"/>
        <v>0</v>
      </c>
      <c r="Q12" s="202"/>
      <c r="R12" s="19">
        <f t="shared" si="3"/>
        <v>0</v>
      </c>
      <c r="S12" s="202">
        <f t="shared" si="4"/>
        <v>0</v>
      </c>
      <c r="T12" s="20">
        <v>5</v>
      </c>
      <c r="U12" s="20"/>
      <c r="V12" s="201" t="str">
        <f t="array" ref="V12">IF(ISERROR(L12/K12),"",L12/K12)</f>
        <v/>
      </c>
      <c r="W12" s="20"/>
      <c r="X12" s="197"/>
      <c r="Y12" s="197"/>
      <c r="Z12" s="203"/>
      <c r="AA12" s="20"/>
      <c r="AB12" s="20"/>
      <c r="AC12" s="20"/>
    </row>
    <row r="13" spans="1:29" s="2" customFormat="1" ht="21.95" hidden="1" customHeight="1">
      <c r="A13" s="200">
        <v>300313</v>
      </c>
      <c r="B13" s="197" t="s">
        <v>33</v>
      </c>
      <c r="C13" s="219" t="s">
        <v>34</v>
      </c>
      <c r="D13" s="219"/>
      <c r="E13" s="204" t="s">
        <v>42</v>
      </c>
      <c r="F13" s="203"/>
      <c r="G13" s="133"/>
      <c r="H13" s="133"/>
      <c r="I13" s="133"/>
      <c r="J13" s="133"/>
      <c r="K13" s="202">
        <f t="shared" si="0"/>
        <v>0</v>
      </c>
      <c r="L13" s="202">
        <f t="shared" si="1"/>
        <v>0</v>
      </c>
      <c r="M13" s="202">
        <v>616</v>
      </c>
      <c r="N13" s="202">
        <f t="shared" si="5"/>
        <v>4.534746760895171</v>
      </c>
      <c r="O13" s="202"/>
      <c r="P13" s="202">
        <f t="shared" si="2"/>
        <v>0</v>
      </c>
      <c r="Q13" s="202"/>
      <c r="R13" s="19">
        <f t="shared" si="3"/>
        <v>0</v>
      </c>
      <c r="S13" s="202">
        <f t="shared" si="4"/>
        <v>0</v>
      </c>
      <c r="T13" s="20">
        <v>5</v>
      </c>
      <c r="U13" s="20"/>
      <c r="V13" s="201" t="str">
        <f t="array" ref="V13">IF(ISERROR(L13/K13),"",L13/K13)</f>
        <v/>
      </c>
      <c r="W13" s="20"/>
      <c r="X13" s="197"/>
      <c r="Y13" s="197"/>
      <c r="Z13" s="203"/>
      <c r="AA13" s="20"/>
      <c r="AB13" s="20"/>
      <c r="AC13" s="20"/>
    </row>
    <row r="14" spans="1:29" s="2" customFormat="1" ht="21.95" hidden="1" customHeight="1">
      <c r="A14" s="200"/>
      <c r="B14" s="197" t="s">
        <v>43</v>
      </c>
      <c r="C14" s="230" t="s">
        <v>305</v>
      </c>
      <c r="D14" s="231"/>
      <c r="E14" s="204" t="s">
        <v>306</v>
      </c>
      <c r="F14" s="203"/>
      <c r="G14" s="133"/>
      <c r="H14" s="133"/>
      <c r="I14" s="133"/>
      <c r="J14" s="133"/>
      <c r="K14" s="202">
        <f t="shared" si="0"/>
        <v>0</v>
      </c>
      <c r="L14" s="202">
        <f t="shared" si="1"/>
        <v>0</v>
      </c>
      <c r="M14" s="202">
        <v>213.4</v>
      </c>
      <c r="N14" s="202">
        <f>+M14*1000/(15.4*10*17*60)*T14</f>
        <v>4.0756302521008401</v>
      </c>
      <c r="O14" s="202"/>
      <c r="P14" s="202">
        <f t="shared" si="2"/>
        <v>0</v>
      </c>
      <c r="Q14" s="202"/>
      <c r="R14" s="19">
        <f t="shared" si="3"/>
        <v>0</v>
      </c>
      <c r="S14" s="202">
        <f t="shared" si="4"/>
        <v>0</v>
      </c>
      <c r="T14" s="20">
        <v>3</v>
      </c>
      <c r="U14" s="20"/>
      <c r="V14" s="201"/>
      <c r="W14" s="20"/>
      <c r="X14" s="197"/>
      <c r="Y14" s="197"/>
      <c r="Z14" s="203"/>
      <c r="AA14" s="20"/>
      <c r="AB14" s="20"/>
      <c r="AC14" s="20"/>
    </row>
    <row r="15" spans="1:29" s="2" customFormat="1" ht="21.95" hidden="1" customHeight="1">
      <c r="A15" s="200"/>
      <c r="B15" s="197" t="s">
        <v>43</v>
      </c>
      <c r="C15" s="230" t="s">
        <v>305</v>
      </c>
      <c r="D15" s="231"/>
      <c r="E15" s="204" t="s">
        <v>307</v>
      </c>
      <c r="F15" s="203"/>
      <c r="G15" s="133"/>
      <c r="H15" s="133"/>
      <c r="I15" s="133"/>
      <c r="J15" s="133"/>
      <c r="K15" s="202">
        <f t="shared" si="0"/>
        <v>0</v>
      </c>
      <c r="L15" s="202">
        <f t="shared" si="1"/>
        <v>0</v>
      </c>
      <c r="M15" s="202">
        <v>213.4</v>
      </c>
      <c r="N15" s="202">
        <f>+M15*1000/(15.4*10*17*60)*T15</f>
        <v>4.0756302521008401</v>
      </c>
      <c r="O15" s="202"/>
      <c r="P15" s="202">
        <f t="shared" si="2"/>
        <v>0</v>
      </c>
      <c r="Q15" s="202"/>
      <c r="R15" s="19">
        <f t="shared" si="3"/>
        <v>0</v>
      </c>
      <c r="S15" s="202">
        <f t="shared" si="4"/>
        <v>0</v>
      </c>
      <c r="T15" s="20">
        <v>3</v>
      </c>
      <c r="U15" s="20"/>
      <c r="V15" s="201"/>
      <c r="W15" s="20"/>
      <c r="X15" s="197"/>
      <c r="Y15" s="197"/>
      <c r="Z15" s="203"/>
      <c r="AA15" s="20"/>
      <c r="AB15" s="20"/>
      <c r="AC15" s="20"/>
    </row>
    <row r="16" spans="1:29" s="2" customFormat="1" ht="21" hidden="1" customHeight="1">
      <c r="A16" s="197">
        <v>300202</v>
      </c>
      <c r="B16" s="197" t="s">
        <v>43</v>
      </c>
      <c r="C16" s="230" t="s">
        <v>44</v>
      </c>
      <c r="D16" s="231"/>
      <c r="E16" s="197" t="s">
        <v>35</v>
      </c>
      <c r="F16" s="203"/>
      <c r="G16" s="133"/>
      <c r="H16" s="133"/>
      <c r="I16" s="133"/>
      <c r="J16" s="133"/>
      <c r="K16" s="202">
        <f t="shared" si="0"/>
        <v>0</v>
      </c>
      <c r="L16" s="202">
        <f t="shared" si="1"/>
        <v>0</v>
      </c>
      <c r="M16" s="202">
        <v>212.4</v>
      </c>
      <c r="N16" s="202">
        <f>+M16*1000/(15.4*10*17*60)*T16</f>
        <v>4.0565317035905268</v>
      </c>
      <c r="O16" s="202"/>
      <c r="P16" s="202">
        <f t="shared" si="2"/>
        <v>0</v>
      </c>
      <c r="Q16" s="202"/>
      <c r="R16" s="19">
        <f t="shared" si="3"/>
        <v>0</v>
      </c>
      <c r="S16" s="202">
        <f t="shared" si="4"/>
        <v>0</v>
      </c>
      <c r="T16" s="20">
        <v>3</v>
      </c>
      <c r="U16" s="20"/>
      <c r="V16" s="20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97">
        <v>300203</v>
      </c>
      <c r="B17" s="197" t="s">
        <v>43</v>
      </c>
      <c r="C17" s="230" t="s">
        <v>44</v>
      </c>
      <c r="D17" s="231"/>
      <c r="E17" s="197" t="s">
        <v>41</v>
      </c>
      <c r="F17" s="203"/>
      <c r="G17" s="133"/>
      <c r="H17" s="133"/>
      <c r="I17" s="133"/>
      <c r="J17" s="133"/>
      <c r="K17" s="202">
        <f t="shared" si="0"/>
        <v>0</v>
      </c>
      <c r="L17" s="202">
        <f t="shared" si="1"/>
        <v>0</v>
      </c>
      <c r="M17" s="202">
        <v>212.4</v>
      </c>
      <c r="N17" s="202">
        <f>+M17*1000/(15.4*10*17*60)*T17</f>
        <v>4.0565317035905268</v>
      </c>
      <c r="O17" s="202"/>
      <c r="P17" s="202">
        <f t="shared" si="2"/>
        <v>0</v>
      </c>
      <c r="Q17" s="202"/>
      <c r="R17" s="19">
        <f t="shared" si="3"/>
        <v>0</v>
      </c>
      <c r="S17" s="202">
        <f t="shared" si="4"/>
        <v>0</v>
      </c>
      <c r="T17" s="20">
        <v>3</v>
      </c>
      <c r="U17" s="20"/>
      <c r="V17" s="20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97">
        <v>300204</v>
      </c>
      <c r="B18" s="197" t="s">
        <v>43</v>
      </c>
      <c r="C18" s="230" t="s">
        <v>44</v>
      </c>
      <c r="D18" s="231"/>
      <c r="E18" s="197" t="s">
        <v>37</v>
      </c>
      <c r="F18" s="203"/>
      <c r="G18" s="133"/>
      <c r="H18" s="133"/>
      <c r="I18" s="133"/>
      <c r="J18" s="133"/>
      <c r="K18" s="202">
        <f t="shared" si="0"/>
        <v>0</v>
      </c>
      <c r="L18" s="202">
        <f t="shared" si="1"/>
        <v>0</v>
      </c>
      <c r="M18" s="202">
        <v>212.4</v>
      </c>
      <c r="N18" s="202">
        <f>+M18*1000/(15.4*10*17*60)*T18</f>
        <v>4.0565317035905268</v>
      </c>
      <c r="O18" s="202"/>
      <c r="P18" s="202">
        <f t="shared" si="2"/>
        <v>0</v>
      </c>
      <c r="Q18" s="202"/>
      <c r="R18" s="19">
        <f t="shared" si="3"/>
        <v>0</v>
      </c>
      <c r="S18" s="202">
        <f t="shared" si="4"/>
        <v>0</v>
      </c>
      <c r="T18" s="20">
        <v>3</v>
      </c>
      <c r="U18" s="20"/>
      <c r="V18" s="20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200">
        <v>300269</v>
      </c>
      <c r="B19" s="197" t="s">
        <v>43</v>
      </c>
      <c r="C19" s="219" t="s">
        <v>45</v>
      </c>
      <c r="D19" s="219"/>
      <c r="E19" s="204"/>
      <c r="F19" s="203"/>
      <c r="G19" s="133"/>
      <c r="H19" s="133"/>
      <c r="I19" s="133"/>
      <c r="J19" s="133"/>
      <c r="K19" s="202">
        <f t="shared" si="0"/>
        <v>0</v>
      </c>
      <c r="L19" s="202">
        <f t="shared" si="1"/>
        <v>0</v>
      </c>
      <c r="M19" s="202">
        <v>209.4</v>
      </c>
      <c r="N19" s="202">
        <f>+M19*1000/(19.4*10*16*60)*T19</f>
        <v>3.3730670103092786</v>
      </c>
      <c r="O19" s="202"/>
      <c r="P19" s="202">
        <f t="shared" si="2"/>
        <v>0</v>
      </c>
      <c r="Q19" s="202"/>
      <c r="R19" s="19">
        <f t="shared" si="3"/>
        <v>0</v>
      </c>
      <c r="S19" s="202">
        <f t="shared" si="4"/>
        <v>0</v>
      </c>
      <c r="T19" s="20">
        <v>3</v>
      </c>
      <c r="U19" s="20"/>
      <c r="V19" s="20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200"/>
      <c r="B20" s="197"/>
      <c r="C20" s="219" t="s">
        <v>46</v>
      </c>
      <c r="D20" s="219"/>
      <c r="E20" s="204" t="s">
        <v>47</v>
      </c>
      <c r="F20" s="203"/>
      <c r="G20" s="133"/>
      <c r="H20" s="133"/>
      <c r="I20" s="133"/>
      <c r="J20" s="133"/>
      <c r="K20" s="202">
        <f t="shared" si="0"/>
        <v>0</v>
      </c>
      <c r="L20" s="202">
        <f t="shared" si="1"/>
        <v>0</v>
      </c>
      <c r="M20" s="202">
        <v>209.9</v>
      </c>
      <c r="N20" s="202">
        <f>+M20*1000/(19*10*16*60)*T20</f>
        <v>3.4523026315789478</v>
      </c>
      <c r="O20" s="202"/>
      <c r="P20" s="202">
        <f t="shared" si="2"/>
        <v>0</v>
      </c>
      <c r="Q20" s="202"/>
      <c r="R20" s="19">
        <f t="shared" si="3"/>
        <v>0</v>
      </c>
      <c r="S20" s="202">
        <f t="shared" si="4"/>
        <v>0</v>
      </c>
      <c r="T20" s="20">
        <v>3</v>
      </c>
      <c r="U20" s="20"/>
      <c r="V20" s="20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200">
        <v>300350</v>
      </c>
      <c r="B21" s="197" t="s">
        <v>43</v>
      </c>
      <c r="C21" s="219" t="s">
        <v>48</v>
      </c>
      <c r="D21" s="219"/>
      <c r="E21" s="204" t="s">
        <v>49</v>
      </c>
      <c r="F21" s="203"/>
      <c r="G21" s="133"/>
      <c r="H21" s="133"/>
      <c r="I21" s="133"/>
      <c r="J21" s="133"/>
      <c r="K21" s="202">
        <f t="shared" si="0"/>
        <v>0</v>
      </c>
      <c r="L21" s="202">
        <f t="shared" si="1"/>
        <v>0</v>
      </c>
      <c r="M21" s="202">
        <v>209.9</v>
      </c>
      <c r="N21" s="202">
        <f>+M21*1000/(19*10*16*60)*T21</f>
        <v>2.3015350877192984</v>
      </c>
      <c r="O21" s="202"/>
      <c r="P21" s="202">
        <f t="shared" si="2"/>
        <v>0</v>
      </c>
      <c r="Q21" s="202"/>
      <c r="R21" s="19">
        <f t="shared" si="3"/>
        <v>0</v>
      </c>
      <c r="S21" s="202">
        <f t="shared" si="4"/>
        <v>0</v>
      </c>
      <c r="T21" s="20">
        <v>2</v>
      </c>
      <c r="U21" s="20"/>
      <c r="V21" s="20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200">
        <v>300113</v>
      </c>
      <c r="B22" s="197" t="s">
        <v>43</v>
      </c>
      <c r="C22" s="219" t="s">
        <v>50</v>
      </c>
      <c r="D22" s="219"/>
      <c r="E22" s="204" t="s">
        <v>40</v>
      </c>
      <c r="F22" s="203"/>
      <c r="G22" s="133"/>
      <c r="H22" s="133"/>
      <c r="I22" s="133"/>
      <c r="J22" s="133"/>
      <c r="K22" s="202">
        <f t="shared" si="0"/>
        <v>0</v>
      </c>
      <c r="L22" s="202">
        <f t="shared" si="1"/>
        <v>0</v>
      </c>
      <c r="M22" s="202">
        <v>210</v>
      </c>
      <c r="N22" s="202">
        <f>M22*1000/(19.2*10*17*60)*T22</f>
        <v>2.1446078431372548</v>
      </c>
      <c r="O22" s="202"/>
      <c r="P22" s="202">
        <f t="shared" si="2"/>
        <v>0</v>
      </c>
      <c r="Q22" s="202"/>
      <c r="R22" s="19">
        <f t="shared" si="3"/>
        <v>0</v>
      </c>
      <c r="S22" s="202">
        <f t="shared" si="4"/>
        <v>0</v>
      </c>
      <c r="T22" s="20">
        <v>2</v>
      </c>
      <c r="U22" s="20"/>
      <c r="V22" s="20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200">
        <v>300114</v>
      </c>
      <c r="B23" s="197" t="s">
        <v>43</v>
      </c>
      <c r="C23" s="219" t="s">
        <v>50</v>
      </c>
      <c r="D23" s="219"/>
      <c r="E23" s="204" t="s">
        <v>42</v>
      </c>
      <c r="F23" s="203"/>
      <c r="G23" s="133"/>
      <c r="H23" s="133"/>
      <c r="I23" s="133"/>
      <c r="J23" s="133"/>
      <c r="K23" s="202">
        <f t="shared" si="0"/>
        <v>0</v>
      </c>
      <c r="L23" s="202">
        <f t="shared" si="1"/>
        <v>0</v>
      </c>
      <c r="M23" s="202">
        <v>210</v>
      </c>
      <c r="N23" s="202">
        <f>M23*1000/(19.2*10*17*60)*T23</f>
        <v>2.1446078431372548</v>
      </c>
      <c r="O23" s="202"/>
      <c r="P23" s="202">
        <f t="shared" si="2"/>
        <v>0</v>
      </c>
      <c r="Q23" s="202"/>
      <c r="R23" s="19">
        <f t="shared" si="3"/>
        <v>0</v>
      </c>
      <c r="S23" s="202">
        <f t="shared" si="4"/>
        <v>0</v>
      </c>
      <c r="T23" s="20">
        <v>2</v>
      </c>
      <c r="U23" s="20"/>
      <c r="V23" s="20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200">
        <v>300115</v>
      </c>
      <c r="B24" s="197" t="s">
        <v>43</v>
      </c>
      <c r="C24" s="219" t="s">
        <v>50</v>
      </c>
      <c r="D24" s="219"/>
      <c r="E24" s="204" t="s">
        <v>41</v>
      </c>
      <c r="F24" s="203"/>
      <c r="G24" s="133"/>
      <c r="H24" s="133"/>
      <c r="I24" s="133"/>
      <c r="J24" s="133"/>
      <c r="K24" s="202">
        <f t="shared" si="0"/>
        <v>0</v>
      </c>
      <c r="L24" s="202">
        <f t="shared" si="1"/>
        <v>0</v>
      </c>
      <c r="M24" s="202">
        <v>210</v>
      </c>
      <c r="N24" s="202">
        <f>M24*1000/(19.2*10*17*60)*T24</f>
        <v>2.1446078431372548</v>
      </c>
      <c r="O24" s="202"/>
      <c r="P24" s="202">
        <f t="shared" si="2"/>
        <v>0</v>
      </c>
      <c r="Q24" s="202"/>
      <c r="R24" s="19">
        <f t="shared" si="3"/>
        <v>0</v>
      </c>
      <c r="S24" s="202">
        <f t="shared" si="4"/>
        <v>0</v>
      </c>
      <c r="T24" s="20">
        <v>2</v>
      </c>
      <c r="U24" s="20"/>
      <c r="V24" s="20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200">
        <v>300011</v>
      </c>
      <c r="B25" s="197" t="s">
        <v>43</v>
      </c>
      <c r="C25" s="219" t="s">
        <v>51</v>
      </c>
      <c r="D25" s="219"/>
      <c r="E25" s="204" t="s">
        <v>40</v>
      </c>
      <c r="F25" s="203"/>
      <c r="G25" s="133"/>
      <c r="H25" s="133"/>
      <c r="I25" s="133"/>
      <c r="J25" s="133"/>
      <c r="K25" s="202">
        <f t="shared" si="0"/>
        <v>0</v>
      </c>
      <c r="L25" s="202">
        <f t="shared" si="1"/>
        <v>0</v>
      </c>
      <c r="M25" s="202">
        <v>524.6</v>
      </c>
      <c r="N25" s="202">
        <f>+M25*1000/(25.4*20*15*60)*T25</f>
        <v>3.4422572178477688</v>
      </c>
      <c r="O25" s="202"/>
      <c r="P25" s="202">
        <f t="shared" si="2"/>
        <v>0</v>
      </c>
      <c r="Q25" s="202"/>
      <c r="R25" s="19">
        <f t="shared" si="3"/>
        <v>0</v>
      </c>
      <c r="S25" s="202">
        <f t="shared" si="4"/>
        <v>0</v>
      </c>
      <c r="T25" s="20">
        <v>3</v>
      </c>
      <c r="U25" s="20"/>
      <c r="V25" s="20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200">
        <v>300012</v>
      </c>
      <c r="B26" s="197" t="s">
        <v>43</v>
      </c>
      <c r="C26" s="219" t="s">
        <v>51</v>
      </c>
      <c r="D26" s="219"/>
      <c r="E26" s="204" t="s">
        <v>41</v>
      </c>
      <c r="F26" s="203"/>
      <c r="G26" s="133"/>
      <c r="H26" s="133"/>
      <c r="I26" s="133"/>
      <c r="J26" s="133"/>
      <c r="K26" s="202">
        <f t="shared" si="0"/>
        <v>0</v>
      </c>
      <c r="L26" s="202">
        <f t="shared" si="1"/>
        <v>0</v>
      </c>
      <c r="M26" s="202">
        <v>524.6</v>
      </c>
      <c r="N26" s="202">
        <f>+M26*1000/(25.4*20*15*60)*T26</f>
        <v>3.4422572178477688</v>
      </c>
      <c r="O26" s="202"/>
      <c r="P26" s="202">
        <f t="shared" si="2"/>
        <v>0</v>
      </c>
      <c r="Q26" s="202"/>
      <c r="R26" s="19">
        <f t="shared" si="3"/>
        <v>0</v>
      </c>
      <c r="S26" s="202">
        <f t="shared" si="4"/>
        <v>0</v>
      </c>
      <c r="T26" s="20">
        <v>3</v>
      </c>
      <c r="U26" s="20"/>
      <c r="V26" s="20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200">
        <v>300013</v>
      </c>
      <c r="B27" s="197" t="s">
        <v>43</v>
      </c>
      <c r="C27" s="219" t="s">
        <v>51</v>
      </c>
      <c r="D27" s="219"/>
      <c r="E27" s="204" t="s">
        <v>42</v>
      </c>
      <c r="F27" s="203"/>
      <c r="G27" s="133"/>
      <c r="H27" s="133"/>
      <c r="I27" s="133"/>
      <c r="J27" s="133"/>
      <c r="K27" s="202">
        <f t="shared" si="0"/>
        <v>0</v>
      </c>
      <c r="L27" s="202">
        <f t="shared" si="1"/>
        <v>0</v>
      </c>
      <c r="M27" s="202">
        <v>524.6</v>
      </c>
      <c r="N27" s="202">
        <f>+M27*1000/(25.4*20*15*60)*T27</f>
        <v>3.4422572178477688</v>
      </c>
      <c r="O27" s="202"/>
      <c r="P27" s="202">
        <f t="shared" si="2"/>
        <v>0</v>
      </c>
      <c r="Q27" s="202"/>
      <c r="R27" s="19">
        <f t="shared" si="3"/>
        <v>0</v>
      </c>
      <c r="S27" s="202">
        <f t="shared" si="4"/>
        <v>0</v>
      </c>
      <c r="T27" s="20">
        <v>3</v>
      </c>
      <c r="U27" s="20"/>
      <c r="V27" s="20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200">
        <v>300016</v>
      </c>
      <c r="B28" s="197" t="s">
        <v>43</v>
      </c>
      <c r="C28" s="219" t="s">
        <v>51</v>
      </c>
      <c r="D28" s="219"/>
      <c r="E28" s="204" t="s">
        <v>38</v>
      </c>
      <c r="F28" s="203"/>
      <c r="G28" s="133"/>
      <c r="H28" s="133"/>
      <c r="I28" s="133"/>
      <c r="J28" s="133"/>
      <c r="K28" s="202">
        <f t="shared" si="0"/>
        <v>0</v>
      </c>
      <c r="L28" s="202">
        <f t="shared" si="1"/>
        <v>0</v>
      </c>
      <c r="M28" s="202">
        <v>524.6</v>
      </c>
      <c r="N28" s="202">
        <f>+M28*1000/(25.4*20*15*60)*T28</f>
        <v>3.4422572178477688</v>
      </c>
      <c r="O28" s="202"/>
      <c r="P28" s="202">
        <f t="shared" si="2"/>
        <v>0</v>
      </c>
      <c r="Q28" s="202"/>
      <c r="R28" s="19">
        <f t="shared" si="3"/>
        <v>0</v>
      </c>
      <c r="S28" s="202">
        <f t="shared" si="4"/>
        <v>0</v>
      </c>
      <c r="T28" s="20">
        <v>3</v>
      </c>
      <c r="U28" s="20"/>
      <c r="V28" s="20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00">
        <v>3000435</v>
      </c>
      <c r="B29" s="197" t="s">
        <v>43</v>
      </c>
      <c r="C29" s="219" t="s">
        <v>51</v>
      </c>
      <c r="D29" s="219"/>
      <c r="E29" s="204" t="s">
        <v>301</v>
      </c>
      <c r="F29" s="203"/>
      <c r="G29" s="133"/>
      <c r="H29" s="133"/>
      <c r="I29" s="133"/>
      <c r="J29" s="133"/>
      <c r="K29" s="202">
        <f t="shared" si="0"/>
        <v>0</v>
      </c>
      <c r="L29" s="202">
        <f t="shared" si="1"/>
        <v>0</v>
      </c>
      <c r="M29" s="202">
        <v>524.6</v>
      </c>
      <c r="N29" s="202">
        <f>+M29*1000/(25.4*20*15*60)*T29</f>
        <v>3.4422572178477688</v>
      </c>
      <c r="O29" s="202"/>
      <c r="P29" s="202">
        <f t="shared" si="2"/>
        <v>0</v>
      </c>
      <c r="Q29" s="202"/>
      <c r="R29" s="19">
        <f t="shared" si="3"/>
        <v>0</v>
      </c>
      <c r="S29" s="202">
        <f t="shared" si="4"/>
        <v>0</v>
      </c>
      <c r="T29" s="20">
        <v>3</v>
      </c>
      <c r="U29" s="20"/>
      <c r="V29" s="201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00">
        <v>300276</v>
      </c>
      <c r="B30" s="197" t="s">
        <v>43</v>
      </c>
      <c r="C30" s="219" t="s">
        <v>53</v>
      </c>
      <c r="D30" s="219"/>
      <c r="E30" s="204" t="s">
        <v>41</v>
      </c>
      <c r="F30" s="203"/>
      <c r="G30" s="133"/>
      <c r="H30" s="133"/>
      <c r="I30" s="133"/>
      <c r="J30" s="133"/>
      <c r="K30" s="202">
        <f t="shared" si="0"/>
        <v>0</v>
      </c>
      <c r="L30" s="202">
        <f t="shared" si="1"/>
        <v>0</v>
      </c>
      <c r="M30" s="202">
        <v>266</v>
      </c>
      <c r="N30" s="202">
        <f>+M30*1000/(29.8*10*13*60)*T30</f>
        <v>3.4331440371708828</v>
      </c>
      <c r="O30" s="202"/>
      <c r="P30" s="202">
        <f t="shared" si="2"/>
        <v>0</v>
      </c>
      <c r="Q30" s="202"/>
      <c r="R30" s="19">
        <f t="shared" si="3"/>
        <v>0</v>
      </c>
      <c r="S30" s="202">
        <f t="shared" si="4"/>
        <v>0</v>
      </c>
      <c r="T30" s="20">
        <v>3</v>
      </c>
      <c r="U30" s="20"/>
      <c r="V30" s="20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00">
        <v>300277</v>
      </c>
      <c r="B31" s="197" t="s">
        <v>43</v>
      </c>
      <c r="C31" s="219" t="s">
        <v>53</v>
      </c>
      <c r="D31" s="219"/>
      <c r="E31" s="204" t="s">
        <v>39</v>
      </c>
      <c r="F31" s="203"/>
      <c r="G31" s="133"/>
      <c r="H31" s="133"/>
      <c r="I31" s="133"/>
      <c r="J31" s="133"/>
      <c r="K31" s="202">
        <f t="shared" si="0"/>
        <v>0</v>
      </c>
      <c r="L31" s="202">
        <f t="shared" si="1"/>
        <v>0</v>
      </c>
      <c r="M31" s="202">
        <v>266</v>
      </c>
      <c r="N31" s="202">
        <f>+M31*1000/(29.8*10*13*60)*T31</f>
        <v>3.4331440371708828</v>
      </c>
      <c r="O31" s="202"/>
      <c r="P31" s="202">
        <f t="shared" si="2"/>
        <v>0</v>
      </c>
      <c r="Q31" s="202"/>
      <c r="R31" s="19">
        <f t="shared" si="3"/>
        <v>0</v>
      </c>
      <c r="S31" s="202">
        <f t="shared" si="4"/>
        <v>0</v>
      </c>
      <c r="T31" s="20">
        <v>3</v>
      </c>
      <c r="U31" s="20"/>
      <c r="V31" s="20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00">
        <v>300278</v>
      </c>
      <c r="B32" s="197" t="s">
        <v>43</v>
      </c>
      <c r="C32" s="219" t="s">
        <v>53</v>
      </c>
      <c r="D32" s="219"/>
      <c r="E32" s="204" t="s">
        <v>54</v>
      </c>
      <c r="F32" s="203"/>
      <c r="G32" s="133"/>
      <c r="H32" s="133"/>
      <c r="I32" s="133"/>
      <c r="J32" s="133"/>
      <c r="K32" s="202">
        <f t="shared" si="0"/>
        <v>0</v>
      </c>
      <c r="L32" s="202">
        <f t="shared" si="1"/>
        <v>0</v>
      </c>
      <c r="M32" s="202">
        <v>266</v>
      </c>
      <c r="N32" s="202">
        <f>+M32*1000/(29.8*10*13*60)*T32</f>
        <v>3.4331440371708828</v>
      </c>
      <c r="O32" s="202"/>
      <c r="P32" s="202">
        <f t="shared" si="2"/>
        <v>0</v>
      </c>
      <c r="Q32" s="202"/>
      <c r="R32" s="19">
        <f t="shared" si="3"/>
        <v>0</v>
      </c>
      <c r="S32" s="202">
        <f t="shared" si="4"/>
        <v>0</v>
      </c>
      <c r="T32" s="20">
        <v>3</v>
      </c>
      <c r="U32" s="20"/>
      <c r="V32" s="20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00">
        <v>300027</v>
      </c>
      <c r="B33" s="197" t="s">
        <v>55</v>
      </c>
      <c r="C33" s="219" t="s">
        <v>56</v>
      </c>
      <c r="D33" s="219"/>
      <c r="E33" s="204" t="s">
        <v>54</v>
      </c>
      <c r="F33" s="203"/>
      <c r="G33" s="133"/>
      <c r="H33" s="133"/>
      <c r="I33" s="133"/>
      <c r="J33" s="133"/>
      <c r="K33" s="202">
        <f t="shared" si="0"/>
        <v>0</v>
      </c>
      <c r="L33" s="202">
        <f t="shared" si="1"/>
        <v>0</v>
      </c>
      <c r="M33" s="202">
        <v>550.4</v>
      </c>
      <c r="N33" s="202">
        <f>+M33*1000/(31*20*15*60)*T33</f>
        <v>2.9591397849462364</v>
      </c>
      <c r="O33" s="202"/>
      <c r="P33" s="202">
        <f t="shared" si="2"/>
        <v>0</v>
      </c>
      <c r="Q33" s="202"/>
      <c r="R33" s="19">
        <f t="shared" si="3"/>
        <v>0</v>
      </c>
      <c r="S33" s="202">
        <f t="shared" si="4"/>
        <v>0</v>
      </c>
      <c r="T33" s="20">
        <v>3</v>
      </c>
      <c r="U33" s="20"/>
      <c r="V33" s="20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00">
        <v>300028</v>
      </c>
      <c r="B34" s="197" t="s">
        <v>55</v>
      </c>
      <c r="C34" s="219" t="s">
        <v>56</v>
      </c>
      <c r="D34" s="219"/>
      <c r="E34" s="204" t="s">
        <v>35</v>
      </c>
      <c r="F34" s="203"/>
      <c r="G34" s="133"/>
      <c r="H34" s="133"/>
      <c r="I34" s="133"/>
      <c r="J34" s="133"/>
      <c r="K34" s="202">
        <f t="shared" si="0"/>
        <v>0</v>
      </c>
      <c r="L34" s="202">
        <f t="shared" si="1"/>
        <v>0</v>
      </c>
      <c r="M34" s="202">
        <v>550.4</v>
      </c>
      <c r="N34" s="202">
        <f>+M34*1000/(31*20*15*60)*T34</f>
        <v>2.9591397849462364</v>
      </c>
      <c r="O34" s="202"/>
      <c r="P34" s="202">
        <f t="shared" si="2"/>
        <v>0</v>
      </c>
      <c r="Q34" s="202"/>
      <c r="R34" s="19">
        <f t="shared" si="3"/>
        <v>0</v>
      </c>
      <c r="S34" s="202">
        <f t="shared" si="4"/>
        <v>0</v>
      </c>
      <c r="T34" s="20">
        <v>3</v>
      </c>
      <c r="U34" s="20"/>
      <c r="V34" s="20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customHeight="1">
      <c r="A35" s="200">
        <v>300029</v>
      </c>
      <c r="B35" s="197" t="s">
        <v>321</v>
      </c>
      <c r="C35" s="219" t="s">
        <v>56</v>
      </c>
      <c r="D35" s="219"/>
      <c r="E35" s="204" t="s">
        <v>57</v>
      </c>
      <c r="F35" s="203">
        <v>2083</v>
      </c>
      <c r="G35" s="133">
        <v>7</v>
      </c>
      <c r="H35" s="133">
        <v>1</v>
      </c>
      <c r="I35" s="133">
        <f>6+H35</f>
        <v>7</v>
      </c>
      <c r="J35" s="133"/>
      <c r="K35" s="202">
        <f t="shared" si="0"/>
        <v>3852.7999999999997</v>
      </c>
      <c r="L35" s="202">
        <f t="shared" si="1"/>
        <v>3852.7999999999997</v>
      </c>
      <c r="M35" s="202">
        <v>550.4</v>
      </c>
      <c r="N35" s="202">
        <f>+M35*1000/(31*20*15*60)*T35</f>
        <v>2.9591397849462364</v>
      </c>
      <c r="O35" s="202"/>
      <c r="P35" s="202">
        <f t="shared" si="2"/>
        <v>20.713978494623653</v>
      </c>
      <c r="Q35" s="202">
        <v>12</v>
      </c>
      <c r="R35" s="19">
        <f t="shared" si="3"/>
        <v>24</v>
      </c>
      <c r="S35" s="202">
        <f t="shared" si="4"/>
        <v>3.2860215053763469</v>
      </c>
      <c r="T35" s="20">
        <v>3</v>
      </c>
      <c r="U35" s="20">
        <v>2</v>
      </c>
      <c r="V35" s="201">
        <f t="array" ref="V35">IF(ISERROR(L35/K35),"",L35/K35)</f>
        <v>1</v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00">
        <v>300026</v>
      </c>
      <c r="B36" s="197" t="s">
        <v>55</v>
      </c>
      <c r="C36" s="219" t="s">
        <v>56</v>
      </c>
      <c r="D36" s="219"/>
      <c r="E36" s="204" t="s">
        <v>37</v>
      </c>
      <c r="F36" s="203"/>
      <c r="G36" s="133"/>
      <c r="H36" s="133"/>
      <c r="I36" s="133"/>
      <c r="J36" s="133"/>
      <c r="K36" s="202">
        <f t="shared" si="0"/>
        <v>0</v>
      </c>
      <c r="L36" s="202">
        <f t="shared" si="1"/>
        <v>0</v>
      </c>
      <c r="M36" s="202">
        <v>550.4</v>
      </c>
      <c r="N36" s="202">
        <f>+M36*1000/(31*20*15*60)*T36</f>
        <v>2.9591397849462364</v>
      </c>
      <c r="O36" s="202"/>
      <c r="P36" s="202">
        <f t="shared" si="2"/>
        <v>0</v>
      </c>
      <c r="Q36" s="202"/>
      <c r="R36" s="19">
        <f t="shared" si="3"/>
        <v>0</v>
      </c>
      <c r="S36" s="202">
        <f t="shared" si="4"/>
        <v>0</v>
      </c>
      <c r="T36" s="20">
        <v>3</v>
      </c>
      <c r="U36" s="20"/>
      <c r="V36" s="20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00">
        <v>300032</v>
      </c>
      <c r="B37" s="197">
        <v>3002</v>
      </c>
      <c r="C37" s="219" t="s">
        <v>58</v>
      </c>
      <c r="D37" s="219" t="s">
        <v>59</v>
      </c>
      <c r="E37" s="204" t="s">
        <v>35</v>
      </c>
      <c r="F37" s="203"/>
      <c r="G37" s="133"/>
      <c r="H37" s="133"/>
      <c r="I37" s="133"/>
      <c r="J37" s="133"/>
      <c r="K37" s="202">
        <f t="shared" si="0"/>
        <v>0</v>
      </c>
      <c r="L37" s="202">
        <f t="shared" si="1"/>
        <v>0</v>
      </c>
      <c r="M37" s="202">
        <v>285.7</v>
      </c>
      <c r="N37" s="202">
        <f>+M37*1000/(31*10*13*60)*T37</f>
        <v>7.0893300248138953</v>
      </c>
      <c r="O37" s="202"/>
      <c r="P37" s="202">
        <f t="shared" si="2"/>
        <v>0</v>
      </c>
      <c r="Q37" s="202"/>
      <c r="R37" s="19">
        <f t="shared" si="3"/>
        <v>0</v>
      </c>
      <c r="S37" s="202">
        <f t="shared" si="4"/>
        <v>0</v>
      </c>
      <c r="T37" s="20">
        <v>6</v>
      </c>
      <c r="U37" s="20"/>
      <c r="V37" s="20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customHeight="1">
      <c r="A38" s="200">
        <v>300413</v>
      </c>
      <c r="B38" s="197" t="s">
        <v>321</v>
      </c>
      <c r="C38" s="230" t="s">
        <v>296</v>
      </c>
      <c r="D38" s="231"/>
      <c r="E38" s="204" t="s">
        <v>294</v>
      </c>
      <c r="F38" s="203">
        <v>2078</v>
      </c>
      <c r="G38" s="133">
        <v>7</v>
      </c>
      <c r="H38" s="133"/>
      <c r="I38" s="133">
        <f>8-J38/500</f>
        <v>6.7</v>
      </c>
      <c r="J38" s="133">
        <v>650</v>
      </c>
      <c r="K38" s="202">
        <f t="shared" si="0"/>
        <v>3701.5999999999995</v>
      </c>
      <c r="L38" s="202">
        <f t="shared" si="1"/>
        <v>3542.9599999999996</v>
      </c>
      <c r="M38" s="202">
        <v>528.79999999999995</v>
      </c>
      <c r="N38" s="202">
        <f>+M38*1000/(31*10*13*60)*T38</f>
        <v>6.5607940446650126</v>
      </c>
      <c r="O38" s="202">
        <v>0.5</v>
      </c>
      <c r="P38" s="202">
        <f t="shared" si="2"/>
        <v>44.957320099255583</v>
      </c>
      <c r="Q38" s="202">
        <v>10</v>
      </c>
      <c r="R38" s="19">
        <f t="shared" si="3"/>
        <v>20</v>
      </c>
      <c r="S38" s="202">
        <f t="shared" si="4"/>
        <v>-24.957320099255583</v>
      </c>
      <c r="T38" s="20">
        <v>3</v>
      </c>
      <c r="U38" s="20">
        <v>2</v>
      </c>
      <c r="V38" s="201">
        <f t="array" ref="V38">IF(ISERROR(L38/K38),"",L38/K38)</f>
        <v>0.95714285714285718</v>
      </c>
      <c r="W38" s="20">
        <f>25/60*2</f>
        <v>0.83333333333333337</v>
      </c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00">
        <v>300414</v>
      </c>
      <c r="B39" s="197">
        <v>3002</v>
      </c>
      <c r="C39" s="230" t="s">
        <v>296</v>
      </c>
      <c r="D39" s="231"/>
      <c r="E39" s="204" t="s">
        <v>303</v>
      </c>
      <c r="F39" s="203"/>
      <c r="G39" s="133"/>
      <c r="H39" s="133"/>
      <c r="I39" s="133"/>
      <c r="J39" s="133"/>
      <c r="K39" s="202">
        <f t="shared" si="0"/>
        <v>0</v>
      </c>
      <c r="L39" s="202">
        <f t="shared" si="1"/>
        <v>0</v>
      </c>
      <c r="M39" s="202">
        <v>528.79999999999995</v>
      </c>
      <c r="N39" s="202">
        <f>+M39*1000/(31*10*13*60)*T39</f>
        <v>6.5607940446650126</v>
      </c>
      <c r="O39" s="202"/>
      <c r="P39" s="202">
        <f t="shared" si="2"/>
        <v>0</v>
      </c>
      <c r="Q39" s="202"/>
      <c r="R39" s="19">
        <f t="shared" si="3"/>
        <v>0</v>
      </c>
      <c r="S39" s="202">
        <f t="shared" si="4"/>
        <v>0</v>
      </c>
      <c r="T39" s="20">
        <v>3</v>
      </c>
      <c r="U39" s="20"/>
      <c r="V39" s="201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00">
        <v>300415</v>
      </c>
      <c r="B40" s="197">
        <v>3002</v>
      </c>
      <c r="C40" s="230" t="s">
        <v>296</v>
      </c>
      <c r="D40" s="231"/>
      <c r="E40" s="204" t="s">
        <v>295</v>
      </c>
      <c r="F40" s="203"/>
      <c r="G40" s="133"/>
      <c r="H40" s="133"/>
      <c r="I40" s="133"/>
      <c r="J40" s="133"/>
      <c r="K40" s="202">
        <f t="shared" si="0"/>
        <v>0</v>
      </c>
      <c r="L40" s="202">
        <f t="shared" si="1"/>
        <v>0</v>
      </c>
      <c r="M40" s="202">
        <v>528.79999999999995</v>
      </c>
      <c r="N40" s="202">
        <f>+M40*1000/(31*10*13*60)*T40</f>
        <v>6.5607940446650126</v>
      </c>
      <c r="O40" s="202"/>
      <c r="P40" s="202">
        <f t="shared" si="2"/>
        <v>0</v>
      </c>
      <c r="Q40" s="202"/>
      <c r="R40" s="19">
        <f t="shared" si="3"/>
        <v>0</v>
      </c>
      <c r="S40" s="202">
        <f t="shared" si="4"/>
        <v>0</v>
      </c>
      <c r="T40" s="20">
        <v>3</v>
      </c>
      <c r="U40" s="20"/>
      <c r="V40" s="201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00">
        <v>300035</v>
      </c>
      <c r="B41" s="197" t="s">
        <v>60</v>
      </c>
      <c r="C41" s="219" t="s">
        <v>61</v>
      </c>
      <c r="D41" s="219" t="s">
        <v>62</v>
      </c>
      <c r="E41" s="204" t="s">
        <v>35</v>
      </c>
      <c r="F41" s="203"/>
      <c r="G41" s="133"/>
      <c r="H41" s="133"/>
      <c r="I41" s="133"/>
      <c r="J41" s="133"/>
      <c r="K41" s="202">
        <f t="shared" si="0"/>
        <v>0</v>
      </c>
      <c r="L41" s="202">
        <f t="shared" si="1"/>
        <v>0</v>
      </c>
      <c r="M41" s="202">
        <v>366.93</v>
      </c>
      <c r="N41" s="202">
        <f>+M41*1000/(35.8*10*13*60)*T41</f>
        <v>2.6280618822518265</v>
      </c>
      <c r="O41" s="202"/>
      <c r="P41" s="202">
        <f t="shared" si="2"/>
        <v>0</v>
      </c>
      <c r="Q41" s="202"/>
      <c r="R41" s="19">
        <f t="shared" si="3"/>
        <v>0</v>
      </c>
      <c r="S41" s="202">
        <f t="shared" si="4"/>
        <v>0</v>
      </c>
      <c r="T41" s="20">
        <v>2</v>
      </c>
      <c r="U41" s="20"/>
      <c r="V41" s="20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00">
        <v>300036</v>
      </c>
      <c r="B42" s="197" t="s">
        <v>60</v>
      </c>
      <c r="C42" s="219" t="s">
        <v>61</v>
      </c>
      <c r="D42" s="219" t="s">
        <v>62</v>
      </c>
      <c r="E42" s="204" t="s">
        <v>63</v>
      </c>
      <c r="F42" s="203"/>
      <c r="G42" s="133"/>
      <c r="H42" s="133"/>
      <c r="I42" s="133"/>
      <c r="J42" s="133"/>
      <c r="K42" s="202">
        <f t="shared" si="0"/>
        <v>0</v>
      </c>
      <c r="L42" s="202">
        <f t="shared" si="1"/>
        <v>0</v>
      </c>
      <c r="M42" s="202">
        <v>366.93</v>
      </c>
      <c r="N42" s="202">
        <f>+M42*1000/(35.8*10*13*60)*T42</f>
        <v>2.6280618822518265</v>
      </c>
      <c r="O42" s="202"/>
      <c r="P42" s="202">
        <f t="shared" si="2"/>
        <v>0</v>
      </c>
      <c r="Q42" s="202"/>
      <c r="R42" s="19">
        <f t="shared" si="3"/>
        <v>0</v>
      </c>
      <c r="S42" s="202">
        <f t="shared" si="4"/>
        <v>0</v>
      </c>
      <c r="T42" s="20">
        <v>2</v>
      </c>
      <c r="U42" s="20"/>
      <c r="V42" s="20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00">
        <v>300037</v>
      </c>
      <c r="B43" s="197" t="s">
        <v>60</v>
      </c>
      <c r="C43" s="219" t="s">
        <v>61</v>
      </c>
      <c r="D43" s="219" t="s">
        <v>62</v>
      </c>
      <c r="E43" s="204" t="s">
        <v>37</v>
      </c>
      <c r="F43" s="203"/>
      <c r="G43" s="133"/>
      <c r="H43" s="133"/>
      <c r="I43" s="133"/>
      <c r="J43" s="133"/>
      <c r="K43" s="202">
        <f t="shared" si="0"/>
        <v>0</v>
      </c>
      <c r="L43" s="202">
        <f t="shared" si="1"/>
        <v>0</v>
      </c>
      <c r="M43" s="202">
        <v>366.93</v>
      </c>
      <c r="N43" s="202">
        <f>+M43*1000/(35.8*10*13*60)*T43</f>
        <v>2.6280618822518265</v>
      </c>
      <c r="O43" s="202"/>
      <c r="P43" s="202">
        <f t="shared" si="2"/>
        <v>0</v>
      </c>
      <c r="Q43" s="202"/>
      <c r="R43" s="19">
        <f t="shared" si="3"/>
        <v>0</v>
      </c>
      <c r="S43" s="202">
        <f t="shared" si="4"/>
        <v>0</v>
      </c>
      <c r="T43" s="20">
        <v>2</v>
      </c>
      <c r="U43" s="20"/>
      <c r="V43" s="20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00">
        <v>300038</v>
      </c>
      <c r="B44" s="197" t="s">
        <v>60</v>
      </c>
      <c r="C44" s="219" t="s">
        <v>64</v>
      </c>
      <c r="D44" s="219" t="s">
        <v>65</v>
      </c>
      <c r="E44" s="204" t="s">
        <v>35</v>
      </c>
      <c r="F44" s="203"/>
      <c r="G44" s="133"/>
      <c r="H44" s="133"/>
      <c r="I44" s="133"/>
      <c r="J44" s="133"/>
      <c r="K44" s="202">
        <f t="shared" si="0"/>
        <v>0</v>
      </c>
      <c r="L44" s="202">
        <f t="shared" si="1"/>
        <v>0</v>
      </c>
      <c r="M44" s="202">
        <v>301.14</v>
      </c>
      <c r="N44" s="202">
        <f>+M44*1000/(35.8*10*13*60)*T44</f>
        <v>5.3921357971637294</v>
      </c>
      <c r="O44" s="202"/>
      <c r="P44" s="202">
        <f t="shared" si="2"/>
        <v>0</v>
      </c>
      <c r="Q44" s="202"/>
      <c r="R44" s="19">
        <f t="shared" si="3"/>
        <v>0</v>
      </c>
      <c r="S44" s="202">
        <f t="shared" si="4"/>
        <v>0</v>
      </c>
      <c r="T44" s="20">
        <v>5</v>
      </c>
      <c r="U44" s="20"/>
      <c r="V44" s="20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00">
        <v>300039</v>
      </c>
      <c r="B45" s="197" t="s">
        <v>60</v>
      </c>
      <c r="C45" s="219" t="s">
        <v>64</v>
      </c>
      <c r="D45" s="219" t="s">
        <v>65</v>
      </c>
      <c r="E45" s="204" t="s">
        <v>66</v>
      </c>
      <c r="F45" s="203"/>
      <c r="G45" s="133"/>
      <c r="H45" s="133"/>
      <c r="I45" s="133"/>
      <c r="J45" s="133"/>
      <c r="K45" s="202">
        <f t="shared" si="0"/>
        <v>0</v>
      </c>
      <c r="L45" s="202">
        <f t="shared" si="1"/>
        <v>0</v>
      </c>
      <c r="M45" s="202">
        <v>310.39999999999998</v>
      </c>
      <c r="N45" s="202">
        <f>+M45*1000/(35.8*10*13*60)*T45</f>
        <v>5.557942988110586</v>
      </c>
      <c r="O45" s="202"/>
      <c r="P45" s="202">
        <f t="shared" si="2"/>
        <v>0</v>
      </c>
      <c r="Q45" s="202"/>
      <c r="R45" s="19">
        <f t="shared" si="3"/>
        <v>0</v>
      </c>
      <c r="S45" s="202">
        <f t="shared" si="4"/>
        <v>0</v>
      </c>
      <c r="T45" s="20">
        <v>5</v>
      </c>
      <c r="U45" s="20"/>
      <c r="V45" s="20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00">
        <v>300416</v>
      </c>
      <c r="B46" s="197" t="s">
        <v>67</v>
      </c>
      <c r="C46" s="230" t="s">
        <v>68</v>
      </c>
      <c r="D46" s="231"/>
      <c r="E46" s="204" t="s">
        <v>69</v>
      </c>
      <c r="F46" s="203"/>
      <c r="G46" s="133"/>
      <c r="H46" s="133"/>
      <c r="I46" s="133"/>
      <c r="J46" s="133"/>
      <c r="K46" s="202">
        <f t="shared" si="0"/>
        <v>0</v>
      </c>
      <c r="L46" s="202">
        <f t="shared" si="1"/>
        <v>0</v>
      </c>
      <c r="M46" s="202">
        <v>385.6</v>
      </c>
      <c r="N46" s="202">
        <f>+M46*1000/(25.4*20*15*60)*T46</f>
        <v>2.5301837270341205</v>
      </c>
      <c r="O46" s="202"/>
      <c r="P46" s="202">
        <f t="shared" si="2"/>
        <v>0</v>
      </c>
      <c r="Q46" s="202"/>
      <c r="R46" s="19">
        <f t="shared" si="3"/>
        <v>0</v>
      </c>
      <c r="S46" s="202">
        <f t="shared" si="4"/>
        <v>0</v>
      </c>
      <c r="T46" s="20">
        <v>3</v>
      </c>
      <c r="U46" s="20"/>
      <c r="V46" s="201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00">
        <v>300417</v>
      </c>
      <c r="B47" s="197" t="s">
        <v>67</v>
      </c>
      <c r="C47" s="230" t="s">
        <v>68</v>
      </c>
      <c r="D47" s="231"/>
      <c r="E47" s="204" t="s">
        <v>70</v>
      </c>
      <c r="F47" s="203"/>
      <c r="G47" s="133"/>
      <c r="H47" s="133"/>
      <c r="I47" s="133"/>
      <c r="J47" s="133"/>
      <c r="K47" s="202">
        <f t="shared" si="0"/>
        <v>0</v>
      </c>
      <c r="L47" s="202">
        <f t="shared" si="1"/>
        <v>0</v>
      </c>
      <c r="M47" s="202">
        <v>385.6</v>
      </c>
      <c r="N47" s="202">
        <f>+M47*1000/(25.4*20*15*60)*T47</f>
        <v>2.5301837270341205</v>
      </c>
      <c r="O47" s="202"/>
      <c r="P47" s="202">
        <f t="shared" si="2"/>
        <v>0</v>
      </c>
      <c r="Q47" s="202"/>
      <c r="R47" s="19">
        <f t="shared" si="3"/>
        <v>0</v>
      </c>
      <c r="S47" s="202">
        <f t="shared" si="4"/>
        <v>0</v>
      </c>
      <c r="T47" s="20">
        <v>3</v>
      </c>
      <c r="U47" s="20"/>
      <c r="V47" s="201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00">
        <v>300418</v>
      </c>
      <c r="B48" s="197" t="s">
        <v>67</v>
      </c>
      <c r="C48" s="230" t="s">
        <v>68</v>
      </c>
      <c r="D48" s="231"/>
      <c r="E48" s="204" t="s">
        <v>71</v>
      </c>
      <c r="F48" s="203"/>
      <c r="G48" s="133"/>
      <c r="H48" s="133"/>
      <c r="I48" s="133"/>
      <c r="J48" s="133"/>
      <c r="K48" s="202">
        <f t="shared" si="0"/>
        <v>0</v>
      </c>
      <c r="L48" s="202">
        <f t="shared" si="1"/>
        <v>0</v>
      </c>
      <c r="M48" s="202">
        <v>385.6</v>
      </c>
      <c r="N48" s="202">
        <f>+M48*1000/(25.4*20*15*60)*T48</f>
        <v>2.5301837270341205</v>
      </c>
      <c r="O48" s="202"/>
      <c r="P48" s="202">
        <f t="shared" si="2"/>
        <v>0</v>
      </c>
      <c r="Q48" s="202"/>
      <c r="R48" s="19">
        <f t="shared" si="3"/>
        <v>0</v>
      </c>
      <c r="S48" s="202">
        <f t="shared" si="4"/>
        <v>0</v>
      </c>
      <c r="T48" s="20">
        <v>3</v>
      </c>
      <c r="U48" s="20"/>
      <c r="V48" s="201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00">
        <v>300419</v>
      </c>
      <c r="B49" s="197" t="s">
        <v>67</v>
      </c>
      <c r="C49" s="230" t="s">
        <v>68</v>
      </c>
      <c r="D49" s="231"/>
      <c r="E49" s="204" t="s">
        <v>72</v>
      </c>
      <c r="F49" s="203"/>
      <c r="G49" s="133"/>
      <c r="H49" s="133"/>
      <c r="I49" s="133"/>
      <c r="J49" s="133"/>
      <c r="K49" s="202">
        <f t="shared" si="0"/>
        <v>0</v>
      </c>
      <c r="L49" s="202">
        <f t="shared" si="1"/>
        <v>0</v>
      </c>
      <c r="M49" s="202">
        <v>385.6</v>
      </c>
      <c r="N49" s="202">
        <f>+M49*1000/(25.4*20*15*60)*T49</f>
        <v>2.5301837270341205</v>
      </c>
      <c r="O49" s="202"/>
      <c r="P49" s="202">
        <f t="shared" si="2"/>
        <v>0</v>
      </c>
      <c r="Q49" s="202"/>
      <c r="R49" s="19">
        <f t="shared" si="3"/>
        <v>0</v>
      </c>
      <c r="S49" s="202">
        <f t="shared" si="4"/>
        <v>0</v>
      </c>
      <c r="T49" s="20">
        <v>3</v>
      </c>
      <c r="U49" s="20"/>
      <c r="V49" s="201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00">
        <v>300260</v>
      </c>
      <c r="B50" s="197" t="s">
        <v>67</v>
      </c>
      <c r="C50" s="219" t="s">
        <v>73</v>
      </c>
      <c r="D50" s="219"/>
      <c r="E50" s="204" t="s">
        <v>74</v>
      </c>
      <c r="F50" s="203"/>
      <c r="G50" s="133"/>
      <c r="H50" s="133"/>
      <c r="I50" s="133"/>
      <c r="J50" s="133"/>
      <c r="K50" s="202">
        <f t="shared" si="0"/>
        <v>0</v>
      </c>
      <c r="L50" s="202">
        <f t="shared" si="1"/>
        <v>0</v>
      </c>
      <c r="M50" s="202">
        <v>434.33</v>
      </c>
      <c r="N50" s="202">
        <f>+M50*1000/(42.7*10*15*60)*T50</f>
        <v>2.2603695029924538</v>
      </c>
      <c r="O50" s="202"/>
      <c r="P50" s="202">
        <f t="shared" si="2"/>
        <v>0</v>
      </c>
      <c r="Q50" s="202"/>
      <c r="R50" s="19">
        <f t="shared" si="3"/>
        <v>0</v>
      </c>
      <c r="S50" s="202">
        <f t="shared" si="4"/>
        <v>0</v>
      </c>
      <c r="T50" s="20">
        <v>2</v>
      </c>
      <c r="U50" s="20"/>
      <c r="V50" s="20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00">
        <v>300261</v>
      </c>
      <c r="B51" s="197" t="s">
        <v>67</v>
      </c>
      <c r="C51" s="219" t="s">
        <v>73</v>
      </c>
      <c r="D51" s="219"/>
      <c r="E51" s="204" t="s">
        <v>41</v>
      </c>
      <c r="F51" s="203"/>
      <c r="G51" s="133"/>
      <c r="H51" s="133"/>
      <c r="I51" s="133"/>
      <c r="J51" s="133"/>
      <c r="K51" s="202">
        <f t="shared" si="0"/>
        <v>0</v>
      </c>
      <c r="L51" s="202">
        <f t="shared" si="1"/>
        <v>0</v>
      </c>
      <c r="M51" s="202">
        <v>434.33</v>
      </c>
      <c r="N51" s="202">
        <f>+M51*1000/(42.7*10*15*60)*T51</f>
        <v>2.2603695029924538</v>
      </c>
      <c r="O51" s="202"/>
      <c r="P51" s="202">
        <f t="shared" si="2"/>
        <v>0</v>
      </c>
      <c r="Q51" s="202"/>
      <c r="R51" s="19">
        <f t="shared" si="3"/>
        <v>0</v>
      </c>
      <c r="S51" s="202">
        <f t="shared" si="4"/>
        <v>0</v>
      </c>
      <c r="T51" s="20">
        <v>2</v>
      </c>
      <c r="U51" s="20"/>
      <c r="V51" s="20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00">
        <v>300262</v>
      </c>
      <c r="B52" s="197" t="s">
        <v>67</v>
      </c>
      <c r="C52" s="219" t="s">
        <v>73</v>
      </c>
      <c r="D52" s="219"/>
      <c r="E52" s="204" t="s">
        <v>39</v>
      </c>
      <c r="F52" s="203"/>
      <c r="G52" s="133"/>
      <c r="H52" s="133"/>
      <c r="I52" s="133"/>
      <c r="J52" s="133"/>
      <c r="K52" s="202">
        <f t="shared" si="0"/>
        <v>0</v>
      </c>
      <c r="L52" s="202">
        <f t="shared" si="1"/>
        <v>0</v>
      </c>
      <c r="M52" s="202">
        <v>434.33</v>
      </c>
      <c r="N52" s="202">
        <f>+M52*1000/(42.7*10*15*60)*T52</f>
        <v>2.2603695029924538</v>
      </c>
      <c r="O52" s="202"/>
      <c r="P52" s="202">
        <f t="shared" si="2"/>
        <v>0</v>
      </c>
      <c r="Q52" s="202"/>
      <c r="R52" s="19">
        <f t="shared" si="3"/>
        <v>0</v>
      </c>
      <c r="S52" s="202">
        <f t="shared" si="4"/>
        <v>0</v>
      </c>
      <c r="T52" s="20">
        <v>2</v>
      </c>
      <c r="U52" s="20"/>
      <c r="V52" s="20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00">
        <v>300263</v>
      </c>
      <c r="B53" s="197" t="s">
        <v>67</v>
      </c>
      <c r="C53" s="219" t="s">
        <v>73</v>
      </c>
      <c r="D53" s="219"/>
      <c r="E53" s="204" t="s">
        <v>54</v>
      </c>
      <c r="F53" s="203"/>
      <c r="G53" s="133"/>
      <c r="H53" s="133"/>
      <c r="I53" s="133"/>
      <c r="J53" s="133"/>
      <c r="K53" s="202">
        <f t="shared" si="0"/>
        <v>0</v>
      </c>
      <c r="L53" s="202">
        <f t="shared" si="1"/>
        <v>0</v>
      </c>
      <c r="M53" s="202">
        <v>434.33</v>
      </c>
      <c r="N53" s="202">
        <f>+M53*1000/(42.7*10*15*60)*T53</f>
        <v>2.2603695029924538</v>
      </c>
      <c r="O53" s="202"/>
      <c r="P53" s="202">
        <f t="shared" si="2"/>
        <v>0</v>
      </c>
      <c r="Q53" s="202"/>
      <c r="R53" s="19">
        <f t="shared" si="3"/>
        <v>0</v>
      </c>
      <c r="S53" s="202">
        <f t="shared" si="4"/>
        <v>0</v>
      </c>
      <c r="T53" s="20">
        <v>2</v>
      </c>
      <c r="U53" s="20"/>
      <c r="V53" s="20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00">
        <v>300051</v>
      </c>
      <c r="B54" s="197" t="s">
        <v>67</v>
      </c>
      <c r="C54" s="219" t="s">
        <v>75</v>
      </c>
      <c r="D54" s="219" t="s">
        <v>76</v>
      </c>
      <c r="E54" s="204" t="s">
        <v>40</v>
      </c>
      <c r="F54" s="203"/>
      <c r="G54" s="133"/>
      <c r="H54" s="133"/>
      <c r="I54" s="133"/>
      <c r="J54" s="133"/>
      <c r="K54" s="202">
        <f t="shared" si="0"/>
        <v>0</v>
      </c>
      <c r="L54" s="202">
        <f t="shared" si="1"/>
        <v>0</v>
      </c>
      <c r="M54" s="202">
        <v>545.9</v>
      </c>
      <c r="N54" s="202">
        <f>+M54*1000/(41.5*10*16*60)*T54</f>
        <v>2.7404618473895583</v>
      </c>
      <c r="O54" s="202"/>
      <c r="P54" s="202">
        <f t="shared" si="2"/>
        <v>0</v>
      </c>
      <c r="Q54" s="202"/>
      <c r="R54" s="19">
        <f t="shared" si="3"/>
        <v>0</v>
      </c>
      <c r="S54" s="202">
        <f t="shared" si="4"/>
        <v>0</v>
      </c>
      <c r="T54" s="22">
        <v>2</v>
      </c>
      <c r="U54" s="20"/>
      <c r="V54" s="20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200">
        <v>300052</v>
      </c>
      <c r="B55" s="197" t="s">
        <v>67</v>
      </c>
      <c r="C55" s="219" t="s">
        <v>75</v>
      </c>
      <c r="D55" s="219" t="s">
        <v>76</v>
      </c>
      <c r="E55" s="204" t="s">
        <v>39</v>
      </c>
      <c r="F55" s="203"/>
      <c r="G55" s="133"/>
      <c r="H55" s="133"/>
      <c r="I55" s="133"/>
      <c r="J55" s="133"/>
      <c r="K55" s="202">
        <f t="shared" si="0"/>
        <v>0</v>
      </c>
      <c r="L55" s="202">
        <f t="shared" si="1"/>
        <v>0</v>
      </c>
      <c r="M55" s="202">
        <v>545.9</v>
      </c>
      <c r="N55" s="202">
        <f>+M55*1000/(41.5*10*16*60)*T55</f>
        <v>2.7404618473895583</v>
      </c>
      <c r="O55" s="202"/>
      <c r="P55" s="202">
        <f t="shared" si="2"/>
        <v>0</v>
      </c>
      <c r="Q55" s="202"/>
      <c r="R55" s="19">
        <f t="shared" si="3"/>
        <v>0</v>
      </c>
      <c r="S55" s="202">
        <f t="shared" si="4"/>
        <v>0</v>
      </c>
      <c r="T55" s="20">
        <v>2</v>
      </c>
      <c r="U55" s="20"/>
      <c r="V55" s="20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00">
        <v>300054</v>
      </c>
      <c r="B56" s="197" t="s">
        <v>67</v>
      </c>
      <c r="C56" s="219" t="s">
        <v>75</v>
      </c>
      <c r="D56" s="219" t="s">
        <v>76</v>
      </c>
      <c r="E56" s="204" t="s">
        <v>38</v>
      </c>
      <c r="F56" s="203"/>
      <c r="G56" s="133"/>
      <c r="H56" s="133"/>
      <c r="I56" s="133"/>
      <c r="J56" s="133"/>
      <c r="K56" s="202">
        <f t="shared" si="0"/>
        <v>0</v>
      </c>
      <c r="L56" s="202">
        <f t="shared" si="1"/>
        <v>0</v>
      </c>
      <c r="M56" s="202">
        <v>545.9</v>
      </c>
      <c r="N56" s="202">
        <f>+M56*1000/(41.5*10*16*60)*T56</f>
        <v>2.7404618473895583</v>
      </c>
      <c r="O56" s="202"/>
      <c r="P56" s="202">
        <f t="shared" si="2"/>
        <v>0</v>
      </c>
      <c r="Q56" s="202"/>
      <c r="R56" s="19">
        <f t="shared" si="3"/>
        <v>0</v>
      </c>
      <c r="S56" s="202">
        <f t="shared" si="4"/>
        <v>0</v>
      </c>
      <c r="T56" s="20">
        <v>2</v>
      </c>
      <c r="U56" s="20"/>
      <c r="V56" s="20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200">
        <v>300436</v>
      </c>
      <c r="B57" s="197" t="s">
        <v>67</v>
      </c>
      <c r="C57" s="219" t="s">
        <v>75</v>
      </c>
      <c r="D57" s="219" t="s">
        <v>76</v>
      </c>
      <c r="E57" s="204" t="s">
        <v>301</v>
      </c>
      <c r="F57" s="203"/>
      <c r="G57" s="133"/>
      <c r="H57" s="133"/>
      <c r="I57" s="133"/>
      <c r="J57" s="133"/>
      <c r="K57" s="202">
        <f t="shared" si="0"/>
        <v>0</v>
      </c>
      <c r="L57" s="202">
        <f t="shared" si="1"/>
        <v>0</v>
      </c>
      <c r="M57" s="202">
        <v>545.9</v>
      </c>
      <c r="N57" s="202">
        <f>+M57*1000/(41.5*10*16*60)*T57</f>
        <v>2.7404618473895583</v>
      </c>
      <c r="O57" s="202"/>
      <c r="P57" s="202">
        <f t="shared" si="2"/>
        <v>0</v>
      </c>
      <c r="Q57" s="202"/>
      <c r="R57" s="19">
        <f t="shared" si="3"/>
        <v>0</v>
      </c>
      <c r="S57" s="202">
        <f t="shared" si="4"/>
        <v>0</v>
      </c>
      <c r="T57" s="20">
        <v>2</v>
      </c>
      <c r="U57" s="20"/>
      <c r="V57" s="201" t="str">
        <f t="array" ref="V57">IF(ISERROR(L57/K57),"",L57/K57)</f>
        <v/>
      </c>
      <c r="W57" s="20"/>
      <c r="X57" s="20"/>
      <c r="Y57" s="20"/>
      <c r="Z57" s="20"/>
      <c r="AA57" s="20"/>
      <c r="AB57" s="20"/>
      <c r="AC57" s="20"/>
    </row>
    <row r="58" spans="1:29" s="2" customFormat="1" ht="21.95" customHeight="1">
      <c r="A58" s="200">
        <v>300050</v>
      </c>
      <c r="B58" s="197">
        <v>4503</v>
      </c>
      <c r="C58" s="219" t="s">
        <v>77</v>
      </c>
      <c r="D58" s="219" t="s">
        <v>78</v>
      </c>
      <c r="E58" s="204" t="s">
        <v>79</v>
      </c>
      <c r="F58" s="203">
        <v>2082</v>
      </c>
      <c r="G58" s="133">
        <v>9.2899999999999991</v>
      </c>
      <c r="H58" s="133">
        <v>0.2857142857142857</v>
      </c>
      <c r="I58" s="133">
        <f>9+H58</f>
        <v>9.2857142857142865</v>
      </c>
      <c r="J58" s="133"/>
      <c r="K58" s="202">
        <f t="shared" si="0"/>
        <v>3971.4749999999995</v>
      </c>
      <c r="L58" s="202">
        <f t="shared" si="1"/>
        <v>3969.6428571428573</v>
      </c>
      <c r="M58" s="202">
        <v>427.5</v>
      </c>
      <c r="N58" s="202">
        <f>+M58*1000/(45*10*14*60)*T58</f>
        <v>5.6547619047619051</v>
      </c>
      <c r="O58" s="202"/>
      <c r="P58" s="202">
        <f t="shared" si="2"/>
        <v>52.508503401360549</v>
      </c>
      <c r="Q58" s="202">
        <v>11</v>
      </c>
      <c r="R58" s="19">
        <f t="shared" si="3"/>
        <v>44</v>
      </c>
      <c r="S58" s="202">
        <f t="shared" si="4"/>
        <v>-8.5085034013605494</v>
      </c>
      <c r="T58" s="20">
        <v>5</v>
      </c>
      <c r="U58" s="20">
        <v>4</v>
      </c>
      <c r="V58" s="201">
        <f t="array" ref="V58">IF(ISERROR(L58/K58),"",L58/K58)</f>
        <v>0.99953867445794264</v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00">
        <v>300045</v>
      </c>
      <c r="B59" s="197" t="s">
        <v>67</v>
      </c>
      <c r="C59" s="219" t="s">
        <v>77</v>
      </c>
      <c r="D59" s="219" t="s">
        <v>78</v>
      </c>
      <c r="E59" s="204" t="s">
        <v>35</v>
      </c>
      <c r="F59" s="203"/>
      <c r="G59" s="133"/>
      <c r="H59" s="133"/>
      <c r="I59" s="133"/>
      <c r="J59" s="133"/>
      <c r="K59" s="202">
        <f t="shared" si="0"/>
        <v>0</v>
      </c>
      <c r="L59" s="202">
        <f t="shared" si="1"/>
        <v>0</v>
      </c>
      <c r="M59" s="202">
        <v>406.6</v>
      </c>
      <c r="N59" s="202">
        <f>+M59*1000/(45*10*13*60)*T59</f>
        <v>5.7920227920227916</v>
      </c>
      <c r="O59" s="202"/>
      <c r="P59" s="202">
        <f t="shared" si="2"/>
        <v>0</v>
      </c>
      <c r="Q59" s="202"/>
      <c r="R59" s="19">
        <f t="shared" si="3"/>
        <v>0</v>
      </c>
      <c r="S59" s="202">
        <f t="shared" si="4"/>
        <v>0</v>
      </c>
      <c r="T59" s="20">
        <v>5</v>
      </c>
      <c r="U59" s="20"/>
      <c r="V59" s="20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00">
        <v>300422</v>
      </c>
      <c r="B60" s="197" t="s">
        <v>67</v>
      </c>
      <c r="C60" s="230" t="s">
        <v>293</v>
      </c>
      <c r="D60" s="231"/>
      <c r="E60" s="204" t="s">
        <v>54</v>
      </c>
      <c r="F60" s="203"/>
      <c r="G60" s="133"/>
      <c r="H60" s="133"/>
      <c r="I60" s="133"/>
      <c r="J60" s="133"/>
      <c r="K60" s="202">
        <f t="shared" si="0"/>
        <v>0</v>
      </c>
      <c r="L60" s="202">
        <f t="shared" si="1"/>
        <v>0</v>
      </c>
      <c r="M60" s="202">
        <v>429.8</v>
      </c>
      <c r="N60" s="202">
        <f>+M60*1000/(45*10*13*60)*T60</f>
        <v>3.6735042735042738</v>
      </c>
      <c r="O60" s="202"/>
      <c r="P60" s="202">
        <f t="shared" si="2"/>
        <v>0</v>
      </c>
      <c r="Q60" s="202"/>
      <c r="R60" s="19">
        <f t="shared" si="3"/>
        <v>0</v>
      </c>
      <c r="S60" s="202">
        <f t="shared" si="4"/>
        <v>0</v>
      </c>
      <c r="T60" s="20">
        <v>3</v>
      </c>
      <c r="U60" s="20"/>
      <c r="V60" s="201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00">
        <v>300421</v>
      </c>
      <c r="B61" s="197" t="s">
        <v>67</v>
      </c>
      <c r="C61" s="230" t="s">
        <v>293</v>
      </c>
      <c r="D61" s="231"/>
      <c r="E61" s="204" t="s">
        <v>80</v>
      </c>
      <c r="F61" s="203"/>
      <c r="G61" s="133"/>
      <c r="H61" s="133"/>
      <c r="I61" s="133"/>
      <c r="J61" s="133"/>
      <c r="K61" s="202">
        <f t="shared" si="0"/>
        <v>0</v>
      </c>
      <c r="L61" s="202">
        <f t="shared" si="1"/>
        <v>0</v>
      </c>
      <c r="M61" s="202">
        <v>429.8</v>
      </c>
      <c r="N61" s="202">
        <f>+M61*1000/(45*10*13*60)*T61</f>
        <v>3.6735042735042738</v>
      </c>
      <c r="O61" s="202"/>
      <c r="P61" s="202">
        <f t="shared" si="2"/>
        <v>0</v>
      </c>
      <c r="Q61" s="202"/>
      <c r="R61" s="19">
        <f t="shared" si="3"/>
        <v>0</v>
      </c>
      <c r="S61" s="202">
        <f t="shared" si="4"/>
        <v>0</v>
      </c>
      <c r="T61" s="20">
        <v>3</v>
      </c>
      <c r="U61" s="20"/>
      <c r="V61" s="201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00">
        <v>300149</v>
      </c>
      <c r="B62" s="197" t="s">
        <v>67</v>
      </c>
      <c r="C62" s="219" t="s">
        <v>81</v>
      </c>
      <c r="D62" s="219" t="s">
        <v>82</v>
      </c>
      <c r="E62" s="204" t="s">
        <v>80</v>
      </c>
      <c r="F62" s="203"/>
      <c r="G62" s="133"/>
      <c r="H62" s="133"/>
      <c r="I62" s="133"/>
      <c r="J62" s="133"/>
      <c r="K62" s="202">
        <f t="shared" si="0"/>
        <v>0</v>
      </c>
      <c r="L62" s="202">
        <f t="shared" si="1"/>
        <v>0</v>
      </c>
      <c r="M62" s="202">
        <v>589.1</v>
      </c>
      <c r="N62" s="202">
        <f>+M62*1000/(67.1*10*13*60)*T62</f>
        <v>3.3767052619511633</v>
      </c>
      <c r="O62" s="202"/>
      <c r="P62" s="202">
        <f t="shared" si="2"/>
        <v>0</v>
      </c>
      <c r="Q62" s="202"/>
      <c r="R62" s="19">
        <f t="shared" si="3"/>
        <v>0</v>
      </c>
      <c r="S62" s="202">
        <f t="shared" si="4"/>
        <v>0</v>
      </c>
      <c r="T62" s="20">
        <v>3</v>
      </c>
      <c r="U62" s="20"/>
      <c r="V62" s="20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00">
        <v>300150</v>
      </c>
      <c r="B63" s="197" t="s">
        <v>67</v>
      </c>
      <c r="C63" s="219" t="s">
        <v>81</v>
      </c>
      <c r="D63" s="219" t="s">
        <v>82</v>
      </c>
      <c r="E63" s="204" t="s">
        <v>54</v>
      </c>
      <c r="F63" s="203"/>
      <c r="G63" s="133"/>
      <c r="H63" s="133"/>
      <c r="I63" s="133"/>
      <c r="J63" s="133"/>
      <c r="K63" s="202">
        <f t="shared" si="0"/>
        <v>0</v>
      </c>
      <c r="L63" s="202">
        <f t="shared" si="1"/>
        <v>0</v>
      </c>
      <c r="M63" s="202">
        <v>589.1</v>
      </c>
      <c r="N63" s="202">
        <f>+M63*1000/(67.1*10*13*60)*T63</f>
        <v>3.3767052619511633</v>
      </c>
      <c r="O63" s="202"/>
      <c r="P63" s="202">
        <f t="shared" si="2"/>
        <v>0</v>
      </c>
      <c r="Q63" s="202"/>
      <c r="R63" s="19">
        <f t="shared" si="3"/>
        <v>0</v>
      </c>
      <c r="S63" s="202">
        <f t="shared" si="4"/>
        <v>0</v>
      </c>
      <c r="T63" s="20">
        <v>3</v>
      </c>
      <c r="U63" s="20"/>
      <c r="V63" s="20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00">
        <v>300330</v>
      </c>
      <c r="B64" s="197" t="s">
        <v>67</v>
      </c>
      <c r="C64" s="230" t="s">
        <v>83</v>
      </c>
      <c r="D64" s="231"/>
      <c r="E64" s="204" t="s">
        <v>84</v>
      </c>
      <c r="F64" s="203"/>
      <c r="G64" s="133"/>
      <c r="H64" s="133"/>
      <c r="I64" s="133"/>
      <c r="J64" s="133"/>
      <c r="K64" s="202">
        <f t="shared" si="0"/>
        <v>0</v>
      </c>
      <c r="L64" s="202">
        <f t="shared" si="1"/>
        <v>0</v>
      </c>
      <c r="M64" s="202">
        <v>416.3</v>
      </c>
      <c r="N64" s="202">
        <f t="shared" ref="N64:N70" si="6">+M64*1000/(45*10*18*60)*T64</f>
        <v>1.7131687242798355</v>
      </c>
      <c r="O64" s="202"/>
      <c r="P64" s="202">
        <f t="shared" si="2"/>
        <v>0</v>
      </c>
      <c r="Q64" s="202"/>
      <c r="R64" s="19">
        <f t="shared" si="3"/>
        <v>0</v>
      </c>
      <c r="S64" s="202">
        <f t="shared" si="4"/>
        <v>0</v>
      </c>
      <c r="T64" s="20">
        <v>2</v>
      </c>
      <c r="U64" s="20"/>
      <c r="V64" s="20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00">
        <v>300331</v>
      </c>
      <c r="B65" s="197" t="s">
        <v>67</v>
      </c>
      <c r="C65" s="230" t="s">
        <v>83</v>
      </c>
      <c r="D65" s="231"/>
      <c r="E65" s="204" t="s">
        <v>49</v>
      </c>
      <c r="F65" s="203"/>
      <c r="G65" s="133"/>
      <c r="H65" s="133"/>
      <c r="I65" s="133"/>
      <c r="J65" s="133"/>
      <c r="K65" s="202">
        <f t="shared" si="0"/>
        <v>0</v>
      </c>
      <c r="L65" s="202">
        <f t="shared" si="1"/>
        <v>0</v>
      </c>
      <c r="M65" s="202">
        <v>416.3</v>
      </c>
      <c r="N65" s="202">
        <f t="shared" si="6"/>
        <v>1.7131687242798355</v>
      </c>
      <c r="O65" s="202"/>
      <c r="P65" s="202">
        <f t="shared" si="2"/>
        <v>0</v>
      </c>
      <c r="Q65" s="202"/>
      <c r="R65" s="19">
        <f t="shared" si="3"/>
        <v>0</v>
      </c>
      <c r="S65" s="202">
        <f t="shared" si="4"/>
        <v>0</v>
      </c>
      <c r="T65" s="20">
        <v>2</v>
      </c>
      <c r="U65" s="20"/>
      <c r="V65" s="201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00">
        <v>300332</v>
      </c>
      <c r="B66" s="197" t="s">
        <v>67</v>
      </c>
      <c r="C66" s="230" t="s">
        <v>83</v>
      </c>
      <c r="D66" s="231"/>
      <c r="E66" s="204" t="s">
        <v>85</v>
      </c>
      <c r="F66" s="203"/>
      <c r="G66" s="133"/>
      <c r="H66" s="133"/>
      <c r="I66" s="133"/>
      <c r="J66" s="133"/>
      <c r="K66" s="202">
        <f t="shared" si="0"/>
        <v>0</v>
      </c>
      <c r="L66" s="202">
        <f t="shared" si="1"/>
        <v>0</v>
      </c>
      <c r="M66" s="202">
        <v>416.3</v>
      </c>
      <c r="N66" s="202">
        <f t="shared" si="6"/>
        <v>1.7131687242798355</v>
      </c>
      <c r="O66" s="202"/>
      <c r="P66" s="202">
        <f t="shared" si="2"/>
        <v>0</v>
      </c>
      <c r="Q66" s="202"/>
      <c r="R66" s="19">
        <f t="shared" si="3"/>
        <v>0</v>
      </c>
      <c r="S66" s="202">
        <f t="shared" si="4"/>
        <v>0</v>
      </c>
      <c r="T66" s="20">
        <v>2</v>
      </c>
      <c r="U66" s="20"/>
      <c r="V66" s="201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00">
        <v>300333</v>
      </c>
      <c r="B67" s="197" t="s">
        <v>67</v>
      </c>
      <c r="C67" s="230" t="s">
        <v>86</v>
      </c>
      <c r="D67" s="231"/>
      <c r="E67" s="204" t="s">
        <v>84</v>
      </c>
      <c r="F67" s="203"/>
      <c r="G67" s="133"/>
      <c r="H67" s="133"/>
      <c r="I67" s="133"/>
      <c r="J67" s="133"/>
      <c r="K67" s="202">
        <f t="shared" si="0"/>
        <v>0</v>
      </c>
      <c r="L67" s="202">
        <f t="shared" si="1"/>
        <v>0</v>
      </c>
      <c r="M67" s="202">
        <v>416.3</v>
      </c>
      <c r="N67" s="202">
        <f t="shared" si="6"/>
        <v>1.7131687242798355</v>
      </c>
      <c r="O67" s="202"/>
      <c r="P67" s="202">
        <f t="shared" si="2"/>
        <v>0</v>
      </c>
      <c r="Q67" s="202"/>
      <c r="R67" s="19">
        <f t="shared" si="3"/>
        <v>0</v>
      </c>
      <c r="S67" s="202">
        <f t="shared" si="4"/>
        <v>0</v>
      </c>
      <c r="T67" s="20">
        <v>2</v>
      </c>
      <c r="U67" s="20"/>
      <c r="V67" s="201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00">
        <v>300334</v>
      </c>
      <c r="B68" s="197" t="s">
        <v>67</v>
      </c>
      <c r="C68" s="230" t="s">
        <v>86</v>
      </c>
      <c r="D68" s="231"/>
      <c r="E68" s="204" t="s">
        <v>85</v>
      </c>
      <c r="F68" s="203"/>
      <c r="G68" s="133"/>
      <c r="H68" s="133"/>
      <c r="I68" s="133"/>
      <c r="J68" s="133"/>
      <c r="K68" s="202">
        <f t="shared" si="0"/>
        <v>0</v>
      </c>
      <c r="L68" s="202">
        <f t="shared" si="1"/>
        <v>0</v>
      </c>
      <c r="M68" s="202">
        <v>416.3</v>
      </c>
      <c r="N68" s="202">
        <f t="shared" si="6"/>
        <v>1.7131687242798355</v>
      </c>
      <c r="O68" s="202"/>
      <c r="P68" s="202">
        <f t="shared" si="2"/>
        <v>0</v>
      </c>
      <c r="Q68" s="202"/>
      <c r="R68" s="19">
        <f t="shared" si="3"/>
        <v>0</v>
      </c>
      <c r="S68" s="202">
        <f t="shared" si="4"/>
        <v>0</v>
      </c>
      <c r="T68" s="20">
        <v>2</v>
      </c>
      <c r="U68" s="20"/>
      <c r="V68" s="201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00">
        <v>300335</v>
      </c>
      <c r="B69" s="197" t="s">
        <v>67</v>
      </c>
      <c r="C69" s="230" t="s">
        <v>86</v>
      </c>
      <c r="D69" s="231"/>
      <c r="E69" s="204" t="s">
        <v>49</v>
      </c>
      <c r="F69" s="203"/>
      <c r="G69" s="133"/>
      <c r="H69" s="133"/>
      <c r="I69" s="133"/>
      <c r="J69" s="133"/>
      <c r="K69" s="202">
        <f t="shared" si="0"/>
        <v>0</v>
      </c>
      <c r="L69" s="202">
        <f t="shared" si="1"/>
        <v>0</v>
      </c>
      <c r="M69" s="202">
        <v>416.3</v>
      </c>
      <c r="N69" s="202">
        <f t="shared" si="6"/>
        <v>1.7131687242798355</v>
      </c>
      <c r="O69" s="202"/>
      <c r="P69" s="202">
        <f t="shared" si="2"/>
        <v>0</v>
      </c>
      <c r="Q69" s="202"/>
      <c r="R69" s="19">
        <f t="shared" si="3"/>
        <v>0</v>
      </c>
      <c r="S69" s="202">
        <f t="shared" si="4"/>
        <v>0</v>
      </c>
      <c r="T69" s="20">
        <v>2</v>
      </c>
      <c r="U69" s="20"/>
      <c r="V69" s="201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00">
        <v>300291</v>
      </c>
      <c r="B70" s="197" t="s">
        <v>87</v>
      </c>
      <c r="C70" s="219" t="s">
        <v>88</v>
      </c>
      <c r="D70" s="219" t="s">
        <v>89</v>
      </c>
      <c r="E70" s="204" t="s">
        <v>42</v>
      </c>
      <c r="F70" s="203"/>
      <c r="G70" s="133"/>
      <c r="H70" s="133"/>
      <c r="I70" s="133"/>
      <c r="J70" s="133"/>
      <c r="K70" s="202">
        <f t="shared" si="0"/>
        <v>0</v>
      </c>
      <c r="L70" s="202">
        <f t="shared" si="1"/>
        <v>0</v>
      </c>
      <c r="M70" s="202">
        <v>517.79999999999995</v>
      </c>
      <c r="N70" s="202">
        <f t="shared" si="6"/>
        <v>4.261728395061728</v>
      </c>
      <c r="O70" s="202"/>
      <c r="P70" s="202">
        <f t="shared" si="2"/>
        <v>0</v>
      </c>
      <c r="Q70" s="202"/>
      <c r="R70" s="19">
        <f t="shared" si="3"/>
        <v>0</v>
      </c>
      <c r="S70" s="202">
        <f t="shared" si="4"/>
        <v>0</v>
      </c>
      <c r="T70" s="20">
        <v>4</v>
      </c>
      <c r="U70" s="20"/>
      <c r="V70" s="20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00">
        <v>300292</v>
      </c>
      <c r="B71" s="197" t="s">
        <v>87</v>
      </c>
      <c r="C71" s="219" t="s">
        <v>88</v>
      </c>
      <c r="D71" s="219" t="s">
        <v>89</v>
      </c>
      <c r="E71" s="204" t="s">
        <v>41</v>
      </c>
      <c r="F71" s="203"/>
      <c r="G71" s="133"/>
      <c r="H71" s="133"/>
      <c r="I71" s="133"/>
      <c r="J71" s="133"/>
      <c r="K71" s="202">
        <f t="shared" si="0"/>
        <v>0</v>
      </c>
      <c r="L71" s="202">
        <f t="shared" si="1"/>
        <v>0</v>
      </c>
      <c r="M71" s="202">
        <v>517.79999999999995</v>
      </c>
      <c r="N71" s="202">
        <f>+M71*1000/(66.8*1*110*60)*T71</f>
        <v>4.6978769733260748</v>
      </c>
      <c r="O71" s="202"/>
      <c r="P71" s="202">
        <f t="shared" si="2"/>
        <v>0</v>
      </c>
      <c r="Q71" s="202"/>
      <c r="R71" s="19">
        <f t="shared" si="3"/>
        <v>0</v>
      </c>
      <c r="S71" s="202">
        <f t="shared" si="4"/>
        <v>0</v>
      </c>
      <c r="T71" s="20">
        <v>4</v>
      </c>
      <c r="U71" s="20"/>
      <c r="V71" s="20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00">
        <v>300293</v>
      </c>
      <c r="B72" s="197" t="s">
        <v>87</v>
      </c>
      <c r="C72" s="219" t="s">
        <v>88</v>
      </c>
      <c r="D72" s="219" t="s">
        <v>89</v>
      </c>
      <c r="E72" s="204" t="s">
        <v>57</v>
      </c>
      <c r="F72" s="203"/>
      <c r="G72" s="133"/>
      <c r="H72" s="133"/>
      <c r="I72" s="133"/>
      <c r="J72" s="133"/>
      <c r="K72" s="202">
        <f t="shared" si="0"/>
        <v>0</v>
      </c>
      <c r="L72" s="202">
        <f t="shared" si="1"/>
        <v>0</v>
      </c>
      <c r="M72" s="202">
        <v>517.9</v>
      </c>
      <c r="N72" s="202">
        <f>+M72*1000/(67.1*1*110*60)*T72</f>
        <v>4.6777762724111467</v>
      </c>
      <c r="O72" s="202"/>
      <c r="P72" s="202">
        <f t="shared" si="2"/>
        <v>0</v>
      </c>
      <c r="Q72" s="202"/>
      <c r="R72" s="19">
        <f t="shared" si="3"/>
        <v>0</v>
      </c>
      <c r="S72" s="202">
        <f t="shared" si="4"/>
        <v>0</v>
      </c>
      <c r="T72" s="20">
        <v>4</v>
      </c>
      <c r="U72" s="20"/>
      <c r="V72" s="20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00">
        <v>300290</v>
      </c>
      <c r="B73" s="197" t="s">
        <v>87</v>
      </c>
      <c r="C73" s="219" t="s">
        <v>88</v>
      </c>
      <c r="D73" s="219" t="s">
        <v>89</v>
      </c>
      <c r="E73" s="204" t="s">
        <v>35</v>
      </c>
      <c r="F73" s="203"/>
      <c r="G73" s="133"/>
      <c r="H73" s="133"/>
      <c r="I73" s="133"/>
      <c r="J73" s="133"/>
      <c r="K73" s="202">
        <f t="shared" si="0"/>
        <v>0</v>
      </c>
      <c r="L73" s="202">
        <f t="shared" si="1"/>
        <v>0</v>
      </c>
      <c r="M73" s="202">
        <v>520</v>
      </c>
      <c r="N73" s="202">
        <f>+M73*1000/(67.5*1*110*60)*T73</f>
        <v>4.6689113355780023</v>
      </c>
      <c r="O73" s="202"/>
      <c r="P73" s="202">
        <f t="shared" si="2"/>
        <v>0</v>
      </c>
      <c r="Q73" s="202"/>
      <c r="R73" s="19">
        <f t="shared" si="3"/>
        <v>0</v>
      </c>
      <c r="S73" s="202">
        <f t="shared" si="4"/>
        <v>0</v>
      </c>
      <c r="T73" s="20">
        <v>4</v>
      </c>
      <c r="U73" s="20"/>
      <c r="V73" s="20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00">
        <v>300389</v>
      </c>
      <c r="B74" s="197" t="s">
        <v>87</v>
      </c>
      <c r="C74" s="219" t="s">
        <v>308</v>
      </c>
      <c r="D74" s="219" t="s">
        <v>89</v>
      </c>
      <c r="E74" s="204" t="s">
        <v>35</v>
      </c>
      <c r="F74" s="203"/>
      <c r="G74" s="133"/>
      <c r="H74" s="133"/>
      <c r="I74" s="133"/>
      <c r="J74" s="133"/>
      <c r="K74" s="202">
        <f t="shared" si="0"/>
        <v>0</v>
      </c>
      <c r="L74" s="202">
        <f t="shared" si="1"/>
        <v>0</v>
      </c>
      <c r="M74" s="202">
        <v>429.4</v>
      </c>
      <c r="N74" s="202">
        <f>+M74*1000/(47*1*110*60)*T74</f>
        <v>5.5370728562217923</v>
      </c>
      <c r="O74" s="202"/>
      <c r="P74" s="202">
        <f t="shared" si="2"/>
        <v>0</v>
      </c>
      <c r="Q74" s="202"/>
      <c r="R74" s="19">
        <f t="shared" si="3"/>
        <v>0</v>
      </c>
      <c r="S74" s="202">
        <f t="shared" si="4"/>
        <v>0</v>
      </c>
      <c r="T74" s="20">
        <v>4</v>
      </c>
      <c r="U74" s="20"/>
      <c r="V74" s="201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00">
        <v>300058</v>
      </c>
      <c r="B75" s="197" t="s">
        <v>87</v>
      </c>
      <c r="C75" s="219" t="s">
        <v>308</v>
      </c>
      <c r="D75" s="219" t="s">
        <v>89</v>
      </c>
      <c r="E75" s="204" t="s">
        <v>42</v>
      </c>
      <c r="F75" s="203"/>
      <c r="G75" s="133"/>
      <c r="H75" s="133"/>
      <c r="I75" s="133"/>
      <c r="J75" s="133"/>
      <c r="K75" s="202">
        <f t="shared" si="0"/>
        <v>0</v>
      </c>
      <c r="L75" s="202">
        <f t="shared" si="1"/>
        <v>0</v>
      </c>
      <c r="M75" s="202">
        <v>419.2</v>
      </c>
      <c r="N75" s="202">
        <f>+M75*1000/(51.5*1*110*60)*T75</f>
        <v>4.9332156516622536</v>
      </c>
      <c r="O75" s="202"/>
      <c r="P75" s="202">
        <f t="shared" si="2"/>
        <v>0</v>
      </c>
      <c r="Q75" s="202"/>
      <c r="R75" s="19">
        <f t="shared" si="3"/>
        <v>0</v>
      </c>
      <c r="S75" s="202">
        <f t="shared" si="4"/>
        <v>0</v>
      </c>
      <c r="T75" s="20">
        <v>4</v>
      </c>
      <c r="U75" s="20"/>
      <c r="V75" s="20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00">
        <v>300061</v>
      </c>
      <c r="B76" s="197" t="s">
        <v>90</v>
      </c>
      <c r="C76" s="219" t="s">
        <v>309</v>
      </c>
      <c r="D76" s="219" t="s">
        <v>91</v>
      </c>
      <c r="E76" s="204" t="s">
        <v>41</v>
      </c>
      <c r="F76" s="203"/>
      <c r="G76" s="133"/>
      <c r="H76" s="133"/>
      <c r="I76" s="133"/>
      <c r="J76" s="133"/>
      <c r="K76" s="202">
        <f t="shared" si="0"/>
        <v>0</v>
      </c>
      <c r="L76" s="202">
        <f t="shared" si="1"/>
        <v>0</v>
      </c>
      <c r="M76" s="202">
        <v>418.4</v>
      </c>
      <c r="N76" s="202">
        <f>+M76*1000/(51*1*110*60)*T76</f>
        <v>4.9720736779560308</v>
      </c>
      <c r="O76" s="202"/>
      <c r="P76" s="202">
        <f t="shared" si="2"/>
        <v>0</v>
      </c>
      <c r="Q76" s="202"/>
      <c r="R76" s="19">
        <f t="shared" si="3"/>
        <v>0</v>
      </c>
      <c r="S76" s="202">
        <f t="shared" si="4"/>
        <v>0</v>
      </c>
      <c r="T76" s="20">
        <v>4</v>
      </c>
      <c r="U76" s="20"/>
      <c r="V76" s="20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00">
        <v>300064</v>
      </c>
      <c r="B77" s="197">
        <v>5002</v>
      </c>
      <c r="C77" s="219" t="s">
        <v>309</v>
      </c>
      <c r="D77" s="219" t="s">
        <v>91</v>
      </c>
      <c r="E77" s="204" t="s">
        <v>35</v>
      </c>
      <c r="F77" s="203"/>
      <c r="G77" s="133"/>
      <c r="H77" s="133"/>
      <c r="I77" s="133"/>
      <c r="J77" s="133"/>
      <c r="K77" s="202">
        <f t="shared" ref="K77:K153" si="7">G77*M77</f>
        <v>0</v>
      </c>
      <c r="L77" s="202">
        <f t="shared" ref="L77:L153" si="8">I77*M77</f>
        <v>0</v>
      </c>
      <c r="M77" s="202">
        <v>419.2</v>
      </c>
      <c r="N77" s="202">
        <f>+M77*1000/(51.9*1*110*60)*T77</f>
        <v>4.8951947217843168</v>
      </c>
      <c r="O77" s="202"/>
      <c r="P77" s="202">
        <f t="shared" ref="P77:P153" si="9">N77*I77+O77*U77</f>
        <v>0</v>
      </c>
      <c r="Q77" s="202"/>
      <c r="R77" s="19">
        <f t="shared" ref="R77:R153" si="10">Q77*U77</f>
        <v>0</v>
      </c>
      <c r="S77" s="202">
        <f t="shared" ref="S77:S153" si="11">R77-P77</f>
        <v>0</v>
      </c>
      <c r="T77" s="20">
        <v>4</v>
      </c>
      <c r="U77" s="20"/>
      <c r="V77" s="20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customHeight="1">
      <c r="A78" s="200">
        <v>300060</v>
      </c>
      <c r="B78" s="197">
        <v>5001</v>
      </c>
      <c r="C78" s="219" t="s">
        <v>309</v>
      </c>
      <c r="D78" s="219" t="s">
        <v>91</v>
      </c>
      <c r="E78" s="204" t="s">
        <v>57</v>
      </c>
      <c r="F78" s="203">
        <v>2116</v>
      </c>
      <c r="G78" s="133">
        <v>5</v>
      </c>
      <c r="H78" s="133"/>
      <c r="I78" s="133">
        <f>5-J78/400</f>
        <v>4.55</v>
      </c>
      <c r="J78" s="133">
        <v>180</v>
      </c>
      <c r="K78" s="202">
        <f t="shared" si="7"/>
        <v>2084.5</v>
      </c>
      <c r="L78" s="202">
        <f t="shared" si="8"/>
        <v>1896.8949999999998</v>
      </c>
      <c r="M78" s="202">
        <v>416.9</v>
      </c>
      <c r="N78" s="202">
        <f>+M78*1000/(51*1*110*60)*T78</f>
        <v>4.9542483660130721</v>
      </c>
      <c r="O78" s="202">
        <v>0.5</v>
      </c>
      <c r="P78" s="202">
        <f t="shared" si="9"/>
        <v>25.041830065359477</v>
      </c>
      <c r="Q78" s="202">
        <v>5</v>
      </c>
      <c r="R78" s="19">
        <f t="shared" si="10"/>
        <v>25</v>
      </c>
      <c r="S78" s="202">
        <f t="shared" si="11"/>
        <v>-4.1830065359476976E-2</v>
      </c>
      <c r="T78" s="20">
        <v>4</v>
      </c>
      <c r="U78" s="20">
        <v>5</v>
      </c>
      <c r="V78" s="201">
        <f t="array" ref="V78">IF(ISERROR(L78/K78),"",L78/K78)</f>
        <v>0.90999999999999992</v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00">
        <v>300068</v>
      </c>
      <c r="B79" s="197" t="s">
        <v>87</v>
      </c>
      <c r="C79" s="219" t="s">
        <v>92</v>
      </c>
      <c r="D79" s="219" t="s">
        <v>93</v>
      </c>
      <c r="E79" s="204" t="s">
        <v>37</v>
      </c>
      <c r="F79" s="203"/>
      <c r="G79" s="133"/>
      <c r="H79" s="133"/>
      <c r="I79" s="133"/>
      <c r="J79" s="133"/>
      <c r="K79" s="202">
        <f t="shared" si="7"/>
        <v>0</v>
      </c>
      <c r="L79" s="202">
        <f t="shared" si="8"/>
        <v>0</v>
      </c>
      <c r="M79" s="202">
        <v>438.4</v>
      </c>
      <c r="N79" s="202">
        <f>+M79*1000/(50*1*120*60)*T79</f>
        <v>4.8711111111111114</v>
      </c>
      <c r="O79" s="202"/>
      <c r="P79" s="202">
        <f t="shared" si="9"/>
        <v>0</v>
      </c>
      <c r="Q79" s="202"/>
      <c r="R79" s="19">
        <f t="shared" si="10"/>
        <v>0</v>
      </c>
      <c r="S79" s="202">
        <f t="shared" si="11"/>
        <v>0</v>
      </c>
      <c r="T79" s="20">
        <v>4</v>
      </c>
      <c r="U79" s="20"/>
      <c r="V79" s="20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00">
        <v>300065</v>
      </c>
      <c r="B80" s="197" t="s">
        <v>87</v>
      </c>
      <c r="C80" s="219" t="s">
        <v>92</v>
      </c>
      <c r="D80" s="219" t="s">
        <v>93</v>
      </c>
      <c r="E80" s="204" t="s">
        <v>35</v>
      </c>
      <c r="F80" s="203"/>
      <c r="G80" s="133"/>
      <c r="H80" s="133"/>
      <c r="I80" s="133"/>
      <c r="J80" s="133"/>
      <c r="K80" s="202">
        <f t="shared" si="7"/>
        <v>0</v>
      </c>
      <c r="L80" s="202">
        <f t="shared" si="8"/>
        <v>0</v>
      </c>
      <c r="M80" s="202">
        <v>438.8</v>
      </c>
      <c r="N80" s="202">
        <f>+M80*1000/(50*1*120*60)*T80</f>
        <v>4.8755555555555556</v>
      </c>
      <c r="O80" s="202"/>
      <c r="P80" s="202">
        <f t="shared" si="9"/>
        <v>0</v>
      </c>
      <c r="Q80" s="202"/>
      <c r="R80" s="19">
        <f t="shared" si="10"/>
        <v>0</v>
      </c>
      <c r="S80" s="202">
        <f t="shared" si="11"/>
        <v>0</v>
      </c>
      <c r="T80" s="20">
        <v>4</v>
      </c>
      <c r="U80" s="200"/>
      <c r="V80" s="20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00">
        <v>300066</v>
      </c>
      <c r="B81" s="197" t="s">
        <v>87</v>
      </c>
      <c r="C81" s="219" t="s">
        <v>92</v>
      </c>
      <c r="D81" s="219" t="s">
        <v>93</v>
      </c>
      <c r="E81" s="204" t="s">
        <v>66</v>
      </c>
      <c r="F81" s="203"/>
      <c r="G81" s="133"/>
      <c r="H81" s="133"/>
      <c r="I81" s="133"/>
      <c r="J81" s="133"/>
      <c r="K81" s="202">
        <f t="shared" si="7"/>
        <v>0</v>
      </c>
      <c r="L81" s="202">
        <f t="shared" si="8"/>
        <v>0</v>
      </c>
      <c r="M81" s="202">
        <v>438.4</v>
      </c>
      <c r="N81" s="202">
        <f>+M81*1000/(50*1*120*60)*T81</f>
        <v>4.8711111111111114</v>
      </c>
      <c r="O81" s="202"/>
      <c r="P81" s="202">
        <f t="shared" si="9"/>
        <v>0</v>
      </c>
      <c r="Q81" s="202"/>
      <c r="R81" s="19">
        <f t="shared" si="10"/>
        <v>0</v>
      </c>
      <c r="S81" s="202">
        <f t="shared" si="11"/>
        <v>0</v>
      </c>
      <c r="T81" s="20">
        <v>4</v>
      </c>
      <c r="U81" s="200"/>
      <c r="V81" s="201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00">
        <v>300067</v>
      </c>
      <c r="B82" s="197" t="s">
        <v>87</v>
      </c>
      <c r="C82" s="219" t="s">
        <v>92</v>
      </c>
      <c r="D82" s="219" t="s">
        <v>93</v>
      </c>
      <c r="E82" s="204" t="s">
        <v>41</v>
      </c>
      <c r="F82" s="203"/>
      <c r="G82" s="133"/>
      <c r="H82" s="133"/>
      <c r="I82" s="133"/>
      <c r="J82" s="133"/>
      <c r="K82" s="202">
        <f t="shared" si="7"/>
        <v>0</v>
      </c>
      <c r="L82" s="202">
        <f t="shared" si="8"/>
        <v>0</v>
      </c>
      <c r="M82" s="202">
        <v>438.8</v>
      </c>
      <c r="N82" s="202">
        <f>+M82*1000/(50*1*120*60)*T82</f>
        <v>4.8755555555555556</v>
      </c>
      <c r="O82" s="202"/>
      <c r="P82" s="202">
        <f t="shared" si="9"/>
        <v>0</v>
      </c>
      <c r="Q82" s="202"/>
      <c r="R82" s="19">
        <f t="shared" si="10"/>
        <v>0</v>
      </c>
      <c r="S82" s="202">
        <f t="shared" si="11"/>
        <v>0</v>
      </c>
      <c r="T82" s="20">
        <v>4</v>
      </c>
      <c r="U82" s="20"/>
      <c r="V82" s="20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00">
        <v>300437</v>
      </c>
      <c r="B83" s="197" t="s">
        <v>87</v>
      </c>
      <c r="C83" s="219" t="s">
        <v>92</v>
      </c>
      <c r="D83" s="219" t="s">
        <v>93</v>
      </c>
      <c r="E83" s="204" t="s">
        <v>302</v>
      </c>
      <c r="F83" s="203"/>
      <c r="G83" s="133"/>
      <c r="H83" s="133"/>
      <c r="I83" s="133"/>
      <c r="J83" s="133"/>
      <c r="K83" s="202">
        <f t="shared" si="7"/>
        <v>0</v>
      </c>
      <c r="L83" s="202">
        <f t="shared" si="8"/>
        <v>0</v>
      </c>
      <c r="M83" s="202">
        <v>438.8</v>
      </c>
      <c r="N83" s="202">
        <f>+M83*1000/(50*1*120*60)*T83</f>
        <v>4.8755555555555556</v>
      </c>
      <c r="O83" s="202"/>
      <c r="P83" s="202">
        <f t="shared" si="9"/>
        <v>0</v>
      </c>
      <c r="Q83" s="202"/>
      <c r="R83" s="19">
        <f t="shared" si="10"/>
        <v>0</v>
      </c>
      <c r="S83" s="202">
        <f t="shared" si="11"/>
        <v>0</v>
      </c>
      <c r="T83" s="20">
        <v>4</v>
      </c>
      <c r="U83" s="20"/>
      <c r="V83" s="201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00">
        <v>300384</v>
      </c>
      <c r="B84" s="197" t="s">
        <v>87</v>
      </c>
      <c r="C84" s="219" t="s">
        <v>94</v>
      </c>
      <c r="D84" s="219" t="s">
        <v>95</v>
      </c>
      <c r="E84" s="204" t="s">
        <v>35</v>
      </c>
      <c r="F84" s="203"/>
      <c r="G84" s="133"/>
      <c r="H84" s="133"/>
      <c r="I84" s="133"/>
      <c r="J84" s="133"/>
      <c r="K84" s="202">
        <f t="shared" si="7"/>
        <v>0</v>
      </c>
      <c r="L84" s="202">
        <f t="shared" si="8"/>
        <v>0</v>
      </c>
      <c r="M84" s="202">
        <v>415.5</v>
      </c>
      <c r="N84" s="202">
        <f>+M84*1000/(51*1*110*60)*T84</f>
        <v>8.6408199643493759</v>
      </c>
      <c r="O84" s="202"/>
      <c r="P84" s="202">
        <f t="shared" si="9"/>
        <v>0</v>
      </c>
      <c r="Q84" s="202"/>
      <c r="R84" s="19">
        <f t="shared" si="10"/>
        <v>0</v>
      </c>
      <c r="S84" s="202">
        <f t="shared" si="11"/>
        <v>0</v>
      </c>
      <c r="T84" s="20">
        <v>7</v>
      </c>
      <c r="U84" s="20"/>
      <c r="V84" s="20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00">
        <v>300383</v>
      </c>
      <c r="B85" s="197" t="s">
        <v>87</v>
      </c>
      <c r="C85" s="219" t="s">
        <v>94</v>
      </c>
      <c r="D85" s="219" t="s">
        <v>96</v>
      </c>
      <c r="E85" s="204" t="s">
        <v>41</v>
      </c>
      <c r="F85" s="203"/>
      <c r="G85" s="133"/>
      <c r="H85" s="133"/>
      <c r="I85" s="133"/>
      <c r="J85" s="133"/>
      <c r="K85" s="202">
        <f t="shared" si="7"/>
        <v>0</v>
      </c>
      <c r="L85" s="202">
        <f t="shared" si="8"/>
        <v>0</v>
      </c>
      <c r="M85" s="202">
        <v>415.5</v>
      </c>
      <c r="N85" s="202">
        <f>+M85*1000/(51*1*110*60)*T85</f>
        <v>8.6408199643493759</v>
      </c>
      <c r="O85" s="202"/>
      <c r="P85" s="202">
        <f t="shared" si="9"/>
        <v>0</v>
      </c>
      <c r="Q85" s="202"/>
      <c r="R85" s="19">
        <f t="shared" si="10"/>
        <v>0</v>
      </c>
      <c r="S85" s="202">
        <f t="shared" si="11"/>
        <v>0</v>
      </c>
      <c r="T85" s="20">
        <v>7</v>
      </c>
      <c r="U85" s="20"/>
      <c r="V85" s="201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00">
        <v>300386</v>
      </c>
      <c r="B86" s="197" t="s">
        <v>87</v>
      </c>
      <c r="C86" s="219" t="s">
        <v>94</v>
      </c>
      <c r="D86" s="219" t="s">
        <v>97</v>
      </c>
      <c r="E86" s="204" t="s">
        <v>66</v>
      </c>
      <c r="F86" s="203"/>
      <c r="G86" s="133"/>
      <c r="H86" s="133"/>
      <c r="I86" s="133"/>
      <c r="J86" s="133"/>
      <c r="K86" s="202">
        <f t="shared" si="7"/>
        <v>0</v>
      </c>
      <c r="L86" s="202">
        <f t="shared" si="8"/>
        <v>0</v>
      </c>
      <c r="M86" s="202">
        <v>415.5</v>
      </c>
      <c r="N86" s="202">
        <f>+M86*1000/(51*1*110*60)*T86</f>
        <v>8.6408199643493759</v>
      </c>
      <c r="O86" s="202"/>
      <c r="P86" s="202">
        <f t="shared" si="9"/>
        <v>0</v>
      </c>
      <c r="Q86" s="202"/>
      <c r="R86" s="19">
        <f t="shared" si="10"/>
        <v>0</v>
      </c>
      <c r="S86" s="202">
        <f t="shared" si="11"/>
        <v>0</v>
      </c>
      <c r="T86" s="20">
        <v>7</v>
      </c>
      <c r="U86" s="20"/>
      <c r="V86" s="201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00">
        <v>300385</v>
      </c>
      <c r="B87" s="197" t="s">
        <v>87</v>
      </c>
      <c r="C87" s="219" t="s">
        <v>94</v>
      </c>
      <c r="D87" s="219" t="s">
        <v>98</v>
      </c>
      <c r="E87" s="204" t="s">
        <v>99</v>
      </c>
      <c r="F87" s="203"/>
      <c r="G87" s="133"/>
      <c r="H87" s="133"/>
      <c r="I87" s="133"/>
      <c r="J87" s="133"/>
      <c r="K87" s="202">
        <f t="shared" si="7"/>
        <v>0</v>
      </c>
      <c r="L87" s="202">
        <f t="shared" si="8"/>
        <v>0</v>
      </c>
      <c r="M87" s="202">
        <v>415.5</v>
      </c>
      <c r="N87" s="202">
        <f>+M87*1000/(51*1*110*60)*T87</f>
        <v>8.6408199643493759</v>
      </c>
      <c r="O87" s="202"/>
      <c r="P87" s="202">
        <f t="shared" si="9"/>
        <v>0</v>
      </c>
      <c r="Q87" s="202"/>
      <c r="R87" s="19">
        <f t="shared" si="10"/>
        <v>0</v>
      </c>
      <c r="S87" s="202">
        <f t="shared" si="11"/>
        <v>0</v>
      </c>
      <c r="T87" s="20">
        <v>7</v>
      </c>
      <c r="U87" s="20"/>
      <c r="V87" s="201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00">
        <v>300352</v>
      </c>
      <c r="B88" s="197" t="s">
        <v>87</v>
      </c>
      <c r="C88" s="219" t="s">
        <v>100</v>
      </c>
      <c r="D88" s="219" t="s">
        <v>95</v>
      </c>
      <c r="E88" s="204" t="s">
        <v>35</v>
      </c>
      <c r="F88" s="203"/>
      <c r="G88" s="133"/>
      <c r="H88" s="133"/>
      <c r="I88" s="133"/>
      <c r="J88" s="133"/>
      <c r="K88" s="202">
        <f t="shared" si="7"/>
        <v>0</v>
      </c>
      <c r="L88" s="202">
        <f t="shared" si="8"/>
        <v>0</v>
      </c>
      <c r="M88" s="202">
        <v>515.9</v>
      </c>
      <c r="N88" s="202">
        <f>+M88*1000/(80*1*110*60)*T88</f>
        <v>6.8395833333333336</v>
      </c>
      <c r="O88" s="202"/>
      <c r="P88" s="202">
        <f t="shared" si="9"/>
        <v>0</v>
      </c>
      <c r="Q88" s="202"/>
      <c r="R88" s="19">
        <f t="shared" si="10"/>
        <v>0</v>
      </c>
      <c r="S88" s="202">
        <f t="shared" si="11"/>
        <v>0</v>
      </c>
      <c r="T88" s="20">
        <v>7</v>
      </c>
      <c r="U88" s="20"/>
      <c r="V88" s="20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00">
        <v>300353</v>
      </c>
      <c r="B89" s="197" t="s">
        <v>87</v>
      </c>
      <c r="C89" s="219" t="s">
        <v>100</v>
      </c>
      <c r="D89" s="219" t="s">
        <v>95</v>
      </c>
      <c r="E89" s="204" t="s">
        <v>99</v>
      </c>
      <c r="F89" s="203"/>
      <c r="G89" s="133"/>
      <c r="H89" s="133"/>
      <c r="I89" s="133"/>
      <c r="J89" s="133"/>
      <c r="K89" s="202">
        <f t="shared" si="7"/>
        <v>0</v>
      </c>
      <c r="L89" s="202">
        <f t="shared" si="8"/>
        <v>0</v>
      </c>
      <c r="M89" s="202">
        <v>515.9</v>
      </c>
      <c r="N89" s="202">
        <f>+M89*1000/(80*1*110*60)*T89</f>
        <v>6.8395833333333336</v>
      </c>
      <c r="O89" s="202"/>
      <c r="P89" s="202">
        <f t="shared" si="9"/>
        <v>0</v>
      </c>
      <c r="Q89" s="202"/>
      <c r="R89" s="19">
        <f t="shared" si="10"/>
        <v>0</v>
      </c>
      <c r="S89" s="202">
        <f t="shared" si="11"/>
        <v>0</v>
      </c>
      <c r="T89" s="20">
        <v>7</v>
      </c>
      <c r="U89" s="20"/>
      <c r="V89" s="20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00">
        <v>300351</v>
      </c>
      <c r="B90" s="197" t="s">
        <v>87</v>
      </c>
      <c r="C90" s="219" t="s">
        <v>100</v>
      </c>
      <c r="D90" s="219" t="s">
        <v>95</v>
      </c>
      <c r="E90" s="204" t="s">
        <v>41</v>
      </c>
      <c r="F90" s="203"/>
      <c r="G90" s="133"/>
      <c r="H90" s="133"/>
      <c r="I90" s="133"/>
      <c r="J90" s="133"/>
      <c r="K90" s="202">
        <f t="shared" si="7"/>
        <v>0</v>
      </c>
      <c r="L90" s="202">
        <f t="shared" si="8"/>
        <v>0</v>
      </c>
      <c r="M90" s="202">
        <v>515.9</v>
      </c>
      <c r="N90" s="202">
        <f>+M90*1000/(80*1*110*60)*T90</f>
        <v>6.8395833333333336</v>
      </c>
      <c r="O90" s="202"/>
      <c r="P90" s="202">
        <f t="shared" si="9"/>
        <v>0</v>
      </c>
      <c r="Q90" s="202"/>
      <c r="R90" s="19">
        <f t="shared" si="10"/>
        <v>0</v>
      </c>
      <c r="S90" s="202">
        <f t="shared" si="11"/>
        <v>0</v>
      </c>
      <c r="T90" s="20">
        <v>7</v>
      </c>
      <c r="U90" s="20"/>
      <c r="V90" s="20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00">
        <v>300354</v>
      </c>
      <c r="B91" s="197" t="s">
        <v>87</v>
      </c>
      <c r="C91" s="219" t="s">
        <v>100</v>
      </c>
      <c r="D91" s="219" t="s">
        <v>95</v>
      </c>
      <c r="E91" s="204" t="s">
        <v>66</v>
      </c>
      <c r="F91" s="203"/>
      <c r="G91" s="133"/>
      <c r="H91" s="133"/>
      <c r="I91" s="133"/>
      <c r="J91" s="133"/>
      <c r="K91" s="202">
        <f t="shared" si="7"/>
        <v>0</v>
      </c>
      <c r="L91" s="202">
        <f t="shared" si="8"/>
        <v>0</v>
      </c>
      <c r="M91" s="202">
        <v>515.9</v>
      </c>
      <c r="N91" s="202">
        <f>+M91*1000/(80*1*110*60)*T91</f>
        <v>6.8395833333333336</v>
      </c>
      <c r="O91" s="202"/>
      <c r="P91" s="202">
        <f t="shared" si="9"/>
        <v>0</v>
      </c>
      <c r="Q91" s="202"/>
      <c r="R91" s="19">
        <f t="shared" si="10"/>
        <v>0</v>
      </c>
      <c r="S91" s="202">
        <f t="shared" si="11"/>
        <v>0</v>
      </c>
      <c r="T91" s="20">
        <v>7</v>
      </c>
      <c r="U91" s="20"/>
      <c r="V91" s="20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00">
        <v>300250</v>
      </c>
      <c r="B92" s="197" t="s">
        <v>87</v>
      </c>
      <c r="C92" s="219" t="s">
        <v>101</v>
      </c>
      <c r="D92" s="219" t="s">
        <v>95</v>
      </c>
      <c r="E92" s="204" t="s">
        <v>35</v>
      </c>
      <c r="F92" s="203"/>
      <c r="G92" s="133"/>
      <c r="H92" s="133"/>
      <c r="I92" s="133"/>
      <c r="J92" s="133"/>
      <c r="K92" s="202">
        <f t="shared" si="7"/>
        <v>0</v>
      </c>
      <c r="L92" s="202">
        <f t="shared" si="8"/>
        <v>0</v>
      </c>
      <c r="M92" s="202">
        <v>412.5</v>
      </c>
      <c r="N92" s="202">
        <f>+M92*1000/(84*1*110*60)*T92</f>
        <v>5.2083333333333339</v>
      </c>
      <c r="O92" s="202"/>
      <c r="P92" s="202">
        <f t="shared" si="9"/>
        <v>0</v>
      </c>
      <c r="Q92" s="202"/>
      <c r="R92" s="19">
        <f t="shared" si="10"/>
        <v>0</v>
      </c>
      <c r="S92" s="202">
        <f t="shared" si="11"/>
        <v>0</v>
      </c>
      <c r="T92" s="20">
        <v>7</v>
      </c>
      <c r="U92" s="20"/>
      <c r="V92" s="20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00">
        <v>300251</v>
      </c>
      <c r="B93" s="197" t="s">
        <v>87</v>
      </c>
      <c r="C93" s="219" t="s">
        <v>101</v>
      </c>
      <c r="D93" s="219" t="s">
        <v>95</v>
      </c>
      <c r="E93" s="204" t="s">
        <v>99</v>
      </c>
      <c r="F93" s="203"/>
      <c r="G93" s="133"/>
      <c r="H93" s="133"/>
      <c r="I93" s="133"/>
      <c r="J93" s="133"/>
      <c r="K93" s="202">
        <f t="shared" si="7"/>
        <v>0</v>
      </c>
      <c r="L93" s="202">
        <f t="shared" si="8"/>
        <v>0</v>
      </c>
      <c r="M93" s="202">
        <v>412.5</v>
      </c>
      <c r="N93" s="202">
        <f>+M93*1000/(84*1*110*60)*T93</f>
        <v>5.2083333333333339</v>
      </c>
      <c r="O93" s="202"/>
      <c r="P93" s="202">
        <f t="shared" si="9"/>
        <v>0</v>
      </c>
      <c r="Q93" s="202"/>
      <c r="R93" s="19">
        <f t="shared" si="10"/>
        <v>0</v>
      </c>
      <c r="S93" s="202">
        <f t="shared" si="11"/>
        <v>0</v>
      </c>
      <c r="T93" s="20">
        <v>7</v>
      </c>
      <c r="U93" s="20"/>
      <c r="V93" s="20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00">
        <v>300254</v>
      </c>
      <c r="B94" s="197" t="s">
        <v>87</v>
      </c>
      <c r="C94" s="219" t="s">
        <v>101</v>
      </c>
      <c r="D94" s="219" t="s">
        <v>95</v>
      </c>
      <c r="E94" s="204" t="s">
        <v>41</v>
      </c>
      <c r="F94" s="203"/>
      <c r="G94" s="133"/>
      <c r="H94" s="133"/>
      <c r="I94" s="133"/>
      <c r="J94" s="133"/>
      <c r="K94" s="202">
        <f t="shared" si="7"/>
        <v>0</v>
      </c>
      <c r="L94" s="202">
        <f t="shared" si="8"/>
        <v>0</v>
      </c>
      <c r="M94" s="202">
        <v>412.5</v>
      </c>
      <c r="N94" s="202">
        <f>+M94*1000/(84*1*110*60)*T94</f>
        <v>5.2083333333333339</v>
      </c>
      <c r="O94" s="202"/>
      <c r="P94" s="202">
        <f t="shared" si="9"/>
        <v>0</v>
      </c>
      <c r="Q94" s="202"/>
      <c r="R94" s="19">
        <f t="shared" si="10"/>
        <v>0</v>
      </c>
      <c r="S94" s="202">
        <f t="shared" si="11"/>
        <v>0</v>
      </c>
      <c r="T94" s="20">
        <v>7</v>
      </c>
      <c r="U94" s="20"/>
      <c r="V94" s="20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00">
        <v>300253</v>
      </c>
      <c r="B95" s="197" t="s">
        <v>87</v>
      </c>
      <c r="C95" s="219" t="s">
        <v>101</v>
      </c>
      <c r="D95" s="219" t="s">
        <v>95</v>
      </c>
      <c r="E95" s="204" t="s">
        <v>66</v>
      </c>
      <c r="F95" s="203"/>
      <c r="G95" s="133"/>
      <c r="H95" s="133"/>
      <c r="I95" s="133"/>
      <c r="J95" s="133"/>
      <c r="K95" s="202">
        <f t="shared" si="7"/>
        <v>0</v>
      </c>
      <c r="L95" s="202">
        <f t="shared" si="8"/>
        <v>0</v>
      </c>
      <c r="M95" s="202">
        <v>412.5</v>
      </c>
      <c r="N95" s="202">
        <f>+M95*1000/(84*1*110*60)*T95</f>
        <v>5.2083333333333339</v>
      </c>
      <c r="O95" s="202"/>
      <c r="P95" s="202">
        <f t="shared" si="9"/>
        <v>0</v>
      </c>
      <c r="Q95" s="202"/>
      <c r="R95" s="19">
        <f t="shared" si="10"/>
        <v>0</v>
      </c>
      <c r="S95" s="202">
        <f t="shared" si="11"/>
        <v>0</v>
      </c>
      <c r="T95" s="20">
        <v>7</v>
      </c>
      <c r="U95" s="20"/>
      <c r="V95" s="20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00">
        <v>300255</v>
      </c>
      <c r="B96" s="197" t="s">
        <v>87</v>
      </c>
      <c r="C96" s="219" t="s">
        <v>101</v>
      </c>
      <c r="D96" s="219" t="s">
        <v>95</v>
      </c>
      <c r="E96" s="204" t="s">
        <v>102</v>
      </c>
      <c r="F96" s="203"/>
      <c r="G96" s="133"/>
      <c r="H96" s="133"/>
      <c r="I96" s="133"/>
      <c r="J96" s="133"/>
      <c r="K96" s="202">
        <f t="shared" si="7"/>
        <v>0</v>
      </c>
      <c r="L96" s="202">
        <f t="shared" si="8"/>
        <v>0</v>
      </c>
      <c r="M96" s="202">
        <v>412.5</v>
      </c>
      <c r="N96" s="202">
        <f>+M96*1000/(84*1*110*60)*T96</f>
        <v>5.2083333333333339</v>
      </c>
      <c r="O96" s="202"/>
      <c r="P96" s="202">
        <f t="shared" si="9"/>
        <v>0</v>
      </c>
      <c r="Q96" s="202"/>
      <c r="R96" s="19">
        <f t="shared" si="10"/>
        <v>0</v>
      </c>
      <c r="S96" s="202">
        <f t="shared" si="11"/>
        <v>0</v>
      </c>
      <c r="T96" s="20">
        <v>7</v>
      </c>
      <c r="U96" s="20"/>
      <c r="V96" s="20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00">
        <v>300392</v>
      </c>
      <c r="B97" s="197">
        <v>5001</v>
      </c>
      <c r="C97" s="230" t="s">
        <v>103</v>
      </c>
      <c r="D97" s="231"/>
      <c r="E97" s="204" t="s">
        <v>99</v>
      </c>
      <c r="F97" s="200"/>
      <c r="G97" s="133"/>
      <c r="H97" s="133"/>
      <c r="I97" s="133"/>
      <c r="J97" s="133"/>
      <c r="K97" s="202">
        <f t="shared" si="7"/>
        <v>0</v>
      </c>
      <c r="L97" s="202">
        <f t="shared" si="8"/>
        <v>0</v>
      </c>
      <c r="M97" s="202">
        <v>523</v>
      </c>
      <c r="N97" s="202">
        <f>+M97*1000/(98*1*80*60)*T97</f>
        <v>7.7827380952380958</v>
      </c>
      <c r="O97" s="202"/>
      <c r="P97" s="202">
        <f t="shared" si="9"/>
        <v>0</v>
      </c>
      <c r="Q97" s="202"/>
      <c r="R97" s="19">
        <f t="shared" si="10"/>
        <v>0</v>
      </c>
      <c r="S97" s="202">
        <f t="shared" si="11"/>
        <v>0</v>
      </c>
      <c r="T97" s="20">
        <v>7</v>
      </c>
      <c r="U97" s="20"/>
      <c r="V97" s="201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200">
        <v>300088</v>
      </c>
      <c r="B98" s="197" t="s">
        <v>87</v>
      </c>
      <c r="C98" s="219" t="s">
        <v>310</v>
      </c>
      <c r="D98" s="219" t="s">
        <v>91</v>
      </c>
      <c r="E98" s="204" t="s">
        <v>39</v>
      </c>
      <c r="F98" s="203"/>
      <c r="G98" s="133"/>
      <c r="H98" s="133"/>
      <c r="I98" s="133"/>
      <c r="J98" s="133"/>
      <c r="K98" s="202">
        <f t="shared" si="7"/>
        <v>0</v>
      </c>
      <c r="L98" s="202">
        <f t="shared" si="8"/>
        <v>0</v>
      </c>
      <c r="M98" s="202">
        <v>617.79999999999995</v>
      </c>
      <c r="N98" s="202">
        <f>+M98*1000/(123*1*80*60)*T98</f>
        <v>3.1392276422764223</v>
      </c>
      <c r="O98" s="202"/>
      <c r="P98" s="202">
        <f t="shared" si="9"/>
        <v>0</v>
      </c>
      <c r="Q98" s="202"/>
      <c r="R98" s="19">
        <f t="shared" si="10"/>
        <v>0</v>
      </c>
      <c r="S98" s="202">
        <f t="shared" si="11"/>
        <v>0</v>
      </c>
      <c r="T98" s="20">
        <v>3</v>
      </c>
      <c r="U98" s="20"/>
      <c r="V98" s="20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200">
        <v>300089</v>
      </c>
      <c r="B99" s="197" t="s">
        <v>87</v>
      </c>
      <c r="C99" s="219" t="s">
        <v>310</v>
      </c>
      <c r="D99" s="219" t="s">
        <v>91</v>
      </c>
      <c r="E99" s="204" t="s">
        <v>42</v>
      </c>
      <c r="F99" s="203"/>
      <c r="G99" s="133"/>
      <c r="H99" s="133"/>
      <c r="I99" s="133"/>
      <c r="J99" s="133"/>
      <c r="K99" s="202">
        <f t="shared" si="7"/>
        <v>0</v>
      </c>
      <c r="L99" s="202">
        <f t="shared" si="8"/>
        <v>0</v>
      </c>
      <c r="M99" s="202">
        <v>618.6</v>
      </c>
      <c r="N99" s="202">
        <f>+M99*1000/(124*1*80*60)*T99</f>
        <v>3.117943548387097</v>
      </c>
      <c r="O99" s="202"/>
      <c r="P99" s="202">
        <f t="shared" si="9"/>
        <v>0</v>
      </c>
      <c r="Q99" s="202"/>
      <c r="R99" s="19">
        <f t="shared" si="10"/>
        <v>0</v>
      </c>
      <c r="S99" s="202">
        <f t="shared" si="11"/>
        <v>0</v>
      </c>
      <c r="T99" s="20">
        <v>3</v>
      </c>
      <c r="U99" s="20"/>
      <c r="V99" s="20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200">
        <v>300128</v>
      </c>
      <c r="B100" s="197" t="s">
        <v>87</v>
      </c>
      <c r="C100" s="219" t="s">
        <v>104</v>
      </c>
      <c r="D100" s="219" t="s">
        <v>105</v>
      </c>
      <c r="E100" s="204" t="s">
        <v>35</v>
      </c>
      <c r="F100" s="203"/>
      <c r="G100" s="133"/>
      <c r="H100" s="133"/>
      <c r="I100" s="133"/>
      <c r="J100" s="133"/>
      <c r="K100" s="202">
        <f t="shared" si="7"/>
        <v>0</v>
      </c>
      <c r="L100" s="202">
        <f t="shared" si="8"/>
        <v>0</v>
      </c>
      <c r="M100" s="202">
        <v>621.29999999999995</v>
      </c>
      <c r="N100" s="202">
        <f t="shared" ref="N100:N105" si="12">+M100*1000/(130.5*1*80*60)*T100</f>
        <v>3.9674329501915708</v>
      </c>
      <c r="O100" s="202"/>
      <c r="P100" s="202">
        <f t="shared" si="9"/>
        <v>0</v>
      </c>
      <c r="Q100" s="202"/>
      <c r="R100" s="19">
        <f t="shared" si="10"/>
        <v>0</v>
      </c>
      <c r="S100" s="202">
        <f t="shared" si="11"/>
        <v>0</v>
      </c>
      <c r="T100" s="20">
        <v>4</v>
      </c>
      <c r="U100" s="20"/>
      <c r="V100" s="20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200">
        <v>300129</v>
      </c>
      <c r="B101" s="197" t="s">
        <v>87</v>
      </c>
      <c r="C101" s="219" t="s">
        <v>104</v>
      </c>
      <c r="D101" s="219" t="s">
        <v>105</v>
      </c>
      <c r="E101" s="204" t="s">
        <v>41</v>
      </c>
      <c r="F101" s="203"/>
      <c r="G101" s="133"/>
      <c r="H101" s="133"/>
      <c r="I101" s="133"/>
      <c r="J101" s="133"/>
      <c r="K101" s="202">
        <f t="shared" si="7"/>
        <v>0</v>
      </c>
      <c r="L101" s="202">
        <f t="shared" si="8"/>
        <v>0</v>
      </c>
      <c r="M101" s="202">
        <v>621.29999999999995</v>
      </c>
      <c r="N101" s="202">
        <f t="shared" si="12"/>
        <v>3.9674329501915708</v>
      </c>
      <c r="O101" s="202"/>
      <c r="P101" s="202">
        <f t="shared" si="9"/>
        <v>0</v>
      </c>
      <c r="Q101" s="202"/>
      <c r="R101" s="19">
        <f t="shared" si="10"/>
        <v>0</v>
      </c>
      <c r="S101" s="202">
        <f t="shared" si="11"/>
        <v>0</v>
      </c>
      <c r="T101" s="20">
        <v>4</v>
      </c>
      <c r="U101" s="20"/>
      <c r="V101" s="20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200">
        <v>300130</v>
      </c>
      <c r="B102" s="197" t="s">
        <v>87</v>
      </c>
      <c r="C102" s="219" t="s">
        <v>104</v>
      </c>
      <c r="D102" s="219" t="s">
        <v>105</v>
      </c>
      <c r="E102" s="204" t="s">
        <v>37</v>
      </c>
      <c r="F102" s="203"/>
      <c r="G102" s="133"/>
      <c r="H102" s="133"/>
      <c r="I102" s="133"/>
      <c r="J102" s="133"/>
      <c r="K102" s="202">
        <f t="shared" si="7"/>
        <v>0</v>
      </c>
      <c r="L102" s="202">
        <f t="shared" si="8"/>
        <v>0</v>
      </c>
      <c r="M102" s="202">
        <v>621.29999999999995</v>
      </c>
      <c r="N102" s="202">
        <f t="shared" si="12"/>
        <v>3.9674329501915708</v>
      </c>
      <c r="O102" s="202"/>
      <c r="P102" s="202">
        <f t="shared" si="9"/>
        <v>0</v>
      </c>
      <c r="Q102" s="202"/>
      <c r="R102" s="19">
        <f t="shared" si="10"/>
        <v>0</v>
      </c>
      <c r="S102" s="202">
        <f t="shared" si="11"/>
        <v>0</v>
      </c>
      <c r="T102" s="20">
        <v>4</v>
      </c>
      <c r="U102" s="20"/>
      <c r="V102" s="20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200">
        <v>300423</v>
      </c>
      <c r="B103" s="197" t="s">
        <v>292</v>
      </c>
      <c r="C103" s="230" t="s">
        <v>288</v>
      </c>
      <c r="D103" s="231"/>
      <c r="E103" s="204" t="s">
        <v>289</v>
      </c>
      <c r="F103" s="203"/>
      <c r="G103" s="133"/>
      <c r="H103" s="133"/>
      <c r="I103" s="133"/>
      <c r="J103" s="133"/>
      <c r="K103" s="202">
        <f t="shared" si="7"/>
        <v>0</v>
      </c>
      <c r="L103" s="202">
        <f t="shared" si="8"/>
        <v>0</v>
      </c>
      <c r="M103" s="202">
        <v>524.1</v>
      </c>
      <c r="N103" s="202">
        <f t="shared" si="12"/>
        <v>3.3467432950191571</v>
      </c>
      <c r="O103" s="202"/>
      <c r="P103" s="202">
        <f t="shared" si="9"/>
        <v>0</v>
      </c>
      <c r="Q103" s="202"/>
      <c r="R103" s="19">
        <f t="shared" si="10"/>
        <v>0</v>
      </c>
      <c r="S103" s="202">
        <f t="shared" si="11"/>
        <v>0</v>
      </c>
      <c r="T103" s="20">
        <v>4</v>
      </c>
      <c r="U103" s="20"/>
      <c r="V103" s="201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200">
        <v>300424</v>
      </c>
      <c r="B104" s="197" t="s">
        <v>292</v>
      </c>
      <c r="C104" s="230" t="s">
        <v>288</v>
      </c>
      <c r="D104" s="231"/>
      <c r="E104" s="204" t="s">
        <v>290</v>
      </c>
      <c r="F104" s="203"/>
      <c r="G104" s="133"/>
      <c r="H104" s="133"/>
      <c r="I104" s="133"/>
      <c r="J104" s="133"/>
      <c r="K104" s="202">
        <f t="shared" si="7"/>
        <v>0</v>
      </c>
      <c r="L104" s="202">
        <f t="shared" si="8"/>
        <v>0</v>
      </c>
      <c r="M104" s="202">
        <v>524.1</v>
      </c>
      <c r="N104" s="202">
        <f t="shared" si="12"/>
        <v>3.3467432950191571</v>
      </c>
      <c r="O104" s="202"/>
      <c r="P104" s="202">
        <f t="shared" si="9"/>
        <v>0</v>
      </c>
      <c r="Q104" s="202"/>
      <c r="R104" s="19">
        <f t="shared" si="10"/>
        <v>0</v>
      </c>
      <c r="S104" s="202">
        <f t="shared" si="11"/>
        <v>0</v>
      </c>
      <c r="T104" s="20">
        <v>4</v>
      </c>
      <c r="U104" s="20"/>
      <c r="V104" s="201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customHeight="1">
      <c r="A105" s="200">
        <v>300425</v>
      </c>
      <c r="B105" s="197">
        <v>5001</v>
      </c>
      <c r="C105" s="230" t="s">
        <v>288</v>
      </c>
      <c r="D105" s="231"/>
      <c r="E105" s="204" t="s">
        <v>291</v>
      </c>
      <c r="F105" s="203">
        <v>2032</v>
      </c>
      <c r="G105" s="133">
        <v>5.7</v>
      </c>
      <c r="H105" s="133">
        <v>0.7</v>
      </c>
      <c r="I105" s="133">
        <f>5+H105</f>
        <v>5.7</v>
      </c>
      <c r="J105" s="133"/>
      <c r="K105" s="202">
        <f t="shared" si="7"/>
        <v>2987.3700000000003</v>
      </c>
      <c r="L105" s="202">
        <f t="shared" si="8"/>
        <v>2987.3700000000003</v>
      </c>
      <c r="M105" s="202">
        <v>524.1</v>
      </c>
      <c r="N105" s="202">
        <f t="shared" si="12"/>
        <v>3.3467432950191571</v>
      </c>
      <c r="O105" s="202"/>
      <c r="P105" s="202">
        <f t="shared" si="9"/>
        <v>19.076436781609196</v>
      </c>
      <c r="Q105" s="202">
        <v>6</v>
      </c>
      <c r="R105" s="19">
        <f t="shared" si="10"/>
        <v>30</v>
      </c>
      <c r="S105" s="202">
        <f t="shared" si="11"/>
        <v>10.923563218390804</v>
      </c>
      <c r="T105" s="20">
        <v>4</v>
      </c>
      <c r="U105" s="20">
        <v>5</v>
      </c>
      <c r="V105" s="201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200">
        <v>300390</v>
      </c>
      <c r="B106" s="197" t="s">
        <v>292</v>
      </c>
      <c r="C106" s="230" t="s">
        <v>106</v>
      </c>
      <c r="D106" s="231"/>
      <c r="E106" s="204" t="s">
        <v>107</v>
      </c>
      <c r="F106" s="203"/>
      <c r="G106" s="133"/>
      <c r="H106" s="133"/>
      <c r="I106" s="133"/>
      <c r="J106" s="133"/>
      <c r="K106" s="202">
        <f t="shared" si="7"/>
        <v>0</v>
      </c>
      <c r="L106" s="202">
        <f t="shared" si="8"/>
        <v>0</v>
      </c>
      <c r="M106" s="202">
        <v>417.4</v>
      </c>
      <c r="N106" s="202">
        <f>+M106*1000/(87*1*80*60)*T106</f>
        <v>3.9980842911877397</v>
      </c>
      <c r="O106" s="202"/>
      <c r="P106" s="202">
        <f t="shared" si="9"/>
        <v>0</v>
      </c>
      <c r="Q106" s="202"/>
      <c r="R106" s="19">
        <f t="shared" si="10"/>
        <v>0</v>
      </c>
      <c r="S106" s="202">
        <f t="shared" si="11"/>
        <v>0</v>
      </c>
      <c r="T106" s="20">
        <v>4</v>
      </c>
      <c r="U106" s="20"/>
      <c r="V106" s="201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hidden="1" customHeight="1">
      <c r="A107" s="200">
        <v>300391</v>
      </c>
      <c r="B107" s="197" t="s">
        <v>292</v>
      </c>
      <c r="C107" s="230" t="s">
        <v>106</v>
      </c>
      <c r="D107" s="231"/>
      <c r="E107" s="204" t="s">
        <v>109</v>
      </c>
      <c r="F107" s="203"/>
      <c r="G107" s="133"/>
      <c r="H107" s="133"/>
      <c r="I107" s="133"/>
      <c r="J107" s="133"/>
      <c r="K107" s="202">
        <f t="shared" si="7"/>
        <v>0</v>
      </c>
      <c r="L107" s="202">
        <f t="shared" si="8"/>
        <v>0</v>
      </c>
      <c r="M107" s="202">
        <v>417.4</v>
      </c>
      <c r="N107" s="202">
        <f>+M107*1000/(87*1*80*60)*T107</f>
        <v>3.9980842911877397</v>
      </c>
      <c r="O107" s="202"/>
      <c r="P107" s="202">
        <f t="shared" si="9"/>
        <v>0</v>
      </c>
      <c r="Q107" s="202"/>
      <c r="R107" s="19">
        <f t="shared" si="10"/>
        <v>0</v>
      </c>
      <c r="S107" s="202">
        <f t="shared" si="11"/>
        <v>0</v>
      </c>
      <c r="T107" s="20">
        <v>4</v>
      </c>
      <c r="U107" s="20"/>
      <c r="V107" s="201" t="str">
        <f t="array" ref="V107">IF(ISERROR(L107/K107),"",L107/K107)</f>
        <v/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hidden="1" customHeight="1">
      <c r="A108" s="200">
        <v>300431</v>
      </c>
      <c r="B108" s="197" t="s">
        <v>292</v>
      </c>
      <c r="C108" s="230" t="s">
        <v>297</v>
      </c>
      <c r="D108" s="231"/>
      <c r="E108" s="204" t="s">
        <v>298</v>
      </c>
      <c r="F108" s="203"/>
      <c r="G108" s="133"/>
      <c r="H108" s="133"/>
      <c r="I108" s="133"/>
      <c r="J108" s="133"/>
      <c r="K108" s="202">
        <f t="shared" si="7"/>
        <v>0</v>
      </c>
      <c r="L108" s="202">
        <f t="shared" si="8"/>
        <v>0</v>
      </c>
      <c r="M108" s="202">
        <v>628.79999999999995</v>
      </c>
      <c r="N108" s="202">
        <f>+M108*1000/(87*1*80*60)*T108</f>
        <v>6.0229885057471266</v>
      </c>
      <c r="O108" s="202"/>
      <c r="P108" s="202">
        <f t="shared" si="9"/>
        <v>0</v>
      </c>
      <c r="Q108" s="202"/>
      <c r="R108" s="19">
        <f t="shared" si="10"/>
        <v>0</v>
      </c>
      <c r="S108" s="202">
        <f t="shared" si="11"/>
        <v>0</v>
      </c>
      <c r="T108" s="20">
        <v>4</v>
      </c>
      <c r="U108" s="20"/>
      <c r="V108" s="201" t="str">
        <f t="array" ref="V108">IF(ISERROR(L108/K108),"",L108/K108)</f>
        <v/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hidden="1" customHeight="1">
      <c r="A109" s="200">
        <v>300432</v>
      </c>
      <c r="B109" s="197" t="s">
        <v>292</v>
      </c>
      <c r="C109" s="230" t="s">
        <v>297</v>
      </c>
      <c r="D109" s="231"/>
      <c r="E109" s="204" t="s">
        <v>299</v>
      </c>
      <c r="F109" s="203"/>
      <c r="G109" s="133"/>
      <c r="H109" s="133"/>
      <c r="I109" s="133"/>
      <c r="J109" s="133"/>
      <c r="K109" s="202">
        <f t="shared" si="7"/>
        <v>0</v>
      </c>
      <c r="L109" s="202">
        <f t="shared" si="8"/>
        <v>0</v>
      </c>
      <c r="M109" s="202">
        <v>628.79999999999995</v>
      </c>
      <c r="N109" s="202">
        <f>+M109*1000/(87*1*80*60)*T109</f>
        <v>6.0229885057471266</v>
      </c>
      <c r="O109" s="202"/>
      <c r="P109" s="202">
        <f t="shared" si="9"/>
        <v>0</v>
      </c>
      <c r="Q109" s="202"/>
      <c r="R109" s="19">
        <f t="shared" si="10"/>
        <v>0</v>
      </c>
      <c r="S109" s="202">
        <f t="shared" si="11"/>
        <v>0</v>
      </c>
      <c r="T109" s="20">
        <v>4</v>
      </c>
      <c r="U109" s="20"/>
      <c r="V109" s="201" t="str">
        <f t="array" ref="V109">IF(ISERROR(L109/K109),"",L109/K109)</f>
        <v/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hidden="1" customHeight="1">
      <c r="A110" s="200">
        <v>300433</v>
      </c>
      <c r="B110" s="197" t="s">
        <v>292</v>
      </c>
      <c r="C110" s="230" t="s">
        <v>297</v>
      </c>
      <c r="D110" s="231"/>
      <c r="E110" s="134" t="s">
        <v>300</v>
      </c>
      <c r="F110" s="203"/>
      <c r="G110" s="133"/>
      <c r="H110" s="133"/>
      <c r="I110" s="133"/>
      <c r="J110" s="133"/>
      <c r="K110" s="202">
        <f t="shared" si="7"/>
        <v>0</v>
      </c>
      <c r="L110" s="202">
        <f t="shared" si="8"/>
        <v>0</v>
      </c>
      <c r="M110" s="202">
        <v>628.79999999999995</v>
      </c>
      <c r="N110" s="202">
        <f>+M110*1000/(87*1*80*60)*T110</f>
        <v>6.0229885057471266</v>
      </c>
      <c r="O110" s="202"/>
      <c r="P110" s="202">
        <f t="shared" si="9"/>
        <v>0</v>
      </c>
      <c r="Q110" s="202"/>
      <c r="R110" s="19">
        <f t="shared" si="10"/>
        <v>0</v>
      </c>
      <c r="S110" s="202">
        <f t="shared" si="11"/>
        <v>0</v>
      </c>
      <c r="T110" s="20">
        <v>4</v>
      </c>
      <c r="U110" s="20"/>
      <c r="V110" s="201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customHeight="1">
      <c r="A111" s="200">
        <v>300074</v>
      </c>
      <c r="B111" s="197">
        <v>6502</v>
      </c>
      <c r="C111" s="219" t="s">
        <v>111</v>
      </c>
      <c r="D111" s="219" t="s">
        <v>112</v>
      </c>
      <c r="E111" s="204" t="s">
        <v>54</v>
      </c>
      <c r="F111" s="203">
        <v>2114</v>
      </c>
      <c r="G111" s="133">
        <v>11.15</v>
      </c>
      <c r="H111" s="133">
        <v>0.4</v>
      </c>
      <c r="I111" s="133">
        <f>11+H111-J111/200</f>
        <v>11.15</v>
      </c>
      <c r="J111" s="133">
        <v>50</v>
      </c>
      <c r="K111" s="202">
        <f t="shared" si="7"/>
        <v>3242.42</v>
      </c>
      <c r="L111" s="202">
        <f t="shared" si="8"/>
        <v>3242.42</v>
      </c>
      <c r="M111" s="202">
        <v>290.8</v>
      </c>
      <c r="N111" s="202">
        <f>+M111*1000/(88*4*13*60)*T111</f>
        <v>3.1774475524475525</v>
      </c>
      <c r="O111" s="202"/>
      <c r="P111" s="202">
        <f t="shared" si="9"/>
        <v>35.428540209790214</v>
      </c>
      <c r="Q111" s="202">
        <v>11</v>
      </c>
      <c r="R111" s="19">
        <f t="shared" si="10"/>
        <v>22</v>
      </c>
      <c r="S111" s="202">
        <f t="shared" si="11"/>
        <v>-13.428540209790214</v>
      </c>
      <c r="T111" s="20">
        <v>3</v>
      </c>
      <c r="U111" s="20">
        <v>2</v>
      </c>
      <c r="V111" s="201">
        <f t="array" ref="V111">IF(ISERROR(L111/K111),"",L111/K111)</f>
        <v>1</v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hidden="1" customHeight="1">
      <c r="A112" s="200">
        <v>300076</v>
      </c>
      <c r="B112" s="197" t="s">
        <v>110</v>
      </c>
      <c r="C112" s="219" t="s">
        <v>111</v>
      </c>
      <c r="D112" s="219" t="s">
        <v>112</v>
      </c>
      <c r="E112" s="204" t="s">
        <v>35</v>
      </c>
      <c r="F112" s="203"/>
      <c r="G112" s="133"/>
      <c r="H112" s="133"/>
      <c r="I112" s="133"/>
      <c r="J112" s="133"/>
      <c r="K112" s="202">
        <f t="shared" si="7"/>
        <v>0</v>
      </c>
      <c r="L112" s="202">
        <f t="shared" si="8"/>
        <v>0</v>
      </c>
      <c r="M112" s="202">
        <v>303.10000000000002</v>
      </c>
      <c r="N112" s="202">
        <f>+M112*1000/(88*4*12*60)*T112</f>
        <v>4.7837752525252526</v>
      </c>
      <c r="O112" s="202"/>
      <c r="P112" s="202">
        <f t="shared" si="9"/>
        <v>0</v>
      </c>
      <c r="Q112" s="202"/>
      <c r="R112" s="19">
        <f t="shared" si="10"/>
        <v>0</v>
      </c>
      <c r="S112" s="202">
        <f t="shared" si="11"/>
        <v>0</v>
      </c>
      <c r="T112" s="20">
        <v>4</v>
      </c>
      <c r="U112" s="20"/>
      <c r="V112" s="20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hidden="1" customHeight="1">
      <c r="A113" s="200">
        <v>300096</v>
      </c>
      <c r="B113" s="197" t="s">
        <v>110</v>
      </c>
      <c r="C113" s="219" t="s">
        <v>113</v>
      </c>
      <c r="D113" s="219" t="s">
        <v>114</v>
      </c>
      <c r="E113" s="204" t="s">
        <v>37</v>
      </c>
      <c r="F113" s="203"/>
      <c r="G113" s="133"/>
      <c r="H113" s="133"/>
      <c r="I113" s="133"/>
      <c r="J113" s="133"/>
      <c r="K113" s="202">
        <f t="shared" si="7"/>
        <v>0</v>
      </c>
      <c r="L113" s="202">
        <f t="shared" si="8"/>
        <v>0</v>
      </c>
      <c r="M113" s="202">
        <v>480.13</v>
      </c>
      <c r="N113" s="202">
        <f>+M113*1000/(126.5*4*12*60)*T113</f>
        <v>2.6357597716293371</v>
      </c>
      <c r="O113" s="202"/>
      <c r="P113" s="202">
        <f t="shared" si="9"/>
        <v>0</v>
      </c>
      <c r="Q113" s="202"/>
      <c r="R113" s="19">
        <f t="shared" si="10"/>
        <v>0</v>
      </c>
      <c r="S113" s="202">
        <f t="shared" si="11"/>
        <v>0</v>
      </c>
      <c r="T113" s="20">
        <v>2</v>
      </c>
      <c r="U113" s="20"/>
      <c r="V113" s="20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200"/>
      <c r="B114" s="197" t="s">
        <v>110</v>
      </c>
      <c r="C114" s="219" t="s">
        <v>113</v>
      </c>
      <c r="D114" s="219" t="s">
        <v>114</v>
      </c>
      <c r="E114" s="204" t="s">
        <v>35</v>
      </c>
      <c r="F114" s="203"/>
      <c r="G114" s="133"/>
      <c r="H114" s="133"/>
      <c r="I114" s="133"/>
      <c r="J114" s="133"/>
      <c r="K114" s="202">
        <f t="shared" si="7"/>
        <v>0</v>
      </c>
      <c r="L114" s="202">
        <f t="shared" si="8"/>
        <v>0</v>
      </c>
      <c r="M114" s="202">
        <v>480.13</v>
      </c>
      <c r="N114" s="202">
        <f>+M114*1000/(126.5*4*12*60)*T114</f>
        <v>2.6357597716293371</v>
      </c>
      <c r="O114" s="202"/>
      <c r="P114" s="202">
        <f t="shared" si="9"/>
        <v>0</v>
      </c>
      <c r="Q114" s="202"/>
      <c r="R114" s="19">
        <f t="shared" si="10"/>
        <v>0</v>
      </c>
      <c r="S114" s="202">
        <f t="shared" si="11"/>
        <v>0</v>
      </c>
      <c r="T114" s="20">
        <v>2</v>
      </c>
      <c r="U114" s="20"/>
      <c r="V114" s="20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2.5" hidden="1" customHeight="1">
      <c r="A115" s="200">
        <v>300097</v>
      </c>
      <c r="B115" s="197" t="s">
        <v>110</v>
      </c>
      <c r="C115" s="219" t="s">
        <v>113</v>
      </c>
      <c r="D115" s="219" t="s">
        <v>114</v>
      </c>
      <c r="E115" s="204" t="s">
        <v>63</v>
      </c>
      <c r="F115" s="203"/>
      <c r="G115" s="133"/>
      <c r="H115" s="133"/>
      <c r="I115" s="133"/>
      <c r="J115" s="133"/>
      <c r="K115" s="202">
        <f t="shared" si="7"/>
        <v>0</v>
      </c>
      <c r="L115" s="202">
        <f t="shared" si="8"/>
        <v>0</v>
      </c>
      <c r="M115" s="202">
        <v>480.13</v>
      </c>
      <c r="N115" s="202">
        <f>+M115*1000/(126.5*4*12*60)*T115</f>
        <v>2.6357597716293371</v>
      </c>
      <c r="O115" s="202"/>
      <c r="P115" s="202">
        <f t="shared" si="9"/>
        <v>0</v>
      </c>
      <c r="Q115" s="202"/>
      <c r="R115" s="19">
        <f t="shared" si="10"/>
        <v>0</v>
      </c>
      <c r="S115" s="202">
        <f t="shared" si="11"/>
        <v>0</v>
      </c>
      <c r="T115" s="20">
        <v>2</v>
      </c>
      <c r="U115" s="20"/>
      <c r="V115" s="20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97">
        <v>300294</v>
      </c>
      <c r="B116" s="197" t="s">
        <v>110</v>
      </c>
      <c r="C116" s="219" t="s">
        <v>115</v>
      </c>
      <c r="D116" s="219"/>
      <c r="E116" s="204" t="s">
        <v>41</v>
      </c>
      <c r="F116" s="203"/>
      <c r="G116" s="133"/>
      <c r="H116" s="133"/>
      <c r="I116" s="133"/>
      <c r="J116" s="133"/>
      <c r="K116" s="202">
        <f t="shared" si="7"/>
        <v>0</v>
      </c>
      <c r="L116" s="202">
        <f t="shared" si="8"/>
        <v>0</v>
      </c>
      <c r="M116" s="202">
        <v>373.14</v>
      </c>
      <c r="N116" s="202">
        <f t="shared" ref="N116:N125" si="13">+M116*1000/(90*4*14*60)*T116</f>
        <v>3.7017857142857142</v>
      </c>
      <c r="O116" s="202"/>
      <c r="P116" s="202">
        <f t="shared" si="9"/>
        <v>0</v>
      </c>
      <c r="Q116" s="202"/>
      <c r="R116" s="19">
        <f t="shared" si="10"/>
        <v>0</v>
      </c>
      <c r="S116" s="202">
        <f t="shared" si="11"/>
        <v>0</v>
      </c>
      <c r="T116" s="20">
        <v>3</v>
      </c>
      <c r="U116" s="20"/>
      <c r="V116" s="20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97">
        <v>300295</v>
      </c>
      <c r="B117" s="197" t="s">
        <v>116</v>
      </c>
      <c r="C117" s="219" t="s">
        <v>117</v>
      </c>
      <c r="D117" s="219"/>
      <c r="E117" s="204" t="s">
        <v>118</v>
      </c>
      <c r="F117" s="203"/>
      <c r="G117" s="133"/>
      <c r="H117" s="133"/>
      <c r="I117" s="133"/>
      <c r="J117" s="133"/>
      <c r="K117" s="202">
        <f t="shared" si="7"/>
        <v>0</v>
      </c>
      <c r="L117" s="202">
        <f t="shared" si="8"/>
        <v>0</v>
      </c>
      <c r="M117" s="202">
        <v>373.14</v>
      </c>
      <c r="N117" s="202">
        <f t="shared" si="13"/>
        <v>3.7017857142857142</v>
      </c>
      <c r="O117" s="202"/>
      <c r="P117" s="202">
        <f t="shared" si="9"/>
        <v>0</v>
      </c>
      <c r="Q117" s="202"/>
      <c r="R117" s="19">
        <f t="shared" si="10"/>
        <v>0</v>
      </c>
      <c r="S117" s="202">
        <f t="shared" si="11"/>
        <v>0</v>
      </c>
      <c r="T117" s="20">
        <v>3</v>
      </c>
      <c r="U117" s="20"/>
      <c r="V117" s="20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97">
        <v>300258</v>
      </c>
      <c r="B118" s="197" t="s">
        <v>110</v>
      </c>
      <c r="C118" s="219" t="s">
        <v>115</v>
      </c>
      <c r="D118" s="219"/>
      <c r="E118" s="204" t="s">
        <v>42</v>
      </c>
      <c r="F118" s="203"/>
      <c r="G118" s="133"/>
      <c r="H118" s="133"/>
      <c r="I118" s="133"/>
      <c r="J118" s="133"/>
      <c r="K118" s="202">
        <f t="shared" si="7"/>
        <v>0</v>
      </c>
      <c r="L118" s="202">
        <f t="shared" si="8"/>
        <v>0</v>
      </c>
      <c r="M118" s="202">
        <v>373.14</v>
      </c>
      <c r="N118" s="202">
        <f t="shared" si="13"/>
        <v>3.7017857142857142</v>
      </c>
      <c r="O118" s="202"/>
      <c r="P118" s="202">
        <f t="shared" si="9"/>
        <v>0</v>
      </c>
      <c r="Q118" s="202"/>
      <c r="R118" s="19">
        <f t="shared" si="10"/>
        <v>0</v>
      </c>
      <c r="S118" s="202">
        <f t="shared" si="11"/>
        <v>0</v>
      </c>
      <c r="T118" s="20">
        <v>3</v>
      </c>
      <c r="U118" s="20"/>
      <c r="V118" s="20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97">
        <v>300256</v>
      </c>
      <c r="B119" s="197" t="s">
        <v>110</v>
      </c>
      <c r="C119" s="219" t="s">
        <v>115</v>
      </c>
      <c r="D119" s="219"/>
      <c r="E119" s="204" t="s">
        <v>74</v>
      </c>
      <c r="F119" s="203"/>
      <c r="G119" s="133"/>
      <c r="H119" s="133"/>
      <c r="I119" s="133"/>
      <c r="J119" s="133"/>
      <c r="K119" s="202">
        <f t="shared" si="7"/>
        <v>0</v>
      </c>
      <c r="L119" s="202">
        <f t="shared" si="8"/>
        <v>0</v>
      </c>
      <c r="M119" s="202">
        <v>373.14</v>
      </c>
      <c r="N119" s="202">
        <f t="shared" si="13"/>
        <v>3.7017857142857142</v>
      </c>
      <c r="O119" s="202"/>
      <c r="P119" s="202">
        <f t="shared" si="9"/>
        <v>0</v>
      </c>
      <c r="Q119" s="202"/>
      <c r="R119" s="19">
        <f t="shared" si="10"/>
        <v>0</v>
      </c>
      <c r="S119" s="202">
        <f t="shared" si="11"/>
        <v>0</v>
      </c>
      <c r="T119" s="20">
        <v>3</v>
      </c>
      <c r="U119" s="20"/>
      <c r="V119" s="20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97">
        <v>300259</v>
      </c>
      <c r="B120" s="197" t="s">
        <v>110</v>
      </c>
      <c r="C120" s="219" t="s">
        <v>115</v>
      </c>
      <c r="D120" s="219"/>
      <c r="E120" s="204" t="s">
        <v>40</v>
      </c>
      <c r="F120" s="203"/>
      <c r="G120" s="133"/>
      <c r="H120" s="133"/>
      <c r="I120" s="133"/>
      <c r="J120" s="133"/>
      <c r="K120" s="202">
        <f t="shared" si="7"/>
        <v>0</v>
      </c>
      <c r="L120" s="202">
        <f t="shared" si="8"/>
        <v>0</v>
      </c>
      <c r="M120" s="202">
        <v>373.14</v>
      </c>
      <c r="N120" s="202">
        <f t="shared" si="13"/>
        <v>3.7017857142857142</v>
      </c>
      <c r="O120" s="202"/>
      <c r="P120" s="202">
        <f t="shared" si="9"/>
        <v>0</v>
      </c>
      <c r="Q120" s="202"/>
      <c r="R120" s="19">
        <f t="shared" si="10"/>
        <v>0</v>
      </c>
      <c r="S120" s="202">
        <f t="shared" si="11"/>
        <v>0</v>
      </c>
      <c r="T120" s="20">
        <v>3</v>
      </c>
      <c r="U120" s="20"/>
      <c r="V120" s="20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97">
        <v>300345</v>
      </c>
      <c r="B121" s="197" t="s">
        <v>110</v>
      </c>
      <c r="C121" s="219" t="s">
        <v>119</v>
      </c>
      <c r="D121" s="219"/>
      <c r="E121" s="204" t="s">
        <v>74</v>
      </c>
      <c r="F121" s="203"/>
      <c r="G121" s="133"/>
      <c r="H121" s="133"/>
      <c r="I121" s="133"/>
      <c r="J121" s="133"/>
      <c r="K121" s="202">
        <f t="shared" si="7"/>
        <v>0</v>
      </c>
      <c r="L121" s="202">
        <f t="shared" si="8"/>
        <v>0</v>
      </c>
      <c r="M121" s="202">
        <v>373.14</v>
      </c>
      <c r="N121" s="202">
        <f t="shared" si="13"/>
        <v>3.7017857142857142</v>
      </c>
      <c r="O121" s="41"/>
      <c r="P121" s="202">
        <f t="shared" si="9"/>
        <v>0</v>
      </c>
      <c r="Q121" s="41"/>
      <c r="R121" s="19">
        <f t="shared" si="10"/>
        <v>0</v>
      </c>
      <c r="S121" s="202">
        <f t="shared" si="11"/>
        <v>0</v>
      </c>
      <c r="T121" s="20">
        <v>3</v>
      </c>
      <c r="U121" s="41"/>
      <c r="V121" s="201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97">
        <v>300346</v>
      </c>
      <c r="B122" s="197" t="s">
        <v>110</v>
      </c>
      <c r="C122" s="219" t="s">
        <v>119</v>
      </c>
      <c r="D122" s="219"/>
      <c r="E122" s="204" t="s">
        <v>42</v>
      </c>
      <c r="F122" s="203"/>
      <c r="G122" s="133"/>
      <c r="H122" s="133"/>
      <c r="I122" s="133"/>
      <c r="J122" s="133"/>
      <c r="K122" s="202">
        <f t="shared" si="7"/>
        <v>0</v>
      </c>
      <c r="L122" s="202">
        <f t="shared" si="8"/>
        <v>0</v>
      </c>
      <c r="M122" s="202">
        <v>373.14</v>
      </c>
      <c r="N122" s="202">
        <f t="shared" si="13"/>
        <v>3.7017857142857142</v>
      </c>
      <c r="O122" s="41"/>
      <c r="P122" s="202">
        <f t="shared" si="9"/>
        <v>0</v>
      </c>
      <c r="Q122" s="41"/>
      <c r="R122" s="19">
        <f t="shared" si="10"/>
        <v>0</v>
      </c>
      <c r="S122" s="202">
        <f t="shared" si="11"/>
        <v>0</v>
      </c>
      <c r="T122" s="20">
        <v>3</v>
      </c>
      <c r="U122" s="41"/>
      <c r="V122" s="201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97">
        <v>300347</v>
      </c>
      <c r="B123" s="197" t="s">
        <v>110</v>
      </c>
      <c r="C123" s="219" t="s">
        <v>119</v>
      </c>
      <c r="D123" s="219"/>
      <c r="E123" s="204" t="s">
        <v>41</v>
      </c>
      <c r="F123" s="203"/>
      <c r="G123" s="133"/>
      <c r="H123" s="133"/>
      <c r="I123" s="133"/>
      <c r="J123" s="133"/>
      <c r="K123" s="202">
        <f t="shared" si="7"/>
        <v>0</v>
      </c>
      <c r="L123" s="202">
        <f t="shared" si="8"/>
        <v>0</v>
      </c>
      <c r="M123" s="202">
        <v>373.14</v>
      </c>
      <c r="N123" s="202">
        <f t="shared" si="13"/>
        <v>3.7017857142857142</v>
      </c>
      <c r="O123" s="41"/>
      <c r="P123" s="202">
        <f t="shared" si="9"/>
        <v>0</v>
      </c>
      <c r="Q123" s="41"/>
      <c r="R123" s="19">
        <f t="shared" si="10"/>
        <v>0</v>
      </c>
      <c r="S123" s="202">
        <f t="shared" si="11"/>
        <v>0</v>
      </c>
      <c r="T123" s="20">
        <v>3</v>
      </c>
      <c r="U123" s="41"/>
      <c r="V123" s="201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97">
        <v>300348</v>
      </c>
      <c r="B124" s="197" t="s">
        <v>110</v>
      </c>
      <c r="C124" s="219" t="s">
        <v>119</v>
      </c>
      <c r="D124" s="219"/>
      <c r="E124" s="204" t="s">
        <v>118</v>
      </c>
      <c r="F124" s="203"/>
      <c r="G124" s="133"/>
      <c r="H124" s="133"/>
      <c r="I124" s="133"/>
      <c r="J124" s="133"/>
      <c r="K124" s="202">
        <f t="shared" si="7"/>
        <v>0</v>
      </c>
      <c r="L124" s="202">
        <f t="shared" si="8"/>
        <v>0</v>
      </c>
      <c r="M124" s="202">
        <v>373.14</v>
      </c>
      <c r="N124" s="202">
        <f t="shared" si="13"/>
        <v>3.7017857142857142</v>
      </c>
      <c r="O124" s="41"/>
      <c r="P124" s="202">
        <f t="shared" si="9"/>
        <v>0</v>
      </c>
      <c r="Q124" s="41"/>
      <c r="R124" s="19">
        <f t="shared" si="10"/>
        <v>0</v>
      </c>
      <c r="S124" s="202">
        <f t="shared" si="11"/>
        <v>0</v>
      </c>
      <c r="T124" s="20">
        <v>3</v>
      </c>
      <c r="U124" s="41"/>
      <c r="V124" s="201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97">
        <v>300349</v>
      </c>
      <c r="B125" s="197" t="s">
        <v>110</v>
      </c>
      <c r="C125" s="219" t="s">
        <v>119</v>
      </c>
      <c r="D125" s="219"/>
      <c r="E125" s="204" t="s">
        <v>40</v>
      </c>
      <c r="F125" s="203"/>
      <c r="G125" s="133"/>
      <c r="H125" s="133"/>
      <c r="I125" s="133"/>
      <c r="J125" s="133"/>
      <c r="K125" s="202">
        <f t="shared" si="7"/>
        <v>0</v>
      </c>
      <c r="L125" s="202">
        <f t="shared" si="8"/>
        <v>0</v>
      </c>
      <c r="M125" s="202">
        <v>373.14</v>
      </c>
      <c r="N125" s="202">
        <f t="shared" si="13"/>
        <v>3.7017857142857142</v>
      </c>
      <c r="O125" s="41"/>
      <c r="P125" s="202">
        <f t="shared" si="9"/>
        <v>0</v>
      </c>
      <c r="Q125" s="41"/>
      <c r="R125" s="19">
        <f t="shared" si="10"/>
        <v>0</v>
      </c>
      <c r="S125" s="202">
        <f t="shared" si="11"/>
        <v>0</v>
      </c>
      <c r="T125" s="20">
        <v>3</v>
      </c>
      <c r="U125" s="41"/>
      <c r="V125" s="201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97">
        <v>300298</v>
      </c>
      <c r="B126" s="197" t="s">
        <v>110</v>
      </c>
      <c r="C126" s="219" t="s">
        <v>120</v>
      </c>
      <c r="D126" s="219"/>
      <c r="E126" s="204" t="s">
        <v>54</v>
      </c>
      <c r="F126" s="203"/>
      <c r="G126" s="133"/>
      <c r="H126" s="133"/>
      <c r="I126" s="133"/>
      <c r="J126" s="133"/>
      <c r="K126" s="202">
        <f t="shared" si="7"/>
        <v>0</v>
      </c>
      <c r="L126" s="202">
        <f t="shared" si="8"/>
        <v>0</v>
      </c>
      <c r="M126" s="202">
        <v>380.63</v>
      </c>
      <c r="N126" s="202">
        <f t="shared" ref="N126:N131" si="14">+M126*1000/(94.7*4*15*60)*T126</f>
        <v>4.4659157573624313</v>
      </c>
      <c r="O126" s="202"/>
      <c r="P126" s="202">
        <f t="shared" si="9"/>
        <v>0</v>
      </c>
      <c r="Q126" s="202"/>
      <c r="R126" s="19">
        <f t="shared" si="10"/>
        <v>0</v>
      </c>
      <c r="S126" s="202">
        <f t="shared" si="11"/>
        <v>0</v>
      </c>
      <c r="T126" s="20">
        <v>4</v>
      </c>
      <c r="U126" s="20"/>
      <c r="V126" s="20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97">
        <v>300299</v>
      </c>
      <c r="B127" s="197" t="s">
        <v>110</v>
      </c>
      <c r="C127" s="219" t="s">
        <v>120</v>
      </c>
      <c r="D127" s="219"/>
      <c r="E127" s="204" t="s">
        <v>39</v>
      </c>
      <c r="F127" s="203"/>
      <c r="G127" s="133"/>
      <c r="H127" s="133"/>
      <c r="I127" s="133"/>
      <c r="J127" s="133"/>
      <c r="K127" s="202">
        <f t="shared" si="7"/>
        <v>0</v>
      </c>
      <c r="L127" s="202">
        <f t="shared" si="8"/>
        <v>0</v>
      </c>
      <c r="M127" s="202">
        <v>380.63</v>
      </c>
      <c r="N127" s="202">
        <f t="shared" si="14"/>
        <v>4.4659157573624313</v>
      </c>
      <c r="O127" s="202"/>
      <c r="P127" s="202">
        <f t="shared" si="9"/>
        <v>0</v>
      </c>
      <c r="Q127" s="202"/>
      <c r="R127" s="19">
        <f t="shared" si="10"/>
        <v>0</v>
      </c>
      <c r="S127" s="202">
        <f t="shared" si="11"/>
        <v>0</v>
      </c>
      <c r="T127" s="20">
        <v>4</v>
      </c>
      <c r="U127" s="20"/>
      <c r="V127" s="20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97">
        <v>300296</v>
      </c>
      <c r="B128" s="197" t="s">
        <v>110</v>
      </c>
      <c r="C128" s="219" t="s">
        <v>120</v>
      </c>
      <c r="D128" s="219"/>
      <c r="E128" s="204" t="s">
        <v>41</v>
      </c>
      <c r="F128" s="203"/>
      <c r="G128" s="133"/>
      <c r="H128" s="133"/>
      <c r="I128" s="133"/>
      <c r="J128" s="133"/>
      <c r="K128" s="202">
        <f t="shared" si="7"/>
        <v>0</v>
      </c>
      <c r="L128" s="202">
        <f t="shared" si="8"/>
        <v>0</v>
      </c>
      <c r="M128" s="202">
        <v>380.63</v>
      </c>
      <c r="N128" s="202">
        <f t="shared" si="14"/>
        <v>4.4659157573624313</v>
      </c>
      <c r="O128" s="202"/>
      <c r="P128" s="202">
        <f t="shared" si="9"/>
        <v>0</v>
      </c>
      <c r="Q128" s="202"/>
      <c r="R128" s="19">
        <f t="shared" si="10"/>
        <v>0</v>
      </c>
      <c r="S128" s="202">
        <f t="shared" si="11"/>
        <v>0</v>
      </c>
      <c r="T128" s="20">
        <v>4</v>
      </c>
      <c r="U128" s="20"/>
      <c r="V128" s="20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97">
        <v>300297</v>
      </c>
      <c r="B129" s="197" t="s">
        <v>110</v>
      </c>
      <c r="C129" s="219" t="s">
        <v>120</v>
      </c>
      <c r="D129" s="219"/>
      <c r="E129" s="204" t="s">
        <v>37</v>
      </c>
      <c r="F129" s="203"/>
      <c r="G129" s="133"/>
      <c r="H129" s="133"/>
      <c r="I129" s="133"/>
      <c r="J129" s="133"/>
      <c r="K129" s="202">
        <f t="shared" si="7"/>
        <v>0</v>
      </c>
      <c r="L129" s="202">
        <f t="shared" si="8"/>
        <v>0</v>
      </c>
      <c r="M129" s="202">
        <v>380.63</v>
      </c>
      <c r="N129" s="202">
        <f t="shared" si="14"/>
        <v>4.4659157573624313</v>
      </c>
      <c r="O129" s="202"/>
      <c r="P129" s="202">
        <f t="shared" si="9"/>
        <v>0</v>
      </c>
      <c r="Q129" s="202"/>
      <c r="R129" s="19">
        <f t="shared" si="10"/>
        <v>0</v>
      </c>
      <c r="S129" s="202">
        <f t="shared" si="11"/>
        <v>0</v>
      </c>
      <c r="T129" s="20">
        <v>4</v>
      </c>
      <c r="U129" s="20"/>
      <c r="V129" s="20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97">
        <v>300340</v>
      </c>
      <c r="B130" s="197" t="s">
        <v>110</v>
      </c>
      <c r="C130" s="230" t="s">
        <v>121</v>
      </c>
      <c r="D130" s="231"/>
      <c r="E130" s="204" t="s">
        <v>41</v>
      </c>
      <c r="F130" s="203"/>
      <c r="G130" s="133"/>
      <c r="H130" s="133"/>
      <c r="I130" s="133"/>
      <c r="J130" s="133"/>
      <c r="K130" s="202">
        <f t="shared" si="7"/>
        <v>0</v>
      </c>
      <c r="L130" s="202">
        <f t="shared" si="8"/>
        <v>0</v>
      </c>
      <c r="M130" s="202">
        <v>325.60000000000002</v>
      </c>
      <c r="N130" s="202">
        <f t="shared" si="14"/>
        <v>3.8202510852986036</v>
      </c>
      <c r="O130" s="202"/>
      <c r="P130" s="202">
        <f t="shared" si="9"/>
        <v>0</v>
      </c>
      <c r="Q130" s="202"/>
      <c r="R130" s="19">
        <f t="shared" si="10"/>
        <v>0</v>
      </c>
      <c r="S130" s="202">
        <f t="shared" si="11"/>
        <v>0</v>
      </c>
      <c r="T130" s="20">
        <v>4</v>
      </c>
      <c r="U130" s="20"/>
      <c r="V130" s="201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97">
        <v>300339</v>
      </c>
      <c r="B131" s="197" t="s">
        <v>110</v>
      </c>
      <c r="C131" s="230" t="s">
        <v>121</v>
      </c>
      <c r="D131" s="231"/>
      <c r="E131" s="204" t="s">
        <v>39</v>
      </c>
      <c r="F131" s="203"/>
      <c r="G131" s="133"/>
      <c r="H131" s="133"/>
      <c r="I131" s="133"/>
      <c r="J131" s="133"/>
      <c r="K131" s="202">
        <f t="shared" si="7"/>
        <v>0</v>
      </c>
      <c r="L131" s="202">
        <f t="shared" si="8"/>
        <v>0</v>
      </c>
      <c r="M131" s="202">
        <v>325.60000000000002</v>
      </c>
      <c r="N131" s="202">
        <f t="shared" si="14"/>
        <v>3.8202510852986036</v>
      </c>
      <c r="O131" s="202"/>
      <c r="P131" s="202">
        <f t="shared" si="9"/>
        <v>0</v>
      </c>
      <c r="Q131" s="202"/>
      <c r="R131" s="19">
        <f t="shared" si="10"/>
        <v>0</v>
      </c>
      <c r="S131" s="202">
        <f t="shared" si="11"/>
        <v>0</v>
      </c>
      <c r="T131" s="20">
        <v>4</v>
      </c>
      <c r="U131" s="20"/>
      <c r="V131" s="201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97">
        <v>300303</v>
      </c>
      <c r="B132" s="197" t="s">
        <v>110</v>
      </c>
      <c r="C132" s="219" t="s">
        <v>122</v>
      </c>
      <c r="D132" s="219" t="s">
        <v>123</v>
      </c>
      <c r="E132" s="204" t="s">
        <v>57</v>
      </c>
      <c r="F132" s="203"/>
      <c r="G132" s="133"/>
      <c r="H132" s="133"/>
      <c r="I132" s="133"/>
      <c r="J132" s="133"/>
      <c r="K132" s="202">
        <f t="shared" si="7"/>
        <v>0</v>
      </c>
      <c r="L132" s="202">
        <f t="shared" si="8"/>
        <v>0</v>
      </c>
      <c r="M132" s="202">
        <v>396.92</v>
      </c>
      <c r="N132" s="202">
        <f>+M132*1000/(113.8*4*15*60)*T132</f>
        <v>4.8442686975200155</v>
      </c>
      <c r="O132" s="202"/>
      <c r="P132" s="202">
        <f t="shared" si="9"/>
        <v>0</v>
      </c>
      <c r="Q132" s="202"/>
      <c r="R132" s="19">
        <f t="shared" si="10"/>
        <v>0</v>
      </c>
      <c r="S132" s="202">
        <f t="shared" si="11"/>
        <v>0</v>
      </c>
      <c r="T132" s="20">
        <v>5</v>
      </c>
      <c r="U132" s="20"/>
      <c r="V132" s="20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97">
        <v>300302</v>
      </c>
      <c r="B133" s="197" t="s">
        <v>110</v>
      </c>
      <c r="C133" s="219" t="s">
        <v>122</v>
      </c>
      <c r="D133" s="219" t="s">
        <v>123</v>
      </c>
      <c r="E133" s="204" t="s">
        <v>109</v>
      </c>
      <c r="F133" s="203"/>
      <c r="G133" s="133"/>
      <c r="H133" s="133"/>
      <c r="I133" s="133"/>
      <c r="J133" s="133"/>
      <c r="K133" s="202">
        <f t="shared" si="7"/>
        <v>0</v>
      </c>
      <c r="L133" s="202">
        <f t="shared" si="8"/>
        <v>0</v>
      </c>
      <c r="M133" s="202">
        <v>396.06</v>
      </c>
      <c r="N133" s="202">
        <f>+M133*1000/(113.8*4*15*60)*T133</f>
        <v>4.8337727006444053</v>
      </c>
      <c r="O133" s="202"/>
      <c r="P133" s="202">
        <f t="shared" si="9"/>
        <v>0</v>
      </c>
      <c r="Q133" s="202"/>
      <c r="R133" s="19">
        <f t="shared" si="10"/>
        <v>0</v>
      </c>
      <c r="S133" s="202">
        <f t="shared" si="11"/>
        <v>0</v>
      </c>
      <c r="T133" s="20">
        <v>5</v>
      </c>
      <c r="U133" s="20"/>
      <c r="V133" s="20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97">
        <v>300301</v>
      </c>
      <c r="B134" s="197" t="s">
        <v>110</v>
      </c>
      <c r="C134" s="219" t="s">
        <v>122</v>
      </c>
      <c r="D134" s="219" t="s">
        <v>123</v>
      </c>
      <c r="E134" s="204" t="s">
        <v>124</v>
      </c>
      <c r="F134" s="203"/>
      <c r="G134" s="133"/>
      <c r="H134" s="133"/>
      <c r="I134" s="133"/>
      <c r="J134" s="133"/>
      <c r="K134" s="202">
        <f t="shared" si="7"/>
        <v>0</v>
      </c>
      <c r="L134" s="202">
        <f t="shared" si="8"/>
        <v>0</v>
      </c>
      <c r="M134" s="202">
        <v>401.25</v>
      </c>
      <c r="N134" s="202">
        <f>+M134*1000/(113.8*4*15*60)*T134</f>
        <v>4.8971148213239601</v>
      </c>
      <c r="O134" s="202"/>
      <c r="P134" s="202">
        <f t="shared" si="9"/>
        <v>0</v>
      </c>
      <c r="Q134" s="202"/>
      <c r="R134" s="19">
        <f t="shared" si="10"/>
        <v>0</v>
      </c>
      <c r="S134" s="202">
        <f t="shared" si="11"/>
        <v>0</v>
      </c>
      <c r="T134" s="20">
        <v>5</v>
      </c>
      <c r="U134" s="20"/>
      <c r="V134" s="20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00">
        <v>300304</v>
      </c>
      <c r="B135" s="197" t="s">
        <v>110</v>
      </c>
      <c r="C135" s="219" t="s">
        <v>122</v>
      </c>
      <c r="D135" s="219"/>
      <c r="E135" s="204" t="s">
        <v>125</v>
      </c>
      <c r="F135" s="203"/>
      <c r="G135" s="133"/>
      <c r="H135" s="133"/>
      <c r="I135" s="133"/>
      <c r="J135" s="133"/>
      <c r="K135" s="202">
        <f t="shared" si="7"/>
        <v>0</v>
      </c>
      <c r="L135" s="202">
        <f t="shared" si="8"/>
        <v>0</v>
      </c>
      <c r="M135" s="202">
        <v>401.25</v>
      </c>
      <c r="N135" s="202">
        <f>+M135*1000/(113.8*4*15*60)*T135</f>
        <v>4.8971148213239601</v>
      </c>
      <c r="O135" s="202"/>
      <c r="P135" s="202">
        <f t="shared" si="9"/>
        <v>0</v>
      </c>
      <c r="Q135" s="202"/>
      <c r="R135" s="19">
        <f t="shared" si="10"/>
        <v>0</v>
      </c>
      <c r="S135" s="202">
        <f t="shared" si="11"/>
        <v>0</v>
      </c>
      <c r="T135" s="20">
        <v>5</v>
      </c>
      <c r="U135" s="20"/>
      <c r="V135" s="20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00">
        <v>300300</v>
      </c>
      <c r="B136" s="197" t="s">
        <v>110</v>
      </c>
      <c r="C136" s="219" t="s">
        <v>122</v>
      </c>
      <c r="D136" s="219" t="s">
        <v>123</v>
      </c>
      <c r="E136" s="204" t="s">
        <v>54</v>
      </c>
      <c r="F136" s="203"/>
      <c r="G136" s="133"/>
      <c r="H136" s="133"/>
      <c r="I136" s="133"/>
      <c r="J136" s="133"/>
      <c r="K136" s="202">
        <f t="shared" si="7"/>
        <v>0</v>
      </c>
      <c r="L136" s="202">
        <f t="shared" si="8"/>
        <v>0</v>
      </c>
      <c r="M136" s="202">
        <v>399.07</v>
      </c>
      <c r="N136" s="202">
        <f>+M136*1000/(113.8*4*15*60)*T136</f>
        <v>4.8705086897090411</v>
      </c>
      <c r="O136" s="202"/>
      <c r="P136" s="202">
        <f t="shared" si="9"/>
        <v>0</v>
      </c>
      <c r="Q136" s="202"/>
      <c r="R136" s="19">
        <f t="shared" si="10"/>
        <v>0</v>
      </c>
      <c r="S136" s="202">
        <f t="shared" si="11"/>
        <v>0</v>
      </c>
      <c r="T136" s="20">
        <v>5</v>
      </c>
      <c r="U136" s="20"/>
      <c r="V136" s="20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200">
        <v>300085</v>
      </c>
      <c r="B137" s="197">
        <v>6503</v>
      </c>
      <c r="C137" s="219" t="s">
        <v>126</v>
      </c>
      <c r="D137" s="219" t="s">
        <v>123</v>
      </c>
      <c r="E137" s="204" t="s">
        <v>127</v>
      </c>
      <c r="F137" s="203"/>
      <c r="G137" s="133"/>
      <c r="H137" s="133"/>
      <c r="I137" s="133"/>
      <c r="J137" s="133"/>
      <c r="K137" s="202">
        <f t="shared" si="7"/>
        <v>0</v>
      </c>
      <c r="L137" s="202">
        <f t="shared" si="8"/>
        <v>0</v>
      </c>
      <c r="M137" s="202">
        <v>394.3</v>
      </c>
      <c r="N137" s="202">
        <f>+M137*1000/(104.2*4*15*60)*T137</f>
        <v>6.3067818298144598</v>
      </c>
      <c r="O137" s="202"/>
      <c r="P137" s="202">
        <f t="shared" si="9"/>
        <v>0</v>
      </c>
      <c r="Q137" s="202"/>
      <c r="R137" s="19">
        <f t="shared" si="10"/>
        <v>0</v>
      </c>
      <c r="S137" s="202">
        <f t="shared" si="11"/>
        <v>0</v>
      </c>
      <c r="T137" s="20">
        <v>6</v>
      </c>
      <c r="U137" s="20"/>
      <c r="V137" s="20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200">
        <v>300087</v>
      </c>
      <c r="B138" s="197" t="s">
        <v>110</v>
      </c>
      <c r="C138" s="219" t="s">
        <v>126</v>
      </c>
      <c r="D138" s="219" t="s">
        <v>123</v>
      </c>
      <c r="E138" s="204" t="s">
        <v>80</v>
      </c>
      <c r="F138" s="203"/>
      <c r="G138" s="133"/>
      <c r="H138" s="133"/>
      <c r="I138" s="133"/>
      <c r="J138" s="133"/>
      <c r="K138" s="202">
        <f t="shared" si="7"/>
        <v>0</v>
      </c>
      <c r="L138" s="202">
        <f t="shared" si="8"/>
        <v>0</v>
      </c>
      <c r="M138" s="202">
        <v>380.1</v>
      </c>
      <c r="N138" s="202">
        <f>+M138*1000/(104.2*4*16*60)*T138</f>
        <v>4.7497300863723604</v>
      </c>
      <c r="O138" s="202"/>
      <c r="P138" s="202">
        <f t="shared" si="9"/>
        <v>0</v>
      </c>
      <c r="Q138" s="202"/>
      <c r="R138" s="19">
        <f t="shared" si="10"/>
        <v>0</v>
      </c>
      <c r="S138" s="202">
        <f t="shared" si="11"/>
        <v>0</v>
      </c>
      <c r="T138" s="20">
        <v>5</v>
      </c>
      <c r="U138" s="20"/>
      <c r="V138" s="20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200">
        <v>300387</v>
      </c>
      <c r="B139" s="197" t="s">
        <v>128</v>
      </c>
      <c r="C139" s="230" t="s">
        <v>129</v>
      </c>
      <c r="D139" s="231"/>
      <c r="E139" s="204" t="s">
        <v>57</v>
      </c>
      <c r="F139" s="203"/>
      <c r="G139" s="133"/>
      <c r="H139" s="133"/>
      <c r="I139" s="133"/>
      <c r="J139" s="133"/>
      <c r="K139" s="202">
        <f t="shared" si="7"/>
        <v>0</v>
      </c>
      <c r="L139" s="202">
        <f t="shared" si="8"/>
        <v>0</v>
      </c>
      <c r="M139" s="202">
        <v>352.29</v>
      </c>
      <c r="N139" s="202">
        <f>+M139*1000/(104.2*4*16*60)*T139</f>
        <v>4.4022162907869484</v>
      </c>
      <c r="O139" s="202"/>
      <c r="P139" s="202">
        <f t="shared" si="9"/>
        <v>0</v>
      </c>
      <c r="Q139" s="202"/>
      <c r="R139" s="19">
        <f t="shared" si="10"/>
        <v>0</v>
      </c>
      <c r="S139" s="202">
        <f t="shared" si="11"/>
        <v>0</v>
      </c>
      <c r="T139" s="20">
        <v>5</v>
      </c>
      <c r="U139" s="20"/>
      <c r="V139" s="20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200">
        <v>300388</v>
      </c>
      <c r="B140" s="197" t="s">
        <v>130</v>
      </c>
      <c r="C140" s="230" t="s">
        <v>129</v>
      </c>
      <c r="D140" s="231"/>
      <c r="E140" s="204" t="s">
        <v>109</v>
      </c>
      <c r="F140" s="203"/>
      <c r="G140" s="133"/>
      <c r="H140" s="133"/>
      <c r="I140" s="133"/>
      <c r="J140" s="133"/>
      <c r="K140" s="202">
        <f t="shared" si="7"/>
        <v>0</v>
      </c>
      <c r="L140" s="202">
        <f t="shared" si="8"/>
        <v>0</v>
      </c>
      <c r="M140" s="202">
        <v>352.29</v>
      </c>
      <c r="N140" s="202">
        <f>+M140*1000/(104.2*4*16*60)*T140</f>
        <v>4.4022162907869484</v>
      </c>
      <c r="O140" s="202"/>
      <c r="P140" s="202">
        <f t="shared" si="9"/>
        <v>0</v>
      </c>
      <c r="Q140" s="202"/>
      <c r="R140" s="19">
        <f t="shared" si="10"/>
        <v>0</v>
      </c>
      <c r="S140" s="202">
        <f t="shared" si="11"/>
        <v>0</v>
      </c>
      <c r="T140" s="20">
        <v>5</v>
      </c>
      <c r="U140" s="20"/>
      <c r="V140" s="20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200">
        <v>300123</v>
      </c>
      <c r="B141" s="197" t="s">
        <v>110</v>
      </c>
      <c r="C141" s="219" t="s">
        <v>131</v>
      </c>
      <c r="D141" s="219" t="s">
        <v>132</v>
      </c>
      <c r="E141" s="204" t="s">
        <v>127</v>
      </c>
      <c r="F141" s="203"/>
      <c r="G141" s="133"/>
      <c r="H141" s="133"/>
      <c r="I141" s="133"/>
      <c r="J141" s="133"/>
      <c r="K141" s="202">
        <f t="shared" si="7"/>
        <v>0</v>
      </c>
      <c r="L141" s="202">
        <f t="shared" si="8"/>
        <v>0</v>
      </c>
      <c r="M141" s="202">
        <v>557</v>
      </c>
      <c r="N141" s="202">
        <f>+M141*1000/(126.5*4*15*60)*T141</f>
        <v>6.1155028546332888</v>
      </c>
      <c r="O141" s="202"/>
      <c r="P141" s="202">
        <f t="shared" si="9"/>
        <v>0</v>
      </c>
      <c r="Q141" s="202"/>
      <c r="R141" s="19">
        <f t="shared" si="10"/>
        <v>0</v>
      </c>
      <c r="S141" s="202">
        <f t="shared" si="11"/>
        <v>0</v>
      </c>
      <c r="T141" s="20">
        <v>5</v>
      </c>
      <c r="U141" s="20"/>
      <c r="V141" s="20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200">
        <v>300270</v>
      </c>
      <c r="B142" s="197" t="s">
        <v>110</v>
      </c>
      <c r="C142" s="219" t="s">
        <v>133</v>
      </c>
      <c r="D142" s="219"/>
      <c r="E142" s="204" t="s">
        <v>134</v>
      </c>
      <c r="F142" s="203"/>
      <c r="G142" s="133"/>
      <c r="H142" s="133"/>
      <c r="I142" s="133"/>
      <c r="J142" s="133"/>
      <c r="K142" s="202">
        <f t="shared" si="7"/>
        <v>0</v>
      </c>
      <c r="L142" s="202">
        <f t="shared" si="8"/>
        <v>0</v>
      </c>
      <c r="M142" s="202">
        <v>485.7</v>
      </c>
      <c r="N142" s="202">
        <f>+M142*1000/(126.5*4*15*60)*T142</f>
        <v>4.2661396574440049</v>
      </c>
      <c r="O142" s="202"/>
      <c r="P142" s="202">
        <f t="shared" si="9"/>
        <v>0</v>
      </c>
      <c r="Q142" s="202"/>
      <c r="R142" s="19">
        <f t="shared" si="10"/>
        <v>0</v>
      </c>
      <c r="S142" s="202">
        <f t="shared" si="11"/>
        <v>0</v>
      </c>
      <c r="T142" s="20">
        <v>4</v>
      </c>
      <c r="U142" s="20"/>
      <c r="V142" s="20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200">
        <v>300336</v>
      </c>
      <c r="B143" s="197" t="s">
        <v>128</v>
      </c>
      <c r="C143" s="219" t="s">
        <v>135</v>
      </c>
      <c r="D143" s="219"/>
      <c r="E143" s="204" t="s">
        <v>84</v>
      </c>
      <c r="F143" s="203"/>
      <c r="G143" s="133"/>
      <c r="H143" s="133"/>
      <c r="I143" s="133"/>
      <c r="J143" s="133"/>
      <c r="K143" s="202">
        <f t="shared" si="7"/>
        <v>0</v>
      </c>
      <c r="L143" s="202">
        <f t="shared" si="8"/>
        <v>0</v>
      </c>
      <c r="M143" s="202">
        <v>411.4</v>
      </c>
      <c r="N143" s="202">
        <f>+M143*1000/(104.2*4*16*60)*T143</f>
        <v>2.0563419705694179</v>
      </c>
      <c r="O143" s="202"/>
      <c r="P143" s="202">
        <f t="shared" si="9"/>
        <v>0</v>
      </c>
      <c r="Q143" s="202"/>
      <c r="R143" s="19">
        <f t="shared" si="10"/>
        <v>0</v>
      </c>
      <c r="S143" s="202">
        <f t="shared" si="11"/>
        <v>0</v>
      </c>
      <c r="T143" s="20">
        <v>2</v>
      </c>
      <c r="U143" s="20"/>
      <c r="V143" s="20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200">
        <v>300337</v>
      </c>
      <c r="B144" s="197" t="s">
        <v>130</v>
      </c>
      <c r="C144" s="219" t="s">
        <v>135</v>
      </c>
      <c r="D144" s="219"/>
      <c r="E144" s="204" t="s">
        <v>49</v>
      </c>
      <c r="F144" s="203"/>
      <c r="G144" s="133"/>
      <c r="H144" s="133"/>
      <c r="I144" s="133"/>
      <c r="J144" s="133"/>
      <c r="K144" s="202">
        <f t="shared" si="7"/>
        <v>0</v>
      </c>
      <c r="L144" s="202">
        <f t="shared" si="8"/>
        <v>0</v>
      </c>
      <c r="M144" s="202">
        <v>411.4</v>
      </c>
      <c r="N144" s="202">
        <f>+M144*1000/(104.2*4*16*60)*T144</f>
        <v>2.0563419705694179</v>
      </c>
      <c r="O144" s="202"/>
      <c r="P144" s="202">
        <f t="shared" si="9"/>
        <v>0</v>
      </c>
      <c r="Q144" s="202"/>
      <c r="R144" s="19">
        <f t="shared" si="10"/>
        <v>0</v>
      </c>
      <c r="S144" s="202">
        <f t="shared" si="11"/>
        <v>0</v>
      </c>
      <c r="T144" s="20">
        <v>2</v>
      </c>
      <c r="U144" s="20"/>
      <c r="V144" s="201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200">
        <v>300338</v>
      </c>
      <c r="B145" s="197" t="s">
        <v>136</v>
      </c>
      <c r="C145" s="219" t="s">
        <v>135</v>
      </c>
      <c r="D145" s="219"/>
      <c r="E145" s="204" t="s">
        <v>85</v>
      </c>
      <c r="F145" s="203"/>
      <c r="G145" s="133"/>
      <c r="H145" s="133"/>
      <c r="I145" s="133"/>
      <c r="J145" s="133"/>
      <c r="K145" s="202">
        <f t="shared" si="7"/>
        <v>0</v>
      </c>
      <c r="L145" s="202">
        <f t="shared" si="8"/>
        <v>0</v>
      </c>
      <c r="M145" s="202">
        <v>411.4</v>
      </c>
      <c r="N145" s="202">
        <f>+M145*1000/(104.2*4*16*60)*T145</f>
        <v>2.0563419705694179</v>
      </c>
      <c r="O145" s="202"/>
      <c r="P145" s="202">
        <f t="shared" si="9"/>
        <v>0</v>
      </c>
      <c r="Q145" s="202"/>
      <c r="R145" s="19">
        <f t="shared" si="10"/>
        <v>0</v>
      </c>
      <c r="S145" s="202">
        <f t="shared" si="11"/>
        <v>0</v>
      </c>
      <c r="T145" s="20">
        <v>2</v>
      </c>
      <c r="U145" s="20"/>
      <c r="V145" s="201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200">
        <v>300309</v>
      </c>
      <c r="B146" s="197">
        <v>6504</v>
      </c>
      <c r="C146" s="219" t="s">
        <v>137</v>
      </c>
      <c r="D146" s="219"/>
      <c r="E146" s="204" t="s">
        <v>47</v>
      </c>
      <c r="F146" s="203"/>
      <c r="G146" s="133"/>
      <c r="H146" s="133"/>
      <c r="I146" s="133"/>
      <c r="J146" s="133"/>
      <c r="K146" s="202">
        <f t="shared" si="7"/>
        <v>0</v>
      </c>
      <c r="L146" s="202">
        <f t="shared" si="8"/>
        <v>0</v>
      </c>
      <c r="M146" s="202">
        <v>316.88</v>
      </c>
      <c r="N146" s="202">
        <f>+M146*1000/(75.2*4*16*60)*T146</f>
        <v>6.5841090425531918</v>
      </c>
      <c r="O146" s="202"/>
      <c r="P146" s="202">
        <f t="shared" si="9"/>
        <v>0</v>
      </c>
      <c r="Q146" s="202"/>
      <c r="R146" s="19">
        <f t="shared" si="10"/>
        <v>0</v>
      </c>
      <c r="S146" s="202">
        <f t="shared" si="11"/>
        <v>0</v>
      </c>
      <c r="T146" s="20">
        <v>6</v>
      </c>
      <c r="U146" s="20"/>
      <c r="V146" s="20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200">
        <v>300310</v>
      </c>
      <c r="B147" s="197">
        <v>6504</v>
      </c>
      <c r="C147" s="219" t="s">
        <v>137</v>
      </c>
      <c r="D147" s="219"/>
      <c r="E147" s="204" t="s">
        <v>138</v>
      </c>
      <c r="F147" s="203"/>
      <c r="G147" s="133"/>
      <c r="H147" s="133"/>
      <c r="I147" s="133"/>
      <c r="J147" s="133"/>
      <c r="K147" s="202">
        <f t="shared" si="7"/>
        <v>0</v>
      </c>
      <c r="L147" s="202">
        <f t="shared" si="8"/>
        <v>0</v>
      </c>
      <c r="M147" s="202">
        <v>316.88</v>
      </c>
      <c r="N147" s="202">
        <f>+M147*1000/(75.2*4*16*60)*T147</f>
        <v>6.5841090425531918</v>
      </c>
      <c r="O147" s="202"/>
      <c r="P147" s="202">
        <f t="shared" si="9"/>
        <v>0</v>
      </c>
      <c r="Q147" s="202"/>
      <c r="R147" s="19">
        <f t="shared" si="10"/>
        <v>0</v>
      </c>
      <c r="S147" s="202">
        <f t="shared" si="11"/>
        <v>0</v>
      </c>
      <c r="T147" s="20">
        <v>6</v>
      </c>
      <c r="U147" s="20"/>
      <c r="V147" s="20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200">
        <v>300312</v>
      </c>
      <c r="B148" s="197">
        <v>6504</v>
      </c>
      <c r="C148" s="219" t="s">
        <v>137</v>
      </c>
      <c r="D148" s="219"/>
      <c r="E148" s="204" t="s">
        <v>139</v>
      </c>
      <c r="F148" s="203"/>
      <c r="G148" s="133"/>
      <c r="H148" s="133"/>
      <c r="I148" s="133"/>
      <c r="J148" s="133"/>
      <c r="K148" s="202">
        <f t="shared" si="7"/>
        <v>0</v>
      </c>
      <c r="L148" s="202">
        <f t="shared" si="8"/>
        <v>0</v>
      </c>
      <c r="M148" s="202">
        <v>316.88</v>
      </c>
      <c r="N148" s="202">
        <f>+M148*1000/(75.2*4*16*60)*T148</f>
        <v>6.5841090425531918</v>
      </c>
      <c r="O148" s="202"/>
      <c r="P148" s="202">
        <f t="shared" si="9"/>
        <v>0</v>
      </c>
      <c r="Q148" s="202"/>
      <c r="R148" s="19">
        <f t="shared" si="10"/>
        <v>0</v>
      </c>
      <c r="S148" s="202">
        <f t="shared" si="11"/>
        <v>0</v>
      </c>
      <c r="T148" s="20">
        <v>6</v>
      </c>
      <c r="U148" s="20"/>
      <c r="V148" s="20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200">
        <v>300311</v>
      </c>
      <c r="B149" s="197">
        <v>6504</v>
      </c>
      <c r="C149" s="230" t="s">
        <v>137</v>
      </c>
      <c r="D149" s="231"/>
      <c r="E149" s="204" t="s">
        <v>74</v>
      </c>
      <c r="F149" s="203"/>
      <c r="G149" s="133"/>
      <c r="H149" s="133"/>
      <c r="I149" s="133"/>
      <c r="J149" s="133"/>
      <c r="K149" s="202">
        <f t="shared" si="7"/>
        <v>0</v>
      </c>
      <c r="L149" s="202">
        <f t="shared" si="8"/>
        <v>0</v>
      </c>
      <c r="M149" s="202">
        <v>316.88</v>
      </c>
      <c r="N149" s="202">
        <f>+M149*1000/(75.2*4*16*60)*T149</f>
        <v>6.5841090425531918</v>
      </c>
      <c r="O149" s="202"/>
      <c r="P149" s="202">
        <f t="shared" si="9"/>
        <v>0</v>
      </c>
      <c r="Q149" s="202"/>
      <c r="R149" s="19">
        <f t="shared" si="10"/>
        <v>0</v>
      </c>
      <c r="S149" s="202">
        <f t="shared" si="11"/>
        <v>0</v>
      </c>
      <c r="T149" s="20">
        <v>6</v>
      </c>
      <c r="U149" s="20"/>
      <c r="V149" s="20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200">
        <v>300399</v>
      </c>
      <c r="B150" s="197">
        <v>18501</v>
      </c>
      <c r="C150" s="230" t="s">
        <v>140</v>
      </c>
      <c r="D150" s="231"/>
      <c r="E150" s="204" t="s">
        <v>41</v>
      </c>
      <c r="F150" s="203"/>
      <c r="G150" s="133"/>
      <c r="H150" s="133"/>
      <c r="I150" s="133"/>
      <c r="J150" s="133"/>
      <c r="K150" s="202">
        <f t="shared" si="7"/>
        <v>0</v>
      </c>
      <c r="L150" s="202">
        <f t="shared" si="8"/>
        <v>0</v>
      </c>
      <c r="M150" s="202">
        <v>311.2</v>
      </c>
      <c r="N150" s="202">
        <f>+M150*1000/(100*4*16*60)*T150</f>
        <v>4.8624999999999998</v>
      </c>
      <c r="O150" s="202"/>
      <c r="P150" s="202">
        <f t="shared" si="9"/>
        <v>0</v>
      </c>
      <c r="Q150" s="202"/>
      <c r="R150" s="19">
        <f t="shared" si="10"/>
        <v>0</v>
      </c>
      <c r="S150" s="202">
        <f t="shared" si="11"/>
        <v>0</v>
      </c>
      <c r="T150" s="20">
        <v>6</v>
      </c>
      <c r="U150" s="20"/>
      <c r="V150" s="201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200">
        <v>300400</v>
      </c>
      <c r="B151" s="197">
        <v>18501</v>
      </c>
      <c r="C151" s="230" t="s">
        <v>140</v>
      </c>
      <c r="D151" s="231"/>
      <c r="E151" s="204" t="s">
        <v>66</v>
      </c>
      <c r="F151" s="203"/>
      <c r="G151" s="133"/>
      <c r="H151" s="133"/>
      <c r="I151" s="133"/>
      <c r="J151" s="133"/>
      <c r="K151" s="202">
        <f t="shared" si="7"/>
        <v>0</v>
      </c>
      <c r="L151" s="202">
        <f t="shared" si="8"/>
        <v>0</v>
      </c>
      <c r="M151" s="202">
        <v>311.2</v>
      </c>
      <c r="N151" s="202">
        <f>+M151*1000/(100*4*16*60)*T151</f>
        <v>4.8624999999999998</v>
      </c>
      <c r="O151" s="202"/>
      <c r="P151" s="202">
        <f t="shared" si="9"/>
        <v>0</v>
      </c>
      <c r="Q151" s="202"/>
      <c r="R151" s="19">
        <f t="shared" si="10"/>
        <v>0</v>
      </c>
      <c r="S151" s="202">
        <f t="shared" si="11"/>
        <v>0</v>
      </c>
      <c r="T151" s="20">
        <v>6</v>
      </c>
      <c r="U151" s="20"/>
      <c r="V151" s="201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200">
        <v>300401</v>
      </c>
      <c r="B152" s="197">
        <v>18501</v>
      </c>
      <c r="C152" s="230" t="s">
        <v>140</v>
      </c>
      <c r="D152" s="231"/>
      <c r="E152" s="204" t="s">
        <v>141</v>
      </c>
      <c r="F152" s="203"/>
      <c r="G152" s="133"/>
      <c r="H152" s="133"/>
      <c r="I152" s="133"/>
      <c r="J152" s="133"/>
      <c r="K152" s="202">
        <f t="shared" si="7"/>
        <v>0</v>
      </c>
      <c r="L152" s="202">
        <f t="shared" si="8"/>
        <v>0</v>
      </c>
      <c r="M152" s="202">
        <v>311.2</v>
      </c>
      <c r="N152" s="202">
        <f>+M152*1000/(100*4*16*60)*T152</f>
        <v>4.8624999999999998</v>
      </c>
      <c r="O152" s="202"/>
      <c r="P152" s="202">
        <f t="shared" si="9"/>
        <v>0</v>
      </c>
      <c r="Q152" s="202"/>
      <c r="R152" s="19">
        <f t="shared" si="10"/>
        <v>0</v>
      </c>
      <c r="S152" s="202">
        <f t="shared" si="11"/>
        <v>0</v>
      </c>
      <c r="T152" s="20">
        <v>6</v>
      </c>
      <c r="U152" s="20"/>
      <c r="V152" s="201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200">
        <v>300402</v>
      </c>
      <c r="B153" s="197">
        <v>18501</v>
      </c>
      <c r="C153" s="230" t="s">
        <v>142</v>
      </c>
      <c r="D153" s="231"/>
      <c r="E153" s="204" t="s">
        <v>143</v>
      </c>
      <c r="F153" s="203"/>
      <c r="G153" s="133"/>
      <c r="H153" s="133"/>
      <c r="I153" s="133"/>
      <c r="J153" s="133"/>
      <c r="K153" s="202">
        <f t="shared" si="7"/>
        <v>0</v>
      </c>
      <c r="L153" s="202">
        <f t="shared" si="8"/>
        <v>0</v>
      </c>
      <c r="M153" s="202">
        <v>465.3</v>
      </c>
      <c r="N153" s="202">
        <f>+M153*1000/(137*4*16*60)*T153</f>
        <v>5.3067974452554747</v>
      </c>
      <c r="O153" s="202"/>
      <c r="P153" s="202">
        <f t="shared" si="9"/>
        <v>0</v>
      </c>
      <c r="Q153" s="202"/>
      <c r="R153" s="19">
        <f t="shared" si="10"/>
        <v>0</v>
      </c>
      <c r="S153" s="202">
        <f t="shared" si="11"/>
        <v>0</v>
      </c>
      <c r="T153" s="20">
        <v>6</v>
      </c>
      <c r="U153" s="20"/>
      <c r="V153" s="201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200">
        <v>300403</v>
      </c>
      <c r="B154" s="197">
        <v>18501</v>
      </c>
      <c r="C154" s="230" t="s">
        <v>142</v>
      </c>
      <c r="D154" s="231"/>
      <c r="E154" s="204" t="s">
        <v>144</v>
      </c>
      <c r="F154" s="203"/>
      <c r="G154" s="133"/>
      <c r="H154" s="133"/>
      <c r="I154" s="133"/>
      <c r="J154" s="133"/>
      <c r="K154" s="202">
        <f t="shared" ref="K154:K198" si="15">G154*M154</f>
        <v>0</v>
      </c>
      <c r="L154" s="202">
        <f t="shared" ref="L154:L198" si="16">I154*M154</f>
        <v>0</v>
      </c>
      <c r="M154" s="202">
        <v>465.3</v>
      </c>
      <c r="N154" s="202">
        <f>+M154*1000/(137*4*16*60)*T154</f>
        <v>5.3067974452554747</v>
      </c>
      <c r="O154" s="202"/>
      <c r="P154" s="202">
        <f t="shared" ref="P154:P198" si="17">N154*I154+O154*U154</f>
        <v>0</v>
      </c>
      <c r="Q154" s="202"/>
      <c r="R154" s="19">
        <f t="shared" ref="R154:R198" si="18">Q154*U154</f>
        <v>0</v>
      </c>
      <c r="S154" s="202">
        <f t="shared" ref="S154:S198" si="19">R154-P154</f>
        <v>0</v>
      </c>
      <c r="T154" s="20">
        <v>6</v>
      </c>
      <c r="U154" s="20"/>
      <c r="V154" s="201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200">
        <v>300404</v>
      </c>
      <c r="B155" s="197">
        <v>18501</v>
      </c>
      <c r="C155" s="230" t="s">
        <v>142</v>
      </c>
      <c r="D155" s="231"/>
      <c r="E155" s="204" t="s">
        <v>70</v>
      </c>
      <c r="F155" s="203"/>
      <c r="G155" s="133"/>
      <c r="H155" s="133"/>
      <c r="I155" s="133"/>
      <c r="J155" s="133"/>
      <c r="K155" s="202">
        <f t="shared" si="15"/>
        <v>0</v>
      </c>
      <c r="L155" s="202">
        <f t="shared" si="16"/>
        <v>0</v>
      </c>
      <c r="M155" s="202">
        <v>465.3</v>
      </c>
      <c r="N155" s="202">
        <f>+M155*1000/(137*4*16*60)*T155</f>
        <v>5.3067974452554747</v>
      </c>
      <c r="O155" s="202"/>
      <c r="P155" s="202">
        <f t="shared" si="17"/>
        <v>0</v>
      </c>
      <c r="Q155" s="202"/>
      <c r="R155" s="19">
        <f t="shared" si="18"/>
        <v>0</v>
      </c>
      <c r="S155" s="202">
        <f t="shared" si="19"/>
        <v>0</v>
      </c>
      <c r="T155" s="20">
        <v>6</v>
      </c>
      <c r="U155" s="20"/>
      <c r="V155" s="201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200">
        <v>300405</v>
      </c>
      <c r="B156" s="197">
        <v>18501</v>
      </c>
      <c r="C156" s="230" t="s">
        <v>142</v>
      </c>
      <c r="D156" s="231"/>
      <c r="E156" s="204" t="s">
        <v>35</v>
      </c>
      <c r="F156" s="203"/>
      <c r="G156" s="133"/>
      <c r="H156" s="133"/>
      <c r="I156" s="133"/>
      <c r="J156" s="133"/>
      <c r="K156" s="202">
        <f t="shared" si="15"/>
        <v>0</v>
      </c>
      <c r="L156" s="202">
        <f t="shared" si="16"/>
        <v>0</v>
      </c>
      <c r="M156" s="202">
        <v>465.3</v>
      </c>
      <c r="N156" s="202">
        <f>+M156*1000/(137*4*16*60)*T156</f>
        <v>5.3067974452554747</v>
      </c>
      <c r="O156" s="202"/>
      <c r="P156" s="202">
        <f t="shared" si="17"/>
        <v>0</v>
      </c>
      <c r="Q156" s="202"/>
      <c r="R156" s="19">
        <f t="shared" si="18"/>
        <v>0</v>
      </c>
      <c r="S156" s="202">
        <f t="shared" si="19"/>
        <v>0</v>
      </c>
      <c r="T156" s="20">
        <v>6</v>
      </c>
      <c r="U156" s="20"/>
      <c r="V156" s="201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200">
        <v>300372</v>
      </c>
      <c r="B157" s="197">
        <v>18501</v>
      </c>
      <c r="C157" s="230" t="s">
        <v>145</v>
      </c>
      <c r="D157" s="231"/>
      <c r="E157" s="204" t="s">
        <v>47</v>
      </c>
      <c r="F157" s="203"/>
      <c r="G157" s="133"/>
      <c r="H157" s="133"/>
      <c r="I157" s="133"/>
      <c r="J157" s="133"/>
      <c r="K157" s="202">
        <f t="shared" si="15"/>
        <v>0</v>
      </c>
      <c r="L157" s="202">
        <f t="shared" si="16"/>
        <v>0</v>
      </c>
      <c r="M157" s="202">
        <v>420.58</v>
      </c>
      <c r="N157" s="202">
        <f>+M157*1000/(140*4*16*60)*T157</f>
        <v>4.6939732142857142</v>
      </c>
      <c r="O157" s="202"/>
      <c r="P157" s="202">
        <f t="shared" si="17"/>
        <v>0</v>
      </c>
      <c r="Q157" s="202"/>
      <c r="R157" s="19">
        <f t="shared" si="18"/>
        <v>0</v>
      </c>
      <c r="S157" s="202">
        <f t="shared" si="19"/>
        <v>0</v>
      </c>
      <c r="T157" s="20">
        <v>6</v>
      </c>
      <c r="U157" s="20"/>
      <c r="V157" s="201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200">
        <v>300373</v>
      </c>
      <c r="B158" s="197">
        <v>18501</v>
      </c>
      <c r="C158" s="230" t="s">
        <v>145</v>
      </c>
      <c r="D158" s="231"/>
      <c r="E158" s="204" t="s">
        <v>138</v>
      </c>
      <c r="F158" s="203"/>
      <c r="G158" s="133"/>
      <c r="H158" s="133"/>
      <c r="I158" s="133"/>
      <c r="J158" s="133"/>
      <c r="K158" s="202">
        <f t="shared" si="15"/>
        <v>0</v>
      </c>
      <c r="L158" s="202">
        <f t="shared" si="16"/>
        <v>0</v>
      </c>
      <c r="M158" s="202">
        <v>420.58</v>
      </c>
      <c r="N158" s="202">
        <f>+M158*1000/(140*4*16*60)*T158</f>
        <v>4.6939732142857142</v>
      </c>
      <c r="O158" s="202"/>
      <c r="P158" s="202">
        <f t="shared" si="17"/>
        <v>0</v>
      </c>
      <c r="Q158" s="202"/>
      <c r="R158" s="19">
        <f t="shared" si="18"/>
        <v>0</v>
      </c>
      <c r="S158" s="202">
        <f t="shared" si="19"/>
        <v>0</v>
      </c>
      <c r="T158" s="20">
        <v>6</v>
      </c>
      <c r="U158" s="20"/>
      <c r="V158" s="201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200">
        <v>300374</v>
      </c>
      <c r="B159" s="197">
        <v>18501</v>
      </c>
      <c r="C159" s="230" t="s">
        <v>145</v>
      </c>
      <c r="D159" s="231"/>
      <c r="E159" s="204" t="s">
        <v>139</v>
      </c>
      <c r="F159" s="203"/>
      <c r="G159" s="133"/>
      <c r="H159" s="133"/>
      <c r="I159" s="133"/>
      <c r="J159" s="133"/>
      <c r="K159" s="202">
        <f t="shared" si="15"/>
        <v>0</v>
      </c>
      <c r="L159" s="202">
        <f t="shared" si="16"/>
        <v>0</v>
      </c>
      <c r="M159" s="202">
        <v>420.58</v>
      </c>
      <c r="N159" s="202">
        <f>+M159*1000/(140*4*16*60)*T159</f>
        <v>4.6939732142857142</v>
      </c>
      <c r="O159" s="202"/>
      <c r="P159" s="202">
        <f t="shared" si="17"/>
        <v>0</v>
      </c>
      <c r="Q159" s="202"/>
      <c r="R159" s="19">
        <f t="shared" si="18"/>
        <v>0</v>
      </c>
      <c r="S159" s="202">
        <f t="shared" si="19"/>
        <v>0</v>
      </c>
      <c r="T159" s="20">
        <v>6</v>
      </c>
      <c r="U159" s="20"/>
      <c r="V159" s="201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200">
        <v>300375</v>
      </c>
      <c r="B160" s="197">
        <v>18501</v>
      </c>
      <c r="C160" s="230" t="s">
        <v>145</v>
      </c>
      <c r="D160" s="231"/>
      <c r="E160" s="204" t="s">
        <v>74</v>
      </c>
      <c r="F160" s="203"/>
      <c r="G160" s="133"/>
      <c r="H160" s="133"/>
      <c r="I160" s="133"/>
      <c r="J160" s="133"/>
      <c r="K160" s="202">
        <f t="shared" si="15"/>
        <v>0</v>
      </c>
      <c r="L160" s="202">
        <f t="shared" si="16"/>
        <v>0</v>
      </c>
      <c r="M160" s="202">
        <v>420.58</v>
      </c>
      <c r="N160" s="202">
        <f>+M160*1000/(140*4*16*60)*T160</f>
        <v>4.6939732142857142</v>
      </c>
      <c r="O160" s="202"/>
      <c r="P160" s="202">
        <f t="shared" si="17"/>
        <v>0</v>
      </c>
      <c r="Q160" s="202"/>
      <c r="R160" s="19">
        <f t="shared" si="18"/>
        <v>0</v>
      </c>
      <c r="S160" s="202">
        <f t="shared" si="19"/>
        <v>0</v>
      </c>
      <c r="T160" s="20">
        <v>6</v>
      </c>
      <c r="U160" s="20"/>
      <c r="V160" s="201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200">
        <v>300341</v>
      </c>
      <c r="B161" s="197">
        <v>18501</v>
      </c>
      <c r="C161" s="237" t="s">
        <v>146</v>
      </c>
      <c r="D161" s="238"/>
      <c r="E161" s="204" t="s">
        <v>39</v>
      </c>
      <c r="F161" s="203"/>
      <c r="G161" s="133"/>
      <c r="H161" s="133"/>
      <c r="I161" s="133"/>
      <c r="J161" s="133"/>
      <c r="K161" s="202">
        <f t="shared" si="15"/>
        <v>0</v>
      </c>
      <c r="L161" s="202">
        <f t="shared" si="16"/>
        <v>0</v>
      </c>
      <c r="M161" s="202">
        <v>439.3</v>
      </c>
      <c r="N161" s="202">
        <f t="shared" ref="N161:N167" si="20">+M161*1000/(169.7*4*13*60)*T161</f>
        <v>4.1485351223123761</v>
      </c>
      <c r="O161" s="202"/>
      <c r="P161" s="202">
        <f t="shared" si="17"/>
        <v>0</v>
      </c>
      <c r="Q161" s="202"/>
      <c r="R161" s="19">
        <f t="shared" si="18"/>
        <v>0</v>
      </c>
      <c r="S161" s="202">
        <f t="shared" si="19"/>
        <v>0</v>
      </c>
      <c r="T161" s="20">
        <v>5</v>
      </c>
      <c r="U161" s="20"/>
      <c r="V161" s="201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200">
        <v>300342</v>
      </c>
      <c r="B162" s="197">
        <v>18501</v>
      </c>
      <c r="C162" s="237" t="s">
        <v>146</v>
      </c>
      <c r="D162" s="238"/>
      <c r="E162" s="204" t="s">
        <v>80</v>
      </c>
      <c r="F162" s="203"/>
      <c r="G162" s="133"/>
      <c r="H162" s="133"/>
      <c r="I162" s="133"/>
      <c r="J162" s="133"/>
      <c r="K162" s="202">
        <f t="shared" si="15"/>
        <v>0</v>
      </c>
      <c r="L162" s="202">
        <f t="shared" si="16"/>
        <v>0</v>
      </c>
      <c r="M162" s="202">
        <v>439.3</v>
      </c>
      <c r="N162" s="202">
        <f t="shared" si="20"/>
        <v>4.1485351223123761</v>
      </c>
      <c r="O162" s="202"/>
      <c r="P162" s="202">
        <f t="shared" si="17"/>
        <v>0</v>
      </c>
      <c r="Q162" s="202"/>
      <c r="R162" s="19">
        <f t="shared" si="18"/>
        <v>0</v>
      </c>
      <c r="S162" s="202">
        <f t="shared" si="19"/>
        <v>0</v>
      </c>
      <c r="T162" s="20">
        <v>5</v>
      </c>
      <c r="U162" s="20"/>
      <c r="V162" s="201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200">
        <v>300343</v>
      </c>
      <c r="B163" s="197">
        <v>18501</v>
      </c>
      <c r="C163" s="237" t="s">
        <v>146</v>
      </c>
      <c r="D163" s="238"/>
      <c r="E163" s="204" t="s">
        <v>35</v>
      </c>
      <c r="F163" s="203"/>
      <c r="G163" s="133"/>
      <c r="H163" s="133"/>
      <c r="I163" s="133"/>
      <c r="J163" s="133"/>
      <c r="K163" s="202">
        <f t="shared" si="15"/>
        <v>0</v>
      </c>
      <c r="L163" s="202">
        <f t="shared" si="16"/>
        <v>0</v>
      </c>
      <c r="M163" s="202">
        <v>455.4</v>
      </c>
      <c r="N163" s="202">
        <f t="shared" si="20"/>
        <v>4.3005756765332483</v>
      </c>
      <c r="O163" s="202"/>
      <c r="P163" s="202">
        <f t="shared" si="17"/>
        <v>0</v>
      </c>
      <c r="Q163" s="202"/>
      <c r="R163" s="19">
        <f t="shared" si="18"/>
        <v>0</v>
      </c>
      <c r="S163" s="202">
        <f t="shared" si="19"/>
        <v>0</v>
      </c>
      <c r="T163" s="20">
        <v>5</v>
      </c>
      <c r="U163" s="20"/>
      <c r="V163" s="201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200">
        <v>300344</v>
      </c>
      <c r="B164" s="197">
        <v>18501</v>
      </c>
      <c r="C164" s="237" t="s">
        <v>146</v>
      </c>
      <c r="D164" s="238"/>
      <c r="E164" s="204" t="s">
        <v>40</v>
      </c>
      <c r="F164" s="203"/>
      <c r="G164" s="133"/>
      <c r="H164" s="133"/>
      <c r="I164" s="133"/>
      <c r="J164" s="133"/>
      <c r="K164" s="202">
        <f t="shared" si="15"/>
        <v>0</v>
      </c>
      <c r="L164" s="202">
        <f t="shared" si="16"/>
        <v>0</v>
      </c>
      <c r="M164" s="202">
        <v>455.4</v>
      </c>
      <c r="N164" s="202">
        <f t="shared" si="20"/>
        <v>4.3005756765332483</v>
      </c>
      <c r="O164" s="202"/>
      <c r="P164" s="202">
        <f t="shared" si="17"/>
        <v>0</v>
      </c>
      <c r="Q164" s="202"/>
      <c r="R164" s="19">
        <f t="shared" si="18"/>
        <v>0</v>
      </c>
      <c r="S164" s="202">
        <f t="shared" si="19"/>
        <v>0</v>
      </c>
      <c r="T164" s="20">
        <v>5</v>
      </c>
      <c r="U164" s="20"/>
      <c r="V164" s="201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200">
        <v>300396</v>
      </c>
      <c r="B165" s="197">
        <v>18501</v>
      </c>
      <c r="C165" s="237" t="s">
        <v>147</v>
      </c>
      <c r="D165" s="238"/>
      <c r="E165" s="204" t="s">
        <v>41</v>
      </c>
      <c r="F165" s="203"/>
      <c r="G165" s="133"/>
      <c r="H165" s="133"/>
      <c r="I165" s="133"/>
      <c r="J165" s="133"/>
      <c r="K165" s="202">
        <f t="shared" si="15"/>
        <v>0</v>
      </c>
      <c r="L165" s="202">
        <f t="shared" si="16"/>
        <v>0</v>
      </c>
      <c r="M165" s="202">
        <v>417.1</v>
      </c>
      <c r="N165" s="202">
        <f t="shared" si="20"/>
        <v>3.9388891407158937</v>
      </c>
      <c r="O165" s="202"/>
      <c r="P165" s="202">
        <f t="shared" si="17"/>
        <v>0</v>
      </c>
      <c r="Q165" s="202"/>
      <c r="R165" s="19">
        <f t="shared" si="18"/>
        <v>0</v>
      </c>
      <c r="S165" s="202">
        <f t="shared" si="19"/>
        <v>0</v>
      </c>
      <c r="T165" s="20">
        <v>5</v>
      </c>
      <c r="U165" s="20"/>
      <c r="V165" s="201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200">
        <v>300397</v>
      </c>
      <c r="B166" s="197">
        <v>18501</v>
      </c>
      <c r="C166" s="237" t="s">
        <v>147</v>
      </c>
      <c r="D166" s="238"/>
      <c r="E166" s="204" t="s">
        <v>66</v>
      </c>
      <c r="F166" s="203"/>
      <c r="G166" s="133"/>
      <c r="H166" s="133"/>
      <c r="I166" s="133"/>
      <c r="J166" s="133"/>
      <c r="K166" s="202">
        <f t="shared" si="15"/>
        <v>0</v>
      </c>
      <c r="L166" s="202">
        <f t="shared" si="16"/>
        <v>0</v>
      </c>
      <c r="M166" s="202">
        <v>417.1</v>
      </c>
      <c r="N166" s="202">
        <f t="shared" si="20"/>
        <v>3.9388891407158937</v>
      </c>
      <c r="O166" s="202"/>
      <c r="P166" s="202">
        <f t="shared" si="17"/>
        <v>0</v>
      </c>
      <c r="Q166" s="202"/>
      <c r="R166" s="19">
        <f t="shared" si="18"/>
        <v>0</v>
      </c>
      <c r="S166" s="202">
        <f t="shared" si="19"/>
        <v>0</v>
      </c>
      <c r="T166" s="20">
        <v>5</v>
      </c>
      <c r="U166" s="20"/>
      <c r="V166" s="201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200">
        <v>300398</v>
      </c>
      <c r="B167" s="197">
        <v>18501</v>
      </c>
      <c r="C167" s="237" t="s">
        <v>147</v>
      </c>
      <c r="D167" s="238"/>
      <c r="E167" s="204" t="s">
        <v>141</v>
      </c>
      <c r="F167" s="203"/>
      <c r="G167" s="133"/>
      <c r="H167" s="133"/>
      <c r="I167" s="133"/>
      <c r="J167" s="133"/>
      <c r="K167" s="202">
        <f t="shared" si="15"/>
        <v>0</v>
      </c>
      <c r="L167" s="202">
        <f t="shared" si="16"/>
        <v>0</v>
      </c>
      <c r="M167" s="202">
        <v>417.1</v>
      </c>
      <c r="N167" s="202">
        <f t="shared" si="20"/>
        <v>3.9388891407158937</v>
      </c>
      <c r="O167" s="202"/>
      <c r="P167" s="202">
        <f t="shared" si="17"/>
        <v>0</v>
      </c>
      <c r="Q167" s="202"/>
      <c r="R167" s="19">
        <f t="shared" si="18"/>
        <v>0</v>
      </c>
      <c r="S167" s="202">
        <f t="shared" si="19"/>
        <v>0</v>
      </c>
      <c r="T167" s="20">
        <v>5</v>
      </c>
      <c r="U167" s="20"/>
      <c r="V167" s="201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200">
        <v>300271</v>
      </c>
      <c r="B168" s="197">
        <v>18501</v>
      </c>
      <c r="C168" s="219" t="s">
        <v>148</v>
      </c>
      <c r="D168" s="219"/>
      <c r="E168" s="204" t="s">
        <v>134</v>
      </c>
      <c r="F168" s="203"/>
      <c r="G168" s="133"/>
      <c r="H168" s="133"/>
      <c r="I168" s="133"/>
      <c r="J168" s="133"/>
      <c r="K168" s="202">
        <f t="shared" si="15"/>
        <v>0</v>
      </c>
      <c r="L168" s="202">
        <f t="shared" si="16"/>
        <v>0</v>
      </c>
      <c r="M168" s="202">
        <v>580.1</v>
      </c>
      <c r="N168" s="202">
        <f>+M168*1000/(202*4*13*60)*T168</f>
        <v>3.6817720233561819</v>
      </c>
      <c r="O168" s="202"/>
      <c r="P168" s="202">
        <f t="shared" si="17"/>
        <v>0</v>
      </c>
      <c r="Q168" s="202"/>
      <c r="R168" s="19">
        <f t="shared" si="18"/>
        <v>0</v>
      </c>
      <c r="S168" s="202">
        <f t="shared" si="19"/>
        <v>0</v>
      </c>
      <c r="T168" s="20">
        <v>4</v>
      </c>
      <c r="U168" s="20"/>
      <c r="V168" s="20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200">
        <v>300009</v>
      </c>
      <c r="B169" s="197">
        <v>18501</v>
      </c>
      <c r="C169" s="219" t="s">
        <v>149</v>
      </c>
      <c r="D169" s="219" t="s">
        <v>150</v>
      </c>
      <c r="E169" s="204" t="s">
        <v>127</v>
      </c>
      <c r="F169" s="203" t="s">
        <v>322</v>
      </c>
      <c r="G169" s="133">
        <v>10</v>
      </c>
      <c r="H169" s="133">
        <v>0.625</v>
      </c>
      <c r="I169" s="133">
        <f>9+H169-J169/400</f>
        <v>9.3249999999999993</v>
      </c>
      <c r="J169" s="133">
        <v>120</v>
      </c>
      <c r="K169" s="202">
        <f t="shared" si="15"/>
        <v>5208</v>
      </c>
      <c r="L169" s="202">
        <f t="shared" si="16"/>
        <v>4856.4599999999991</v>
      </c>
      <c r="M169" s="202">
        <v>520.79999999999995</v>
      </c>
      <c r="N169" s="202">
        <f>+M169*1000/(188*4*13*60)*T169</f>
        <v>5.3273322422258591</v>
      </c>
      <c r="O169" s="202"/>
      <c r="P169" s="202">
        <f t="shared" si="17"/>
        <v>49.677373158756133</v>
      </c>
      <c r="Q169" s="202">
        <v>11</v>
      </c>
      <c r="R169" s="19">
        <f t="shared" si="18"/>
        <v>77</v>
      </c>
      <c r="S169" s="202">
        <f t="shared" si="19"/>
        <v>27.322626841243867</v>
      </c>
      <c r="T169" s="20">
        <v>6</v>
      </c>
      <c r="U169" s="20">
        <v>7</v>
      </c>
      <c r="V169" s="201">
        <f t="array" ref="V169">IF(ISERROR(L169/K169),"",L169/K169)</f>
        <v>0.93249999999999988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200">
        <v>300010</v>
      </c>
      <c r="B170" s="197">
        <v>18501</v>
      </c>
      <c r="C170" s="219" t="s">
        <v>149</v>
      </c>
      <c r="D170" s="219" t="s">
        <v>150</v>
      </c>
      <c r="E170" s="204" t="s">
        <v>80</v>
      </c>
      <c r="F170" s="27"/>
      <c r="G170" s="133"/>
      <c r="H170" s="133"/>
      <c r="I170" s="133"/>
      <c r="J170" s="133"/>
      <c r="K170" s="202">
        <f t="shared" si="15"/>
        <v>0</v>
      </c>
      <c r="L170" s="202">
        <f t="shared" si="16"/>
        <v>0</v>
      </c>
      <c r="M170" s="202">
        <v>530.9</v>
      </c>
      <c r="N170" s="202">
        <f>+M170*1000/(188*4*13*60)*T170</f>
        <v>4.5255387343153304</v>
      </c>
      <c r="O170" s="202"/>
      <c r="P170" s="202">
        <f t="shared" si="17"/>
        <v>0</v>
      </c>
      <c r="Q170" s="202"/>
      <c r="R170" s="19">
        <f t="shared" si="18"/>
        <v>0</v>
      </c>
      <c r="S170" s="202">
        <f t="shared" si="19"/>
        <v>0</v>
      </c>
      <c r="T170" s="20">
        <v>5</v>
      </c>
      <c r="U170" s="20"/>
      <c r="V170" s="20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200">
        <v>300305</v>
      </c>
      <c r="B171" s="197">
        <v>18501</v>
      </c>
      <c r="C171" s="219" t="s">
        <v>151</v>
      </c>
      <c r="D171" s="219" t="s">
        <v>152</v>
      </c>
      <c r="E171" s="204" t="s">
        <v>57</v>
      </c>
      <c r="F171" s="27"/>
      <c r="G171" s="133"/>
      <c r="H171" s="133"/>
      <c r="I171" s="133"/>
      <c r="J171" s="133"/>
      <c r="K171" s="202">
        <f t="shared" si="15"/>
        <v>0</v>
      </c>
      <c r="L171" s="202">
        <f t="shared" si="16"/>
        <v>0</v>
      </c>
      <c r="M171" s="202">
        <v>530.20000000000005</v>
      </c>
      <c r="N171" s="202">
        <f t="shared" ref="N171:N176" si="21">+M171*1000/(202*4*13*60)*T171</f>
        <v>4.2063340949479562</v>
      </c>
      <c r="O171" s="202"/>
      <c r="P171" s="202">
        <f t="shared" si="17"/>
        <v>0</v>
      </c>
      <c r="Q171" s="202"/>
      <c r="R171" s="19">
        <f t="shared" si="18"/>
        <v>0</v>
      </c>
      <c r="S171" s="202">
        <f t="shared" si="19"/>
        <v>0</v>
      </c>
      <c r="T171" s="20">
        <v>5</v>
      </c>
      <c r="U171" s="20"/>
      <c r="V171" s="20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200">
        <v>300306</v>
      </c>
      <c r="B172" s="197">
        <v>18501</v>
      </c>
      <c r="C172" s="219" t="s">
        <v>151</v>
      </c>
      <c r="D172" s="219" t="s">
        <v>152</v>
      </c>
      <c r="E172" s="204" t="s">
        <v>109</v>
      </c>
      <c r="F172" s="27"/>
      <c r="G172" s="133"/>
      <c r="H172" s="133"/>
      <c r="I172" s="133"/>
      <c r="J172" s="133"/>
      <c r="K172" s="202">
        <f t="shared" si="15"/>
        <v>0</v>
      </c>
      <c r="L172" s="202">
        <f t="shared" si="16"/>
        <v>0</v>
      </c>
      <c r="M172" s="202">
        <v>538.79999999999995</v>
      </c>
      <c r="N172" s="202">
        <f t="shared" si="21"/>
        <v>4.2745620715917747</v>
      </c>
      <c r="O172" s="202"/>
      <c r="P172" s="202">
        <f t="shared" si="17"/>
        <v>0</v>
      </c>
      <c r="Q172" s="202"/>
      <c r="R172" s="19">
        <f t="shared" si="18"/>
        <v>0</v>
      </c>
      <c r="S172" s="202">
        <f t="shared" si="19"/>
        <v>0</v>
      </c>
      <c r="T172" s="20">
        <v>5</v>
      </c>
      <c r="U172" s="20"/>
      <c r="V172" s="20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200">
        <v>300307</v>
      </c>
      <c r="B173" s="197">
        <v>18501</v>
      </c>
      <c r="C173" s="219" t="s">
        <v>151</v>
      </c>
      <c r="D173" s="219" t="s">
        <v>152</v>
      </c>
      <c r="E173" s="204" t="s">
        <v>125</v>
      </c>
      <c r="F173" s="27"/>
      <c r="G173" s="133"/>
      <c r="H173" s="133"/>
      <c r="I173" s="133"/>
      <c r="J173" s="133"/>
      <c r="K173" s="202">
        <f t="shared" si="15"/>
        <v>0</v>
      </c>
      <c r="L173" s="202">
        <f t="shared" si="16"/>
        <v>0</v>
      </c>
      <c r="M173" s="202">
        <v>569</v>
      </c>
      <c r="N173" s="202">
        <f t="shared" si="21"/>
        <v>4.5141533384107637</v>
      </c>
      <c r="O173" s="202"/>
      <c r="P173" s="202">
        <f t="shared" si="17"/>
        <v>0</v>
      </c>
      <c r="Q173" s="202"/>
      <c r="R173" s="19">
        <f t="shared" si="18"/>
        <v>0</v>
      </c>
      <c r="S173" s="202">
        <f t="shared" si="19"/>
        <v>0</v>
      </c>
      <c r="T173" s="20">
        <v>5</v>
      </c>
      <c r="U173" s="20"/>
      <c r="V173" s="20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200">
        <v>300308</v>
      </c>
      <c r="B174" s="197">
        <v>18501</v>
      </c>
      <c r="C174" s="219" t="s">
        <v>151</v>
      </c>
      <c r="D174" s="219" t="s">
        <v>152</v>
      </c>
      <c r="E174" s="204" t="s">
        <v>124</v>
      </c>
      <c r="F174" s="27"/>
      <c r="G174" s="133"/>
      <c r="H174" s="133"/>
      <c r="I174" s="133"/>
      <c r="J174" s="133"/>
      <c r="K174" s="202">
        <f t="shared" si="15"/>
        <v>0</v>
      </c>
      <c r="L174" s="202">
        <f t="shared" si="16"/>
        <v>0</v>
      </c>
      <c r="M174" s="202">
        <v>523.6</v>
      </c>
      <c r="N174" s="202">
        <f t="shared" si="21"/>
        <v>4.1539730896166542</v>
      </c>
      <c r="O174" s="202"/>
      <c r="P174" s="202">
        <f t="shared" si="17"/>
        <v>0</v>
      </c>
      <c r="Q174" s="202"/>
      <c r="R174" s="19">
        <f t="shared" si="18"/>
        <v>0</v>
      </c>
      <c r="S174" s="202">
        <f t="shared" si="19"/>
        <v>0</v>
      </c>
      <c r="T174" s="20">
        <v>5</v>
      </c>
      <c r="U174" s="20"/>
      <c r="V174" s="20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200">
        <v>300182</v>
      </c>
      <c r="B175" s="197">
        <v>18501</v>
      </c>
      <c r="C175" s="219" t="s">
        <v>153</v>
      </c>
      <c r="D175" s="219" t="s">
        <v>152</v>
      </c>
      <c r="E175" s="204" t="s">
        <v>80</v>
      </c>
      <c r="F175" s="27"/>
      <c r="G175" s="133"/>
      <c r="H175" s="133"/>
      <c r="I175" s="133"/>
      <c r="J175" s="133"/>
      <c r="K175" s="202">
        <f t="shared" si="15"/>
        <v>0</v>
      </c>
      <c r="L175" s="202">
        <f t="shared" si="16"/>
        <v>0</v>
      </c>
      <c r="M175" s="202">
        <v>649.1</v>
      </c>
      <c r="N175" s="202">
        <f t="shared" si="21"/>
        <v>5.1496255394770252</v>
      </c>
      <c r="O175" s="202"/>
      <c r="P175" s="202">
        <f t="shared" si="17"/>
        <v>0</v>
      </c>
      <c r="Q175" s="202"/>
      <c r="R175" s="19">
        <f t="shared" si="18"/>
        <v>0</v>
      </c>
      <c r="S175" s="202">
        <f t="shared" si="19"/>
        <v>0</v>
      </c>
      <c r="T175" s="20">
        <v>5</v>
      </c>
      <c r="U175" s="20"/>
      <c r="V175" s="20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200">
        <v>300185</v>
      </c>
      <c r="B176" s="197">
        <v>18501</v>
      </c>
      <c r="C176" s="219" t="s">
        <v>153</v>
      </c>
      <c r="D176" s="219" t="s">
        <v>152</v>
      </c>
      <c r="E176" s="204" t="s">
        <v>127</v>
      </c>
      <c r="F176" s="27"/>
      <c r="G176" s="133"/>
      <c r="H176" s="133"/>
      <c r="I176" s="133"/>
      <c r="J176" s="133"/>
      <c r="K176" s="202">
        <f t="shared" si="15"/>
        <v>0</v>
      </c>
      <c r="L176" s="202">
        <f t="shared" si="16"/>
        <v>0</v>
      </c>
      <c r="M176" s="202">
        <v>638</v>
      </c>
      <c r="N176" s="202">
        <f t="shared" si="21"/>
        <v>6.0738766184310737</v>
      </c>
      <c r="O176" s="202"/>
      <c r="P176" s="202">
        <f t="shared" si="17"/>
        <v>0</v>
      </c>
      <c r="Q176" s="202"/>
      <c r="R176" s="19">
        <f t="shared" si="18"/>
        <v>0</v>
      </c>
      <c r="S176" s="202">
        <f t="shared" si="19"/>
        <v>0</v>
      </c>
      <c r="T176" s="20">
        <v>6</v>
      </c>
      <c r="U176" s="20"/>
      <c r="V176" s="20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200">
        <v>300272</v>
      </c>
      <c r="B177" s="197">
        <v>18502</v>
      </c>
      <c r="C177" s="219" t="s">
        <v>154</v>
      </c>
      <c r="D177" s="219"/>
      <c r="E177" s="204" t="s">
        <v>42</v>
      </c>
      <c r="F177" s="27"/>
      <c r="G177" s="133"/>
      <c r="H177" s="133"/>
      <c r="I177" s="133"/>
      <c r="J177" s="133"/>
      <c r="K177" s="202">
        <f t="shared" si="15"/>
        <v>0</v>
      </c>
      <c r="L177" s="202">
        <f t="shared" si="16"/>
        <v>0</v>
      </c>
      <c r="M177" s="202">
        <v>523.9</v>
      </c>
      <c r="N177" s="202">
        <f>+M177*1000/(128*4*13*60)*T177</f>
        <v>5.247395833333333</v>
      </c>
      <c r="O177" s="202"/>
      <c r="P177" s="202">
        <f t="shared" si="17"/>
        <v>0</v>
      </c>
      <c r="Q177" s="202"/>
      <c r="R177" s="19">
        <f t="shared" si="18"/>
        <v>0</v>
      </c>
      <c r="S177" s="202">
        <f t="shared" si="19"/>
        <v>0</v>
      </c>
      <c r="T177" s="20">
        <v>4</v>
      </c>
      <c r="U177" s="20"/>
      <c r="V177" s="20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200">
        <v>300273</v>
      </c>
      <c r="B178" s="197">
        <v>18502</v>
      </c>
      <c r="C178" s="219" t="s">
        <v>154</v>
      </c>
      <c r="D178" s="219"/>
      <c r="E178" s="204" t="s">
        <v>155</v>
      </c>
      <c r="F178" s="27"/>
      <c r="G178" s="133"/>
      <c r="H178" s="133"/>
      <c r="I178" s="133"/>
      <c r="J178" s="133"/>
      <c r="K178" s="202">
        <f t="shared" si="15"/>
        <v>0</v>
      </c>
      <c r="L178" s="202">
        <f t="shared" si="16"/>
        <v>0</v>
      </c>
      <c r="M178" s="202">
        <v>523.9</v>
      </c>
      <c r="N178" s="202">
        <f>+M178*1000/(128*4*13*60)*T178</f>
        <v>6.5592447916666661</v>
      </c>
      <c r="O178" s="202"/>
      <c r="P178" s="202">
        <f t="shared" si="17"/>
        <v>0</v>
      </c>
      <c r="Q178" s="202"/>
      <c r="R178" s="19">
        <f t="shared" si="18"/>
        <v>0</v>
      </c>
      <c r="S178" s="202">
        <f t="shared" si="19"/>
        <v>0</v>
      </c>
      <c r="T178" s="20">
        <v>5</v>
      </c>
      <c r="U178" s="20"/>
      <c r="V178" s="20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200">
        <v>300274</v>
      </c>
      <c r="B179" s="197">
        <v>18502</v>
      </c>
      <c r="C179" s="219" t="s">
        <v>154</v>
      </c>
      <c r="D179" s="219"/>
      <c r="E179" s="204" t="s">
        <v>138</v>
      </c>
      <c r="F179" s="27"/>
      <c r="G179" s="133"/>
      <c r="H179" s="133"/>
      <c r="I179" s="133"/>
      <c r="J179" s="133"/>
      <c r="K179" s="202">
        <f t="shared" si="15"/>
        <v>0</v>
      </c>
      <c r="L179" s="202">
        <f t="shared" si="16"/>
        <v>0</v>
      </c>
      <c r="M179" s="202">
        <v>523.9</v>
      </c>
      <c r="N179" s="202">
        <f>+M179*1000/(128*4*13*60)*T179</f>
        <v>5.247395833333333</v>
      </c>
      <c r="O179" s="202"/>
      <c r="P179" s="202">
        <f t="shared" si="17"/>
        <v>0</v>
      </c>
      <c r="Q179" s="202"/>
      <c r="R179" s="19">
        <f t="shared" si="18"/>
        <v>0</v>
      </c>
      <c r="S179" s="202">
        <f t="shared" si="19"/>
        <v>0</v>
      </c>
      <c r="T179" s="20">
        <v>4</v>
      </c>
      <c r="U179" s="20"/>
      <c r="V179" s="20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200">
        <v>300275</v>
      </c>
      <c r="B180" s="197">
        <v>18502</v>
      </c>
      <c r="C180" s="219" t="s">
        <v>154</v>
      </c>
      <c r="D180" s="219"/>
      <c r="E180" s="204" t="s">
        <v>156</v>
      </c>
      <c r="F180" s="27"/>
      <c r="G180" s="133"/>
      <c r="H180" s="133"/>
      <c r="I180" s="133"/>
      <c r="J180" s="133"/>
      <c r="K180" s="202">
        <f t="shared" si="15"/>
        <v>0</v>
      </c>
      <c r="L180" s="202">
        <f t="shared" si="16"/>
        <v>0</v>
      </c>
      <c r="M180" s="202">
        <v>523.9</v>
      </c>
      <c r="N180" s="202">
        <f>+M180*1000/(128*4*13*60)*T180</f>
        <v>5.247395833333333</v>
      </c>
      <c r="O180" s="202"/>
      <c r="P180" s="202">
        <f t="shared" si="17"/>
        <v>0</v>
      </c>
      <c r="Q180" s="202"/>
      <c r="R180" s="19">
        <f t="shared" si="18"/>
        <v>0</v>
      </c>
      <c r="S180" s="202">
        <f t="shared" si="19"/>
        <v>0</v>
      </c>
      <c r="T180" s="20">
        <v>4</v>
      </c>
      <c r="U180" s="20"/>
      <c r="V180" s="20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200">
        <v>300285</v>
      </c>
      <c r="B181" s="197">
        <v>13001</v>
      </c>
      <c r="C181" s="219" t="s">
        <v>157</v>
      </c>
      <c r="D181" s="219"/>
      <c r="E181" s="204" t="s">
        <v>37</v>
      </c>
      <c r="F181" s="27"/>
      <c r="G181" s="133"/>
      <c r="H181" s="133"/>
      <c r="I181" s="133"/>
      <c r="J181" s="133"/>
      <c r="K181" s="202">
        <f t="shared" si="15"/>
        <v>0</v>
      </c>
      <c r="L181" s="202">
        <f t="shared" si="16"/>
        <v>0</v>
      </c>
      <c r="M181" s="202">
        <v>438.7</v>
      </c>
      <c r="N181" s="202">
        <f t="shared" ref="N181:N186" si="22">+M181*1000/(90*4*18*60)*T181</f>
        <v>5.6417181069958842</v>
      </c>
      <c r="O181" s="202"/>
      <c r="P181" s="202">
        <f t="shared" si="17"/>
        <v>0</v>
      </c>
      <c r="Q181" s="202"/>
      <c r="R181" s="19">
        <f t="shared" si="18"/>
        <v>0</v>
      </c>
      <c r="S181" s="202">
        <f t="shared" si="19"/>
        <v>0</v>
      </c>
      <c r="T181" s="20">
        <v>5</v>
      </c>
      <c r="U181" s="20"/>
      <c r="V181" s="20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200">
        <v>300287</v>
      </c>
      <c r="B182" s="197">
        <v>13001</v>
      </c>
      <c r="C182" s="219" t="s">
        <v>157</v>
      </c>
      <c r="D182" s="219"/>
      <c r="E182" s="204" t="s">
        <v>57</v>
      </c>
      <c r="F182" s="27"/>
      <c r="G182" s="133"/>
      <c r="H182" s="133"/>
      <c r="I182" s="133"/>
      <c r="J182" s="133"/>
      <c r="K182" s="202">
        <f t="shared" si="15"/>
        <v>0</v>
      </c>
      <c r="L182" s="202">
        <f t="shared" si="16"/>
        <v>0</v>
      </c>
      <c r="M182" s="202">
        <v>438.7</v>
      </c>
      <c r="N182" s="202">
        <f t="shared" si="22"/>
        <v>5.6417181069958842</v>
      </c>
      <c r="O182" s="202"/>
      <c r="P182" s="202">
        <f t="shared" si="17"/>
        <v>0</v>
      </c>
      <c r="Q182" s="202"/>
      <c r="R182" s="19">
        <f t="shared" si="18"/>
        <v>0</v>
      </c>
      <c r="S182" s="202">
        <f t="shared" si="19"/>
        <v>0</v>
      </c>
      <c r="T182" s="20">
        <v>5</v>
      </c>
      <c r="U182" s="20"/>
      <c r="V182" s="20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200">
        <v>300284</v>
      </c>
      <c r="B183" s="197">
        <v>13001</v>
      </c>
      <c r="C183" s="219" t="s">
        <v>157</v>
      </c>
      <c r="D183" s="219"/>
      <c r="E183" s="204" t="s">
        <v>41</v>
      </c>
      <c r="F183" s="27"/>
      <c r="G183" s="133"/>
      <c r="H183" s="133"/>
      <c r="I183" s="133"/>
      <c r="J183" s="133"/>
      <c r="K183" s="202">
        <f t="shared" si="15"/>
        <v>0</v>
      </c>
      <c r="L183" s="202">
        <f t="shared" si="16"/>
        <v>0</v>
      </c>
      <c r="M183" s="202">
        <v>438.7</v>
      </c>
      <c r="N183" s="202">
        <f t="shared" si="22"/>
        <v>5.6417181069958842</v>
      </c>
      <c r="O183" s="202"/>
      <c r="P183" s="202">
        <f t="shared" si="17"/>
        <v>0</v>
      </c>
      <c r="Q183" s="202"/>
      <c r="R183" s="19">
        <f t="shared" si="18"/>
        <v>0</v>
      </c>
      <c r="S183" s="202">
        <f t="shared" si="19"/>
        <v>0</v>
      </c>
      <c r="T183" s="20">
        <v>5</v>
      </c>
      <c r="U183" s="20"/>
      <c r="V183" s="20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200">
        <v>300283</v>
      </c>
      <c r="B184" s="197">
        <v>13001</v>
      </c>
      <c r="C184" s="219" t="s">
        <v>157</v>
      </c>
      <c r="D184" s="219"/>
      <c r="E184" s="204" t="s">
        <v>35</v>
      </c>
      <c r="F184" s="27"/>
      <c r="G184" s="133"/>
      <c r="H184" s="133"/>
      <c r="I184" s="133"/>
      <c r="J184" s="133"/>
      <c r="K184" s="198">
        <f t="shared" si="15"/>
        <v>0</v>
      </c>
      <c r="L184" s="198">
        <f t="shared" si="16"/>
        <v>0</v>
      </c>
      <c r="M184" s="202">
        <v>438.7</v>
      </c>
      <c r="N184" s="202">
        <f t="shared" si="22"/>
        <v>5.6417181069958842</v>
      </c>
      <c r="O184" s="198"/>
      <c r="P184" s="202">
        <f t="shared" si="17"/>
        <v>0</v>
      </c>
      <c r="Q184" s="202"/>
      <c r="R184" s="19">
        <f t="shared" si="18"/>
        <v>0</v>
      </c>
      <c r="S184" s="202">
        <f t="shared" si="19"/>
        <v>0</v>
      </c>
      <c r="T184" s="20">
        <v>5</v>
      </c>
      <c r="U184" s="20"/>
      <c r="V184" s="20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200">
        <v>300289</v>
      </c>
      <c r="B185" s="197">
        <v>13001</v>
      </c>
      <c r="C185" s="219" t="s">
        <v>157</v>
      </c>
      <c r="D185" s="219"/>
      <c r="E185" s="204" t="s">
        <v>66</v>
      </c>
      <c r="F185" s="27"/>
      <c r="G185" s="133"/>
      <c r="H185" s="133"/>
      <c r="I185" s="133"/>
      <c r="J185" s="133"/>
      <c r="K185" s="198">
        <f t="shared" si="15"/>
        <v>0</v>
      </c>
      <c r="L185" s="198">
        <f t="shared" si="16"/>
        <v>0</v>
      </c>
      <c r="M185" s="202">
        <v>438.7</v>
      </c>
      <c r="N185" s="202">
        <f t="shared" si="22"/>
        <v>5.6417181069958842</v>
      </c>
      <c r="O185" s="198"/>
      <c r="P185" s="202">
        <f t="shared" si="17"/>
        <v>0</v>
      </c>
      <c r="Q185" s="202"/>
      <c r="R185" s="19">
        <f t="shared" si="18"/>
        <v>0</v>
      </c>
      <c r="S185" s="202">
        <f t="shared" si="19"/>
        <v>0</v>
      </c>
      <c r="T185" s="20">
        <v>5</v>
      </c>
      <c r="U185" s="20"/>
      <c r="V185" s="20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200">
        <v>300288</v>
      </c>
      <c r="B186" s="197">
        <v>13001</v>
      </c>
      <c r="C186" s="219" t="s">
        <v>157</v>
      </c>
      <c r="D186" s="219"/>
      <c r="E186" s="204" t="s">
        <v>158</v>
      </c>
      <c r="F186" s="27"/>
      <c r="G186" s="133"/>
      <c r="H186" s="133"/>
      <c r="I186" s="133"/>
      <c r="J186" s="133"/>
      <c r="K186" s="202">
        <f t="shared" si="15"/>
        <v>0</v>
      </c>
      <c r="L186" s="202">
        <f t="shared" si="16"/>
        <v>0</v>
      </c>
      <c r="M186" s="202">
        <v>438.7</v>
      </c>
      <c r="N186" s="202">
        <f t="shared" si="22"/>
        <v>5.6417181069958842</v>
      </c>
      <c r="O186" s="202"/>
      <c r="P186" s="202">
        <f t="shared" si="17"/>
        <v>0</v>
      </c>
      <c r="Q186" s="202"/>
      <c r="R186" s="19">
        <f t="shared" si="18"/>
        <v>0</v>
      </c>
      <c r="S186" s="202">
        <f t="shared" si="19"/>
        <v>0</v>
      </c>
      <c r="T186" s="20">
        <v>5</v>
      </c>
      <c r="U186" s="20"/>
      <c r="V186" s="20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99">
        <v>300355</v>
      </c>
      <c r="B187" s="197" t="s">
        <v>159</v>
      </c>
      <c r="C187" s="230" t="s">
        <v>160</v>
      </c>
      <c r="D187" s="231"/>
      <c r="E187" s="33" t="s">
        <v>35</v>
      </c>
      <c r="F187" s="27"/>
      <c r="G187" s="133"/>
      <c r="H187" s="133"/>
      <c r="I187" s="133"/>
      <c r="J187" s="133"/>
      <c r="K187" s="198">
        <f t="shared" si="15"/>
        <v>0</v>
      </c>
      <c r="L187" s="202">
        <f t="shared" si="16"/>
        <v>0</v>
      </c>
      <c r="M187" s="202">
        <v>438</v>
      </c>
      <c r="N187" s="202">
        <f>+M187*1000/(110*4*18*60)*T187</f>
        <v>4.6085858585858581</v>
      </c>
      <c r="O187" s="202"/>
      <c r="P187" s="202">
        <f t="shared" si="17"/>
        <v>0</v>
      </c>
      <c r="Q187" s="202"/>
      <c r="R187" s="19">
        <f t="shared" si="18"/>
        <v>0</v>
      </c>
      <c r="S187" s="202">
        <f t="shared" si="19"/>
        <v>0</v>
      </c>
      <c r="T187" s="20">
        <v>5</v>
      </c>
      <c r="U187" s="20"/>
      <c r="V187" s="20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99">
        <v>300356</v>
      </c>
      <c r="B188" s="197" t="s">
        <v>161</v>
      </c>
      <c r="C188" s="230" t="s">
        <v>160</v>
      </c>
      <c r="D188" s="231"/>
      <c r="E188" s="205" t="s">
        <v>41</v>
      </c>
      <c r="F188" s="27"/>
      <c r="G188" s="133"/>
      <c r="H188" s="133"/>
      <c r="I188" s="133"/>
      <c r="J188" s="133"/>
      <c r="K188" s="198">
        <f t="shared" si="15"/>
        <v>0</v>
      </c>
      <c r="L188" s="202">
        <f t="shared" si="16"/>
        <v>0</v>
      </c>
      <c r="M188" s="202">
        <v>438</v>
      </c>
      <c r="N188" s="202">
        <f>+M188*1000/(110*4*18*60)*T188</f>
        <v>4.6085858585858581</v>
      </c>
      <c r="O188" s="202"/>
      <c r="P188" s="202">
        <f t="shared" si="17"/>
        <v>0</v>
      </c>
      <c r="Q188" s="202"/>
      <c r="R188" s="19">
        <f t="shared" si="18"/>
        <v>0</v>
      </c>
      <c r="S188" s="202">
        <f t="shared" si="19"/>
        <v>0</v>
      </c>
      <c r="T188" s="20">
        <v>5</v>
      </c>
      <c r="U188" s="20"/>
      <c r="V188" s="20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99">
        <v>300357</v>
      </c>
      <c r="B189" s="197" t="s">
        <v>162</v>
      </c>
      <c r="C189" s="230" t="s">
        <v>160</v>
      </c>
      <c r="D189" s="231"/>
      <c r="E189" s="205" t="s">
        <v>37</v>
      </c>
      <c r="F189" s="27"/>
      <c r="G189" s="133"/>
      <c r="H189" s="133"/>
      <c r="I189" s="133"/>
      <c r="J189" s="133"/>
      <c r="K189" s="198">
        <f t="shared" si="15"/>
        <v>0</v>
      </c>
      <c r="L189" s="202">
        <f t="shared" si="16"/>
        <v>0</v>
      </c>
      <c r="M189" s="202">
        <v>438</v>
      </c>
      <c r="N189" s="202">
        <f>+M189*1000/(110*4*18*60)*T189</f>
        <v>4.6085858585858581</v>
      </c>
      <c r="O189" s="202"/>
      <c r="P189" s="202">
        <f t="shared" si="17"/>
        <v>0</v>
      </c>
      <c r="Q189" s="202"/>
      <c r="R189" s="19">
        <f t="shared" si="18"/>
        <v>0</v>
      </c>
      <c r="S189" s="202">
        <f t="shared" si="19"/>
        <v>0</v>
      </c>
      <c r="T189" s="20">
        <v>5</v>
      </c>
      <c r="U189" s="20"/>
      <c r="V189" s="20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99">
        <v>300358</v>
      </c>
      <c r="B190" s="197" t="s">
        <v>163</v>
      </c>
      <c r="C190" s="230" t="s">
        <v>160</v>
      </c>
      <c r="D190" s="231"/>
      <c r="E190" s="205" t="s">
        <v>66</v>
      </c>
      <c r="F190" s="27"/>
      <c r="G190" s="133"/>
      <c r="H190" s="133"/>
      <c r="I190" s="133"/>
      <c r="J190" s="133"/>
      <c r="K190" s="198">
        <f t="shared" si="15"/>
        <v>0</v>
      </c>
      <c r="L190" s="202">
        <f t="shared" si="16"/>
        <v>0</v>
      </c>
      <c r="M190" s="202">
        <v>438</v>
      </c>
      <c r="N190" s="202">
        <f>+M190*1000/(110*4*18*60)*T190</f>
        <v>4.6085858585858581</v>
      </c>
      <c r="O190" s="202"/>
      <c r="P190" s="202">
        <f t="shared" si="17"/>
        <v>0</v>
      </c>
      <c r="Q190" s="202"/>
      <c r="R190" s="19">
        <f t="shared" si="18"/>
        <v>0</v>
      </c>
      <c r="S190" s="202">
        <f t="shared" si="19"/>
        <v>0</v>
      </c>
      <c r="T190" s="20">
        <v>5</v>
      </c>
      <c r="U190" s="20"/>
      <c r="V190" s="20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s="2" customFormat="1" ht="21.95" customHeight="1">
      <c r="A191" s="200">
        <v>300438</v>
      </c>
      <c r="B191" s="197">
        <v>13002</v>
      </c>
      <c r="C191" s="219" t="s">
        <v>304</v>
      </c>
      <c r="D191" s="219" t="s">
        <v>89</v>
      </c>
      <c r="E191" s="204" t="s">
        <v>35</v>
      </c>
      <c r="F191" s="203">
        <v>2055</v>
      </c>
      <c r="G191" s="133">
        <v>9</v>
      </c>
      <c r="H191" s="133">
        <v>0.66666666666666663</v>
      </c>
      <c r="I191" s="133">
        <f>8+H191-J191/300</f>
        <v>8.5666666666666664</v>
      </c>
      <c r="J191" s="133">
        <v>30</v>
      </c>
      <c r="K191" s="202">
        <f t="shared" si="15"/>
        <v>3029.4</v>
      </c>
      <c r="L191" s="202">
        <f t="shared" si="16"/>
        <v>2883.54</v>
      </c>
      <c r="M191" s="202">
        <v>336.6</v>
      </c>
      <c r="N191" s="202">
        <f>+M191*1000/(45*10*18*60)*T191</f>
        <v>2.7703703703703701</v>
      </c>
      <c r="O191" s="202"/>
      <c r="P191" s="202">
        <f t="shared" si="17"/>
        <v>23.732839506172837</v>
      </c>
      <c r="Q191" s="202">
        <v>11</v>
      </c>
      <c r="R191" s="19">
        <f t="shared" si="18"/>
        <v>44</v>
      </c>
      <c r="S191" s="202">
        <f t="shared" si="19"/>
        <v>20.267160493827163</v>
      </c>
      <c r="T191" s="20">
        <v>4</v>
      </c>
      <c r="U191" s="20">
        <v>4</v>
      </c>
      <c r="V191" s="201">
        <f t="array" ref="V191">IF(ISERROR(L191/K191),"",L191/K191)</f>
        <v>0.95185185185185184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201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201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201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20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20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20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20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70.41</v>
      </c>
      <c r="H199" s="182">
        <f t="array" ref="H199">SUM(IF(ISERROR(H6:H198),“”,H6:H198))</f>
        <v>4.1107142857142858</v>
      </c>
      <c r="I199" s="182">
        <f t="array" ref="I199">SUM(IF(ISERROR(I6:I198),“”,I6:I198))</f>
        <v>68.544047619047618</v>
      </c>
      <c r="J199" s="182">
        <f t="array" ref="J199">SUM(IF(ISERROR(J6:J198),“”,J6:J198))</f>
        <v>1130</v>
      </c>
      <c r="K199" s="182">
        <f t="array" ref="K199">SUM(IF(ISERROR(K6:K198),“”,K6:K198))</f>
        <v>31939.884999999995</v>
      </c>
      <c r="L199" s="56">
        <f>SUM(L6:L198)</f>
        <v>31092.354523809518</v>
      </c>
      <c r="M199" s="182"/>
      <c r="N199" s="182"/>
      <c r="O199" s="182">
        <f>SUM(O6:O190)</f>
        <v>1</v>
      </c>
      <c r="P199" s="56">
        <f>SUM((P6:P190),(W204:X209))</f>
        <v>418.82172857903123</v>
      </c>
      <c r="Q199" s="182"/>
      <c r="R199" s="56">
        <f>SUM((R6:R190),(Y204:Z209))</f>
        <v>418</v>
      </c>
      <c r="S199" s="182">
        <f t="array" ref="S199">SUM(IF(ISERROR(S6:S198),“”,S6:S198))</f>
        <v>8.4454319147959538</v>
      </c>
      <c r="T199" s="182"/>
      <c r="U199" s="182"/>
      <c r="V199" s="179">
        <f>IF(ISERROR(L199/K199),"",L199/K199)</f>
        <v>0.97346482380288857</v>
      </c>
      <c r="W199" s="182">
        <f t="array" ref="W199">SUM(IF(ISERROR(W6:W198),“”,W6:W198))</f>
        <v>0.83333333333333337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>
        <f>IF(ISERROR(P199/R199),"",P199/R199)</f>
        <v>1.0019658578445723</v>
      </c>
      <c r="P200" s="245"/>
      <c r="Q200" s="245"/>
      <c r="R200" s="246"/>
      <c r="S200" s="44"/>
      <c r="T200" s="45"/>
      <c r="U200" s="45"/>
      <c r="V200" s="45"/>
      <c r="W200" s="247">
        <f>SUM(W199:AC199)</f>
        <v>0.83333333333333337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>
        <v>162.5</v>
      </c>
      <c r="F202" s="250"/>
      <c r="G202" s="250">
        <v>162.5</v>
      </c>
      <c r="H202" s="250"/>
      <c r="I202" s="250">
        <f>G202-E202</f>
        <v>0</v>
      </c>
      <c r="J202" s="250"/>
      <c r="K202" s="252">
        <f t="array" ref="K202">IF(ISERROR(I202/E202),"",I202/E202)</f>
        <v>0</v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>
        <v>5364.1</v>
      </c>
      <c r="F203" s="250"/>
      <c r="G203" s="250">
        <v>5685.1</v>
      </c>
      <c r="H203" s="250"/>
      <c r="I203" s="250">
        <f>G203-E203</f>
        <v>321</v>
      </c>
      <c r="J203" s="250"/>
      <c r="K203" s="252">
        <f t="array" ref="K203">IF(ISERROR(I203/E203),"",I203/E203)</f>
        <v>5.9842284819447804E-2</v>
      </c>
      <c r="L203" s="252"/>
      <c r="M203" s="237"/>
      <c r="N203" s="238"/>
      <c r="O203" s="253"/>
      <c r="P203" s="253"/>
      <c r="Q203" s="254" t="s">
        <v>185</v>
      </c>
      <c r="R203" s="254"/>
      <c r="S203" s="255">
        <v>33</v>
      </c>
      <c r="T203" s="255"/>
      <c r="U203" s="255">
        <v>28</v>
      </c>
      <c r="V203" s="255"/>
      <c r="W203" s="254">
        <f t="shared" ref="W203:W210" si="23">S203*11</f>
        <v>363</v>
      </c>
      <c r="X203" s="254"/>
      <c r="Y203" s="254">
        <f t="shared" ref="Y203:Y210" si="24">U203*11</f>
        <v>308</v>
      </c>
      <c r="Z203" s="254"/>
      <c r="AA203" s="254">
        <f t="shared" ref="AA203:AA210" si="25">Y203-W203</f>
        <v>-55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>
        <v>1470</v>
      </c>
      <c r="F204" s="250"/>
      <c r="G204" s="250">
        <v>1407</v>
      </c>
      <c r="H204" s="250"/>
      <c r="I204" s="250">
        <f>G204-E204</f>
        <v>-63</v>
      </c>
      <c r="J204" s="250"/>
      <c r="K204" s="252">
        <f t="array" ref="K204">IF(ISERROR(I204/E204),"",I204/E204)</f>
        <v>-4.2857142857142858E-2</v>
      </c>
      <c r="L204" s="252"/>
      <c r="M204" s="237"/>
      <c r="N204" s="238"/>
      <c r="O204" s="253"/>
      <c r="P204" s="253"/>
      <c r="Q204" s="254" t="s">
        <v>187</v>
      </c>
      <c r="R204" s="254"/>
      <c r="S204" s="255">
        <v>6</v>
      </c>
      <c r="T204" s="255"/>
      <c r="U204" s="255">
        <v>6</v>
      </c>
      <c r="V204" s="255"/>
      <c r="W204" s="254">
        <f t="shared" si="23"/>
        <v>66</v>
      </c>
      <c r="X204" s="254"/>
      <c r="Y204" s="254">
        <f t="shared" si="24"/>
        <v>66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92">
        <v>0.75</v>
      </c>
      <c r="T205" s="293"/>
      <c r="U205" s="255">
        <v>1</v>
      </c>
      <c r="V205" s="255"/>
      <c r="W205" s="254">
        <f t="shared" si="23"/>
        <v>8.25</v>
      </c>
      <c r="X205" s="254"/>
      <c r="Y205" s="254">
        <f t="shared" si="24"/>
        <v>11</v>
      </c>
      <c r="Z205" s="254"/>
      <c r="AA205" s="254">
        <f t="shared" si="25"/>
        <v>2.75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>
        <v>154329</v>
      </c>
      <c r="H206" s="257"/>
      <c r="I206" s="325">
        <v>154200</v>
      </c>
      <c r="J206" s="326"/>
      <c r="K206" s="260">
        <f>G206-I206</f>
        <v>129</v>
      </c>
      <c r="L206" s="260"/>
      <c r="M206" s="261">
        <f t="array" ref="M206">IF(ISERROR(K206/L199),"",K206/(L199/1000))</f>
        <v>4.1489299210587598</v>
      </c>
      <c r="N206" s="261"/>
      <c r="O206" s="253"/>
      <c r="P206" s="253"/>
      <c r="Q206" s="254" t="s">
        <v>197</v>
      </c>
      <c r="R206" s="254"/>
      <c r="S206" s="292">
        <v>0.75</v>
      </c>
      <c r="T206" s="293"/>
      <c r="U206" s="255">
        <v>1</v>
      </c>
      <c r="V206" s="255"/>
      <c r="W206" s="254">
        <f t="shared" si="23"/>
        <v>8.25</v>
      </c>
      <c r="X206" s="254"/>
      <c r="Y206" s="254">
        <f t="shared" si="24"/>
        <v>11</v>
      </c>
      <c r="Z206" s="254"/>
      <c r="AA206" s="254">
        <f t="shared" si="25"/>
        <v>2.75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>
        <f>28937.7*120+45324.9*60</f>
        <v>6192018</v>
      </c>
      <c r="H207" s="257"/>
      <c r="I207" s="325">
        <v>6189954</v>
      </c>
      <c r="J207" s="326"/>
      <c r="K207" s="260">
        <f>G207-I207</f>
        <v>2064</v>
      </c>
      <c r="L207" s="260"/>
      <c r="M207" s="261">
        <f t="array" ref="M207">IF(ISERROR(K207/L199),"",K207/(L199/1000))</f>
        <v>66.382878736940157</v>
      </c>
      <c r="N207" s="261"/>
      <c r="O207" s="253"/>
      <c r="P207" s="253"/>
      <c r="Q207" s="254" t="s">
        <v>200</v>
      </c>
      <c r="R207" s="254"/>
      <c r="S207" s="292">
        <v>1.5</v>
      </c>
      <c r="T207" s="293"/>
      <c r="U207" s="255">
        <v>1</v>
      </c>
      <c r="V207" s="255"/>
      <c r="W207" s="254">
        <f t="shared" si="23"/>
        <v>16.5</v>
      </c>
      <c r="X207" s="254"/>
      <c r="Y207" s="254">
        <f t="shared" si="24"/>
        <v>11</v>
      </c>
      <c r="Z207" s="254"/>
      <c r="AA207" s="254">
        <f t="shared" si="25"/>
        <v>-5.5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>
        <f>+I208+19</f>
        <v>28539</v>
      </c>
      <c r="H208" s="257"/>
      <c r="I208" s="256">
        <v>28520</v>
      </c>
      <c r="J208" s="257"/>
      <c r="K208" s="260">
        <f>G208-I208</f>
        <v>19</v>
      </c>
      <c r="L208" s="260"/>
      <c r="M208" s="264">
        <f t="array" ref="M208">IF(ISERROR(K208/L199),"",K208/(L199/1000))</f>
        <v>0.61108270155129019</v>
      </c>
      <c r="N208" s="264"/>
      <c r="O208" s="253"/>
      <c r="P208" s="253"/>
      <c r="Q208" s="254" t="s">
        <v>203</v>
      </c>
      <c r="R208" s="254"/>
      <c r="S208" s="292">
        <v>1</v>
      </c>
      <c r="T208" s="293"/>
      <c r="U208" s="255">
        <v>1</v>
      </c>
      <c r="V208" s="255"/>
      <c r="W208" s="254">
        <f t="shared" si="23"/>
        <v>11</v>
      </c>
      <c r="X208" s="254"/>
      <c r="Y208" s="254">
        <f t="shared" si="24"/>
        <v>11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>
        <f>2.72+2.72/2</f>
        <v>4.08</v>
      </c>
      <c r="L209" s="263"/>
      <c r="M209" s="265">
        <f t="array" ref="M209">IF(ISERROR((K209+K210)/L199),"",((K209+K210)*1000)/(L199/1000))</f>
        <v>131.22196959627706</v>
      </c>
      <c r="N209" s="266"/>
      <c r="O209" s="253"/>
      <c r="P209" s="253"/>
      <c r="Q209" s="254" t="s">
        <v>206</v>
      </c>
      <c r="R209" s="254"/>
      <c r="S209" s="292">
        <v>3</v>
      </c>
      <c r="T209" s="293"/>
      <c r="U209" s="255">
        <v>4</v>
      </c>
      <c r="V209" s="255"/>
      <c r="W209" s="254">
        <f t="shared" si="23"/>
        <v>33</v>
      </c>
      <c r="X209" s="254"/>
      <c r="Y209" s="254">
        <f t="shared" si="24"/>
        <v>44</v>
      </c>
      <c r="Z209" s="254"/>
      <c r="AA209" s="254">
        <f t="shared" si="25"/>
        <v>11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46</v>
      </c>
      <c r="T210" s="255"/>
      <c r="U210" s="255">
        <f>SUM(U203:V209)</f>
        <v>42</v>
      </c>
      <c r="V210" s="255"/>
      <c r="W210" s="254">
        <f t="shared" si="23"/>
        <v>506</v>
      </c>
      <c r="X210" s="254"/>
      <c r="Y210" s="254">
        <f t="shared" si="24"/>
        <v>462</v>
      </c>
      <c r="Z210" s="254"/>
      <c r="AA210" s="254">
        <f t="shared" si="25"/>
        <v>-44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>
        <f>IF(ISERROR(K208/K209),"",K208/K209)</f>
        <v>4.6568627450980395</v>
      </c>
      <c r="N211" s="274"/>
      <c r="O211" s="253"/>
      <c r="P211" s="253"/>
      <c r="Q211" s="251" t="s">
        <v>211</v>
      </c>
      <c r="R211" s="251"/>
      <c r="S211" s="275">
        <f t="array" ref="S211">IF(ISERROR(L199/Y210),"",L199/Y210)</f>
        <v>67.29946866625437</v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hidden="1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hidden="1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hidden="1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200">
        <v>300316</v>
      </c>
      <c r="B218" s="197" t="s">
        <v>33</v>
      </c>
      <c r="C218" s="219" t="s">
        <v>34</v>
      </c>
      <c r="D218" s="219"/>
      <c r="E218" s="204" t="s">
        <v>38</v>
      </c>
      <c r="F218" s="203">
        <v>2112</v>
      </c>
      <c r="G218" s="202">
        <v>2</v>
      </c>
      <c r="H218" s="202"/>
      <c r="I218" s="202">
        <f>2-J218/600</f>
        <v>1.8666666666666667</v>
      </c>
      <c r="J218" s="202">
        <v>80</v>
      </c>
      <c r="K218" s="202">
        <f t="shared" si="26"/>
        <v>1232</v>
      </c>
      <c r="L218" s="202">
        <f t="shared" si="27"/>
        <v>1149.8666666666668</v>
      </c>
      <c r="M218" s="202">
        <v>616</v>
      </c>
      <c r="N218" s="202">
        <f t="shared" si="28"/>
        <v>3.6277974087161367</v>
      </c>
      <c r="O218" s="202">
        <v>0.5</v>
      </c>
      <c r="P218" s="202">
        <f t="shared" si="29"/>
        <v>7.7718884962701216</v>
      </c>
      <c r="Q218" s="202">
        <v>3.5</v>
      </c>
      <c r="R218" s="19">
        <f t="shared" si="30"/>
        <v>7</v>
      </c>
      <c r="S218" s="202">
        <f t="shared" si="31"/>
        <v>-0.77188849627012157</v>
      </c>
      <c r="T218" s="20">
        <v>4</v>
      </c>
      <c r="U218" s="20">
        <v>2</v>
      </c>
      <c r="V218" s="201">
        <f t="array" ref="V218">IF(ISERROR(L218/K218),"",L218/K218)</f>
        <v>0.93333333333333346</v>
      </c>
      <c r="W218" s="20"/>
      <c r="X218" s="197">
        <f>30/60*1</f>
        <v>0.5</v>
      </c>
      <c r="Y218" s="197"/>
      <c r="Z218" s="203"/>
      <c r="AA218" s="20"/>
      <c r="AB218" s="20"/>
      <c r="AC218" s="20"/>
    </row>
    <row r="219" spans="1:29" s="2" customFormat="1" ht="21.95" hidden="1" customHeight="1">
      <c r="A219" s="200">
        <v>300317</v>
      </c>
      <c r="B219" s="197" t="s">
        <v>33</v>
      </c>
      <c r="C219" s="219" t="s">
        <v>34</v>
      </c>
      <c r="D219" s="219"/>
      <c r="E219" s="204" t="s">
        <v>39</v>
      </c>
      <c r="F219" s="203"/>
      <c r="G219" s="202"/>
      <c r="H219" s="202"/>
      <c r="I219" s="202"/>
      <c r="J219" s="202"/>
      <c r="K219" s="202">
        <f t="shared" si="26"/>
        <v>0</v>
      </c>
      <c r="L219" s="202">
        <f t="shared" si="27"/>
        <v>0</v>
      </c>
      <c r="M219" s="202">
        <v>616</v>
      </c>
      <c r="N219" s="202">
        <f t="shared" si="28"/>
        <v>3.6277974087161367</v>
      </c>
      <c r="O219" s="202"/>
      <c r="P219" s="202">
        <f t="shared" si="29"/>
        <v>0</v>
      </c>
      <c r="Q219" s="202"/>
      <c r="R219" s="19">
        <f t="shared" si="30"/>
        <v>0</v>
      </c>
      <c r="S219" s="202">
        <f t="shared" si="31"/>
        <v>0</v>
      </c>
      <c r="T219" s="20">
        <v>4</v>
      </c>
      <c r="U219" s="20"/>
      <c r="V219" s="201" t="str">
        <f t="array" ref="V219">IF(ISERROR(L219/K219),"",L219/K219)</f>
        <v/>
      </c>
      <c r="W219" s="20"/>
      <c r="X219" s="197"/>
      <c r="Y219" s="197"/>
      <c r="Z219" s="203"/>
      <c r="AA219" s="20"/>
      <c r="AB219" s="20"/>
      <c r="AC219" s="20"/>
    </row>
    <row r="220" spans="1:29" s="2" customFormat="1" ht="21.95" customHeight="1">
      <c r="A220" s="200">
        <v>300315</v>
      </c>
      <c r="B220" s="197" t="s">
        <v>33</v>
      </c>
      <c r="C220" s="219" t="s">
        <v>34</v>
      </c>
      <c r="D220" s="219"/>
      <c r="E220" s="204" t="s">
        <v>40</v>
      </c>
      <c r="F220" s="203">
        <v>2111</v>
      </c>
      <c r="G220" s="202">
        <v>4.17</v>
      </c>
      <c r="H220" s="202">
        <v>0.16666666666666666</v>
      </c>
      <c r="I220" s="202">
        <f>4+H220</f>
        <v>4.166666666666667</v>
      </c>
      <c r="J220" s="202"/>
      <c r="K220" s="202">
        <f t="shared" si="26"/>
        <v>2568.7199999999998</v>
      </c>
      <c r="L220" s="202">
        <f t="shared" si="27"/>
        <v>2566.666666666667</v>
      </c>
      <c r="M220" s="202">
        <v>616</v>
      </c>
      <c r="N220" s="202">
        <f t="shared" si="28"/>
        <v>3.6277974087161367</v>
      </c>
      <c r="O220" s="202"/>
      <c r="P220" s="202">
        <f t="shared" si="29"/>
        <v>15.115822536317237</v>
      </c>
      <c r="Q220" s="202">
        <v>8</v>
      </c>
      <c r="R220" s="19">
        <f t="shared" si="30"/>
        <v>16</v>
      </c>
      <c r="S220" s="202">
        <f t="shared" si="31"/>
        <v>0.88417746368276262</v>
      </c>
      <c r="T220" s="20">
        <v>4</v>
      </c>
      <c r="U220" s="20">
        <v>2</v>
      </c>
      <c r="V220" s="201">
        <f t="array" ref="V220">IF(ISERROR(L220/K220),"",L220/K220)</f>
        <v>0.99920063948840943</v>
      </c>
      <c r="W220" s="20"/>
      <c r="X220" s="197"/>
      <c r="Y220" s="197"/>
      <c r="Z220" s="203"/>
      <c r="AA220" s="20"/>
      <c r="AB220" s="20"/>
      <c r="AC220" s="20"/>
    </row>
    <row r="221" spans="1:29" s="2" customFormat="1" ht="21.95" hidden="1" customHeight="1">
      <c r="A221" s="200">
        <v>300314</v>
      </c>
      <c r="B221" s="197" t="s">
        <v>33</v>
      </c>
      <c r="C221" s="219" t="s">
        <v>34</v>
      </c>
      <c r="D221" s="219"/>
      <c r="E221" s="204" t="s">
        <v>41</v>
      </c>
      <c r="F221" s="203"/>
      <c r="G221" s="202"/>
      <c r="H221" s="202"/>
      <c r="I221" s="202"/>
      <c r="J221" s="202"/>
      <c r="K221" s="202">
        <f t="shared" si="26"/>
        <v>0</v>
      </c>
      <c r="L221" s="202">
        <f t="shared" si="27"/>
        <v>0</v>
      </c>
      <c r="M221" s="202">
        <v>616</v>
      </c>
      <c r="N221" s="202">
        <f t="shared" si="28"/>
        <v>3.6277974087161367</v>
      </c>
      <c r="O221" s="202"/>
      <c r="P221" s="202">
        <f t="shared" si="29"/>
        <v>0</v>
      </c>
      <c r="Q221" s="202"/>
      <c r="R221" s="19">
        <f t="shared" si="30"/>
        <v>0</v>
      </c>
      <c r="S221" s="202">
        <f t="shared" si="31"/>
        <v>0</v>
      </c>
      <c r="T221" s="20">
        <v>4</v>
      </c>
      <c r="U221" s="20"/>
      <c r="V221" s="201" t="str">
        <f t="array" ref="V221">IF(ISERROR(L221/K221),"",L221/K221)</f>
        <v/>
      </c>
      <c r="W221" s="20"/>
      <c r="X221" s="197"/>
      <c r="Y221" s="197"/>
      <c r="Z221" s="203"/>
      <c r="AA221" s="20"/>
      <c r="AB221" s="20"/>
      <c r="AC221" s="20"/>
    </row>
    <row r="222" spans="1:29" s="2" customFormat="1" ht="21.95" hidden="1" customHeight="1">
      <c r="A222" s="200">
        <v>300313</v>
      </c>
      <c r="B222" s="197" t="s">
        <v>33</v>
      </c>
      <c r="C222" s="219" t="s">
        <v>34</v>
      </c>
      <c r="D222" s="219"/>
      <c r="E222" s="204" t="s">
        <v>42</v>
      </c>
      <c r="F222" s="203"/>
      <c r="G222" s="202"/>
      <c r="H222" s="202"/>
      <c r="I222" s="202"/>
      <c r="J222" s="202"/>
      <c r="K222" s="202">
        <f t="shared" si="26"/>
        <v>0</v>
      </c>
      <c r="L222" s="202">
        <f t="shared" si="27"/>
        <v>0</v>
      </c>
      <c r="M222" s="202">
        <v>616</v>
      </c>
      <c r="N222" s="202">
        <f t="shared" si="28"/>
        <v>3.6277974087161367</v>
      </c>
      <c r="O222" s="202"/>
      <c r="P222" s="202">
        <f t="shared" si="29"/>
        <v>0</v>
      </c>
      <c r="Q222" s="202"/>
      <c r="R222" s="19">
        <f t="shared" si="30"/>
        <v>0</v>
      </c>
      <c r="S222" s="202">
        <f t="shared" si="31"/>
        <v>0</v>
      </c>
      <c r="T222" s="20">
        <v>4</v>
      </c>
      <c r="U222" s="20"/>
      <c r="V222" s="201" t="str">
        <f t="array" ref="V222">IF(ISERROR(L222/K222),"",L222/K222)</f>
        <v/>
      </c>
      <c r="W222" s="20"/>
      <c r="X222" s="197"/>
      <c r="Y222" s="197"/>
      <c r="Z222" s="203"/>
      <c r="AA222" s="20"/>
      <c r="AB222" s="20"/>
      <c r="AC222" s="20"/>
    </row>
    <row r="223" spans="1:29" s="2" customFormat="1" ht="21.95" hidden="1" customHeight="1">
      <c r="A223" s="200"/>
      <c r="B223" s="197" t="s">
        <v>43</v>
      </c>
      <c r="C223" s="230" t="s">
        <v>305</v>
      </c>
      <c r="D223" s="231"/>
      <c r="E223" s="204" t="s">
        <v>306</v>
      </c>
      <c r="F223" s="203"/>
      <c r="G223" s="202"/>
      <c r="H223" s="202"/>
      <c r="I223" s="202"/>
      <c r="J223" s="202"/>
      <c r="K223" s="202">
        <f t="shared" si="26"/>
        <v>0</v>
      </c>
      <c r="L223" s="202">
        <f t="shared" si="27"/>
        <v>0</v>
      </c>
      <c r="M223" s="202">
        <v>213.4</v>
      </c>
      <c r="N223" s="202">
        <f>+M223*1000/(15.4*10*17*60)*T223</f>
        <v>4.0756302521008401</v>
      </c>
      <c r="O223" s="202"/>
      <c r="P223" s="202">
        <f t="shared" si="29"/>
        <v>0</v>
      </c>
      <c r="Q223" s="202"/>
      <c r="R223" s="19">
        <f t="shared" si="30"/>
        <v>0</v>
      </c>
      <c r="S223" s="202">
        <f t="shared" si="31"/>
        <v>0</v>
      </c>
      <c r="T223" s="20">
        <v>3</v>
      </c>
      <c r="U223" s="20"/>
      <c r="V223" s="201" t="str">
        <f t="array" ref="V223">IF(ISERROR(L223/K223),"",L223/K223)</f>
        <v/>
      </c>
      <c r="W223" s="20"/>
      <c r="X223" s="197"/>
      <c r="Y223" s="197"/>
      <c r="Z223" s="203"/>
      <c r="AA223" s="20"/>
      <c r="AB223" s="20"/>
      <c r="AC223" s="20"/>
    </row>
    <row r="224" spans="1:29" s="2" customFormat="1" ht="21.95" hidden="1" customHeight="1">
      <c r="A224" s="200"/>
      <c r="B224" s="197" t="s">
        <v>43</v>
      </c>
      <c r="C224" s="230" t="s">
        <v>305</v>
      </c>
      <c r="D224" s="231"/>
      <c r="E224" s="204" t="s">
        <v>307</v>
      </c>
      <c r="F224" s="203"/>
      <c r="G224" s="202"/>
      <c r="H224" s="202"/>
      <c r="I224" s="202"/>
      <c r="J224" s="202"/>
      <c r="K224" s="202">
        <f t="shared" si="26"/>
        <v>0</v>
      </c>
      <c r="L224" s="202">
        <f t="shared" si="27"/>
        <v>0</v>
      </c>
      <c r="M224" s="202">
        <v>213.4</v>
      </c>
      <c r="N224" s="202">
        <f>+M224*1000/(15.4*10*17*60)*T224</f>
        <v>4.0756302521008401</v>
      </c>
      <c r="O224" s="202"/>
      <c r="P224" s="202">
        <f t="shared" si="29"/>
        <v>0</v>
      </c>
      <c r="Q224" s="202"/>
      <c r="R224" s="19">
        <f t="shared" si="30"/>
        <v>0</v>
      </c>
      <c r="S224" s="202">
        <f t="shared" si="31"/>
        <v>0</v>
      </c>
      <c r="T224" s="20">
        <v>3</v>
      </c>
      <c r="U224" s="20"/>
      <c r="V224" s="201" t="str">
        <f t="array" ref="V224">IF(ISERROR(L224/K224),"",L224/K224)</f>
        <v/>
      </c>
      <c r="W224" s="20"/>
      <c r="X224" s="197"/>
      <c r="Y224" s="197"/>
      <c r="Z224" s="203"/>
      <c r="AA224" s="20"/>
      <c r="AB224" s="20"/>
      <c r="AC224" s="20"/>
    </row>
    <row r="225" spans="1:29" s="2" customFormat="1" ht="21.95" hidden="1" customHeight="1">
      <c r="A225" s="197">
        <v>300202</v>
      </c>
      <c r="B225" s="197" t="s">
        <v>52</v>
      </c>
      <c r="C225" s="230" t="s">
        <v>44</v>
      </c>
      <c r="D225" s="231"/>
      <c r="E225" s="197" t="s">
        <v>35</v>
      </c>
      <c r="F225" s="203"/>
      <c r="G225" s="202"/>
      <c r="H225" s="202"/>
      <c r="I225" s="202"/>
      <c r="J225" s="202"/>
      <c r="K225" s="202">
        <f t="shared" si="26"/>
        <v>0</v>
      </c>
      <c r="L225" s="202">
        <f t="shared" si="27"/>
        <v>0</v>
      </c>
      <c r="M225" s="202">
        <v>212.4</v>
      </c>
      <c r="N225" s="202">
        <f>+M225*1000/(15.4*10*17*60)*T225</f>
        <v>8.1130634071810537</v>
      </c>
      <c r="O225" s="202"/>
      <c r="P225" s="202">
        <f t="shared" si="29"/>
        <v>0</v>
      </c>
      <c r="Q225" s="202"/>
      <c r="R225" s="19">
        <f t="shared" si="30"/>
        <v>0</v>
      </c>
      <c r="S225" s="202">
        <f t="shared" si="31"/>
        <v>0</v>
      </c>
      <c r="T225" s="20">
        <v>6</v>
      </c>
      <c r="U225" s="20"/>
      <c r="V225" s="20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97">
        <v>300203</v>
      </c>
      <c r="B226" s="197" t="s">
        <v>43</v>
      </c>
      <c r="C226" s="230" t="s">
        <v>44</v>
      </c>
      <c r="D226" s="231"/>
      <c r="E226" s="197" t="s">
        <v>41</v>
      </c>
      <c r="F226" s="203"/>
      <c r="G226" s="202"/>
      <c r="H226" s="202"/>
      <c r="I226" s="202"/>
      <c r="J226" s="202"/>
      <c r="K226" s="202">
        <f t="shared" si="26"/>
        <v>0</v>
      </c>
      <c r="L226" s="202">
        <f t="shared" si="27"/>
        <v>0</v>
      </c>
      <c r="M226" s="202">
        <v>212.4</v>
      </c>
      <c r="N226" s="202">
        <f>+M226*1000/(15.4*10*17*60)*T226</f>
        <v>4.0565317035905268</v>
      </c>
      <c r="O226" s="202"/>
      <c r="P226" s="202">
        <f t="shared" si="29"/>
        <v>0</v>
      </c>
      <c r="Q226" s="202"/>
      <c r="R226" s="19">
        <f t="shared" si="30"/>
        <v>0</v>
      </c>
      <c r="S226" s="202">
        <f t="shared" si="31"/>
        <v>0</v>
      </c>
      <c r="T226" s="20">
        <v>3</v>
      </c>
      <c r="U226" s="20"/>
      <c r="V226" s="20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97">
        <v>300204</v>
      </c>
      <c r="B227" s="197" t="s">
        <v>43</v>
      </c>
      <c r="C227" s="230" t="s">
        <v>44</v>
      </c>
      <c r="D227" s="231"/>
      <c r="E227" s="197" t="s">
        <v>37</v>
      </c>
      <c r="F227" s="203"/>
      <c r="G227" s="202"/>
      <c r="H227" s="202"/>
      <c r="I227" s="202"/>
      <c r="J227" s="202"/>
      <c r="K227" s="202">
        <f t="shared" si="26"/>
        <v>0</v>
      </c>
      <c r="L227" s="202">
        <f t="shared" si="27"/>
        <v>0</v>
      </c>
      <c r="M227" s="202">
        <v>212.4</v>
      </c>
      <c r="N227" s="202">
        <f>+M227*1000/(15.4*10*17*60)*T227</f>
        <v>4.0565317035905268</v>
      </c>
      <c r="O227" s="202"/>
      <c r="P227" s="202">
        <f t="shared" si="29"/>
        <v>0</v>
      </c>
      <c r="Q227" s="202"/>
      <c r="R227" s="19">
        <f t="shared" si="30"/>
        <v>0</v>
      </c>
      <c r="S227" s="202">
        <f t="shared" si="31"/>
        <v>0</v>
      </c>
      <c r="T227" s="20">
        <v>3</v>
      </c>
      <c r="U227" s="20"/>
      <c r="V227" s="20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200">
        <v>300269</v>
      </c>
      <c r="B228" s="197" t="s">
        <v>43</v>
      </c>
      <c r="C228" s="219" t="s">
        <v>45</v>
      </c>
      <c r="D228" s="219"/>
      <c r="E228" s="204"/>
      <c r="F228" s="203"/>
      <c r="G228" s="202"/>
      <c r="H228" s="202"/>
      <c r="I228" s="202"/>
      <c r="J228" s="202"/>
      <c r="K228" s="202">
        <f t="shared" si="26"/>
        <v>0</v>
      </c>
      <c r="L228" s="202">
        <f t="shared" si="27"/>
        <v>0</v>
      </c>
      <c r="M228" s="202">
        <v>209.4</v>
      </c>
      <c r="N228" s="202">
        <f>+M228*1000/(19.4*10*16*60)*T228</f>
        <v>3.3730670103092786</v>
      </c>
      <c r="O228" s="202"/>
      <c r="P228" s="202">
        <f t="shared" si="29"/>
        <v>0</v>
      </c>
      <c r="Q228" s="202"/>
      <c r="R228" s="19">
        <f t="shared" si="30"/>
        <v>0</v>
      </c>
      <c r="S228" s="202">
        <f t="shared" si="31"/>
        <v>0</v>
      </c>
      <c r="T228" s="20">
        <v>3</v>
      </c>
      <c r="U228" s="20"/>
      <c r="V228" s="20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200"/>
      <c r="B229" s="197"/>
      <c r="C229" s="219" t="s">
        <v>46</v>
      </c>
      <c r="D229" s="219"/>
      <c r="E229" s="204" t="s">
        <v>47</v>
      </c>
      <c r="F229" s="203"/>
      <c r="G229" s="202"/>
      <c r="H229" s="202"/>
      <c r="I229" s="202"/>
      <c r="J229" s="202"/>
      <c r="K229" s="202">
        <f t="shared" si="26"/>
        <v>0</v>
      </c>
      <c r="L229" s="202">
        <f t="shared" si="27"/>
        <v>0</v>
      </c>
      <c r="M229" s="202">
        <v>209.9</v>
      </c>
      <c r="N229" s="202">
        <f>+M229*1000/(19*10*16*60)*T229</f>
        <v>3.4523026315789478</v>
      </c>
      <c r="O229" s="202"/>
      <c r="P229" s="202">
        <f t="shared" si="29"/>
        <v>0</v>
      </c>
      <c r="Q229" s="202"/>
      <c r="R229" s="19">
        <f t="shared" si="30"/>
        <v>0</v>
      </c>
      <c r="S229" s="202">
        <f t="shared" si="31"/>
        <v>0</v>
      </c>
      <c r="T229" s="20">
        <v>3</v>
      </c>
      <c r="U229" s="20"/>
      <c r="V229" s="20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200">
        <v>300350</v>
      </c>
      <c r="B230" s="197" t="s">
        <v>43</v>
      </c>
      <c r="C230" s="219" t="s">
        <v>48</v>
      </c>
      <c r="D230" s="219"/>
      <c r="E230" s="204" t="s">
        <v>49</v>
      </c>
      <c r="F230" s="203"/>
      <c r="G230" s="202"/>
      <c r="H230" s="202"/>
      <c r="I230" s="202"/>
      <c r="J230" s="202"/>
      <c r="K230" s="202">
        <f t="shared" si="26"/>
        <v>0</v>
      </c>
      <c r="L230" s="202">
        <f t="shared" si="27"/>
        <v>0</v>
      </c>
      <c r="M230" s="202">
        <v>209.9</v>
      </c>
      <c r="N230" s="202">
        <f>+M230*1000/(19*10*16*60)*T230</f>
        <v>2.3015350877192984</v>
      </c>
      <c r="O230" s="202"/>
      <c r="P230" s="202">
        <f t="shared" si="29"/>
        <v>0</v>
      </c>
      <c r="Q230" s="202"/>
      <c r="R230" s="19">
        <f t="shared" si="30"/>
        <v>0</v>
      </c>
      <c r="S230" s="202">
        <f t="shared" si="31"/>
        <v>0</v>
      </c>
      <c r="T230" s="20">
        <v>2</v>
      </c>
      <c r="U230" s="20"/>
      <c r="V230" s="20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200">
        <v>300113</v>
      </c>
      <c r="B231" s="197" t="s">
        <v>43</v>
      </c>
      <c r="C231" s="219" t="s">
        <v>50</v>
      </c>
      <c r="D231" s="219"/>
      <c r="E231" s="204" t="s">
        <v>40</v>
      </c>
      <c r="F231" s="203"/>
      <c r="G231" s="202"/>
      <c r="H231" s="202"/>
      <c r="I231" s="202"/>
      <c r="J231" s="202"/>
      <c r="K231" s="202">
        <f t="shared" si="26"/>
        <v>0</v>
      </c>
      <c r="L231" s="202">
        <f t="shared" si="27"/>
        <v>0</v>
      </c>
      <c r="M231" s="202">
        <v>210</v>
      </c>
      <c r="N231" s="202">
        <f>M231*1000/(19.2*10*17*60)*T231</f>
        <v>2.1446078431372548</v>
      </c>
      <c r="O231" s="202"/>
      <c r="P231" s="202">
        <f t="shared" si="29"/>
        <v>0</v>
      </c>
      <c r="Q231" s="202"/>
      <c r="R231" s="19">
        <f t="shared" si="30"/>
        <v>0</v>
      </c>
      <c r="S231" s="202">
        <f t="shared" si="31"/>
        <v>0</v>
      </c>
      <c r="T231" s="20">
        <v>2</v>
      </c>
      <c r="U231" s="20"/>
      <c r="V231" s="20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200">
        <v>300114</v>
      </c>
      <c r="B232" s="197" t="s">
        <v>43</v>
      </c>
      <c r="C232" s="219" t="s">
        <v>50</v>
      </c>
      <c r="D232" s="219"/>
      <c r="E232" s="204" t="s">
        <v>42</v>
      </c>
      <c r="F232" s="203"/>
      <c r="G232" s="202"/>
      <c r="H232" s="202"/>
      <c r="I232" s="202"/>
      <c r="J232" s="202"/>
      <c r="K232" s="202">
        <f t="shared" si="26"/>
        <v>0</v>
      </c>
      <c r="L232" s="202">
        <f t="shared" si="27"/>
        <v>0</v>
      </c>
      <c r="M232" s="202">
        <v>210</v>
      </c>
      <c r="N232" s="202">
        <f>M232*1000/(19.2*10*17*60)*T232</f>
        <v>2.1446078431372548</v>
      </c>
      <c r="O232" s="202"/>
      <c r="P232" s="202">
        <f t="shared" si="29"/>
        <v>0</v>
      </c>
      <c r="Q232" s="202"/>
      <c r="R232" s="19">
        <f t="shared" si="30"/>
        <v>0</v>
      </c>
      <c r="S232" s="202">
        <f t="shared" si="31"/>
        <v>0</v>
      </c>
      <c r="T232" s="20">
        <v>2</v>
      </c>
      <c r="U232" s="20"/>
      <c r="V232" s="20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200">
        <v>300115</v>
      </c>
      <c r="B233" s="197" t="s">
        <v>43</v>
      </c>
      <c r="C233" s="219" t="s">
        <v>50</v>
      </c>
      <c r="D233" s="219"/>
      <c r="E233" s="204" t="s">
        <v>41</v>
      </c>
      <c r="F233" s="203"/>
      <c r="G233" s="202"/>
      <c r="H233" s="202"/>
      <c r="I233" s="202"/>
      <c r="J233" s="202"/>
      <c r="K233" s="202">
        <f t="shared" si="26"/>
        <v>0</v>
      </c>
      <c r="L233" s="202">
        <f t="shared" si="27"/>
        <v>0</v>
      </c>
      <c r="M233" s="202">
        <v>210</v>
      </c>
      <c r="N233" s="202">
        <f>M233*1000/(19.2*10*17*60)*T233</f>
        <v>2.1446078431372548</v>
      </c>
      <c r="O233" s="202"/>
      <c r="P233" s="202">
        <f t="shared" si="29"/>
        <v>0</v>
      </c>
      <c r="Q233" s="202"/>
      <c r="R233" s="19">
        <f t="shared" si="30"/>
        <v>0</v>
      </c>
      <c r="S233" s="202">
        <f t="shared" si="31"/>
        <v>0</v>
      </c>
      <c r="T233" s="20">
        <v>2</v>
      </c>
      <c r="U233" s="20"/>
      <c r="V233" s="20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200">
        <v>300011</v>
      </c>
      <c r="B234" s="197" t="s">
        <v>43</v>
      </c>
      <c r="C234" s="219" t="s">
        <v>51</v>
      </c>
      <c r="D234" s="219"/>
      <c r="E234" s="204" t="s">
        <v>40</v>
      </c>
      <c r="F234" s="203"/>
      <c r="G234" s="202"/>
      <c r="H234" s="202"/>
      <c r="I234" s="202"/>
      <c r="J234" s="202"/>
      <c r="K234" s="202">
        <f t="shared" si="26"/>
        <v>0</v>
      </c>
      <c r="L234" s="202">
        <f t="shared" si="27"/>
        <v>0</v>
      </c>
      <c r="M234" s="202">
        <v>524.6</v>
      </c>
      <c r="N234" s="202">
        <f>+M234*1000/(25.4*20*15*60)*T234</f>
        <v>3.4422572178477688</v>
      </c>
      <c r="O234" s="202"/>
      <c r="P234" s="202">
        <f t="shared" si="29"/>
        <v>0</v>
      </c>
      <c r="Q234" s="202"/>
      <c r="R234" s="19">
        <f t="shared" si="30"/>
        <v>0</v>
      </c>
      <c r="S234" s="202">
        <f t="shared" si="31"/>
        <v>0</v>
      </c>
      <c r="T234" s="20">
        <v>3</v>
      </c>
      <c r="U234" s="20"/>
      <c r="V234" s="20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200">
        <v>300012</v>
      </c>
      <c r="B235" s="197" t="s">
        <v>43</v>
      </c>
      <c r="C235" s="219" t="s">
        <v>51</v>
      </c>
      <c r="D235" s="219"/>
      <c r="E235" s="204" t="s">
        <v>41</v>
      </c>
      <c r="F235" s="203"/>
      <c r="G235" s="202"/>
      <c r="H235" s="202"/>
      <c r="I235" s="202"/>
      <c r="J235" s="202"/>
      <c r="K235" s="202">
        <f t="shared" si="26"/>
        <v>0</v>
      </c>
      <c r="L235" s="202">
        <f t="shared" si="27"/>
        <v>0</v>
      </c>
      <c r="M235" s="202">
        <v>524.6</v>
      </c>
      <c r="N235" s="202">
        <f>+M235*1000/(25.4*20*15*60)*T235</f>
        <v>3.4422572178477688</v>
      </c>
      <c r="O235" s="202"/>
      <c r="P235" s="202">
        <f t="shared" si="29"/>
        <v>0</v>
      </c>
      <c r="Q235" s="202"/>
      <c r="R235" s="19">
        <f t="shared" si="30"/>
        <v>0</v>
      </c>
      <c r="S235" s="202">
        <f t="shared" si="31"/>
        <v>0</v>
      </c>
      <c r="T235" s="20">
        <v>3</v>
      </c>
      <c r="U235" s="20"/>
      <c r="V235" s="20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200">
        <v>300013</v>
      </c>
      <c r="B236" s="197" t="s">
        <v>213</v>
      </c>
      <c r="C236" s="219" t="s">
        <v>51</v>
      </c>
      <c r="D236" s="219"/>
      <c r="E236" s="204" t="s">
        <v>42</v>
      </c>
      <c r="F236" s="203"/>
      <c r="G236" s="202"/>
      <c r="H236" s="202"/>
      <c r="I236" s="202"/>
      <c r="J236" s="202"/>
      <c r="K236" s="202">
        <f t="shared" si="26"/>
        <v>0</v>
      </c>
      <c r="L236" s="202">
        <f t="shared" si="27"/>
        <v>0</v>
      </c>
      <c r="M236" s="202">
        <v>524.6</v>
      </c>
      <c r="N236" s="202">
        <f>+M236*1000/(25.4*20*15*60)*T236</f>
        <v>3.4422572178477688</v>
      </c>
      <c r="O236" s="202"/>
      <c r="P236" s="202">
        <f t="shared" si="29"/>
        <v>0</v>
      </c>
      <c r="Q236" s="202"/>
      <c r="R236" s="19">
        <f t="shared" si="30"/>
        <v>0</v>
      </c>
      <c r="S236" s="202">
        <f t="shared" si="31"/>
        <v>0</v>
      </c>
      <c r="T236" s="20">
        <v>3</v>
      </c>
      <c r="U236" s="20"/>
      <c r="V236" s="20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200">
        <v>300016</v>
      </c>
      <c r="B237" s="197" t="s">
        <v>43</v>
      </c>
      <c r="C237" s="219" t="s">
        <v>51</v>
      </c>
      <c r="D237" s="219"/>
      <c r="E237" s="204" t="s">
        <v>38</v>
      </c>
      <c r="F237" s="203"/>
      <c r="G237" s="202"/>
      <c r="H237" s="202"/>
      <c r="I237" s="202"/>
      <c r="J237" s="202"/>
      <c r="K237" s="202">
        <f t="shared" si="26"/>
        <v>0</v>
      </c>
      <c r="L237" s="202">
        <f t="shared" si="27"/>
        <v>0</v>
      </c>
      <c r="M237" s="202">
        <v>524.6</v>
      </c>
      <c r="N237" s="202">
        <f>+M237*1000/(25.4*20*15*60)*T237</f>
        <v>3.4422572178477688</v>
      </c>
      <c r="O237" s="202"/>
      <c r="P237" s="202">
        <f t="shared" si="29"/>
        <v>0</v>
      </c>
      <c r="Q237" s="202"/>
      <c r="R237" s="19">
        <f t="shared" si="30"/>
        <v>0</v>
      </c>
      <c r="S237" s="202">
        <f t="shared" si="31"/>
        <v>0</v>
      </c>
      <c r="T237" s="20">
        <v>3</v>
      </c>
      <c r="U237" s="20"/>
      <c r="V237" s="20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00">
        <v>3000435</v>
      </c>
      <c r="B238" s="197" t="s">
        <v>321</v>
      </c>
      <c r="C238" s="219" t="s">
        <v>51</v>
      </c>
      <c r="D238" s="219"/>
      <c r="E238" s="204" t="s">
        <v>301</v>
      </c>
      <c r="F238" s="203">
        <v>2127</v>
      </c>
      <c r="G238" s="202">
        <v>8</v>
      </c>
      <c r="H238" s="202"/>
      <c r="I238" s="202">
        <f>10-J238/500</f>
        <v>8</v>
      </c>
      <c r="J238" s="202">
        <v>1000</v>
      </c>
      <c r="K238" s="202">
        <f t="shared" si="26"/>
        <v>4196.8</v>
      </c>
      <c r="L238" s="202">
        <f t="shared" si="27"/>
        <v>4196.8</v>
      </c>
      <c r="M238" s="202">
        <v>524.6</v>
      </c>
      <c r="N238" s="202">
        <f>+M238*1000/(25.4*20*15*60)*T238</f>
        <v>3.4422572178477688</v>
      </c>
      <c r="O238" s="202">
        <v>0.5</v>
      </c>
      <c r="P238" s="202">
        <f t="shared" si="29"/>
        <v>28.538057742782151</v>
      </c>
      <c r="Q238" s="202">
        <v>12</v>
      </c>
      <c r="R238" s="19">
        <f t="shared" si="30"/>
        <v>24</v>
      </c>
      <c r="S238" s="202">
        <f t="shared" si="31"/>
        <v>-4.5380577427821507</v>
      </c>
      <c r="T238" s="20">
        <v>3</v>
      </c>
      <c r="U238" s="20">
        <v>2</v>
      </c>
      <c r="V238" s="201">
        <f t="array" ref="V238">IF(ISERROR(L238/K238),"",L238/K238)</f>
        <v>1</v>
      </c>
      <c r="W238" s="20"/>
      <c r="X238" s="20">
        <f>105/60*2</f>
        <v>3.5</v>
      </c>
      <c r="Y238" s="20"/>
      <c r="Z238" s="20"/>
      <c r="AA238" s="20"/>
      <c r="AB238" s="20"/>
      <c r="AC238" s="20"/>
    </row>
    <row r="239" spans="1:29" s="2" customFormat="1" ht="21.95" hidden="1" customHeight="1">
      <c r="A239" s="200">
        <v>300276</v>
      </c>
      <c r="B239" s="197" t="s">
        <v>43</v>
      </c>
      <c r="C239" s="219" t="s">
        <v>53</v>
      </c>
      <c r="D239" s="219"/>
      <c r="E239" s="204" t="s">
        <v>41</v>
      </c>
      <c r="F239" s="203"/>
      <c r="G239" s="202"/>
      <c r="H239" s="202"/>
      <c r="I239" s="202"/>
      <c r="J239" s="202"/>
      <c r="K239" s="202">
        <f t="shared" si="26"/>
        <v>0</v>
      </c>
      <c r="L239" s="202">
        <f t="shared" si="27"/>
        <v>0</v>
      </c>
      <c r="M239" s="202">
        <v>266</v>
      </c>
      <c r="N239" s="202">
        <f>+M239*1000/(29.8*10*13*60)*T239</f>
        <v>3.4331440371708828</v>
      </c>
      <c r="O239" s="202"/>
      <c r="P239" s="202">
        <f t="shared" si="29"/>
        <v>0</v>
      </c>
      <c r="Q239" s="202"/>
      <c r="R239" s="19">
        <f t="shared" si="30"/>
        <v>0</v>
      </c>
      <c r="S239" s="202">
        <f t="shared" si="31"/>
        <v>0</v>
      </c>
      <c r="T239" s="20">
        <v>3</v>
      </c>
      <c r="U239" s="20"/>
      <c r="V239" s="20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00">
        <v>300277</v>
      </c>
      <c r="B240" s="197" t="s">
        <v>43</v>
      </c>
      <c r="C240" s="219" t="s">
        <v>53</v>
      </c>
      <c r="D240" s="219"/>
      <c r="E240" s="204" t="s">
        <v>39</v>
      </c>
      <c r="F240" s="203"/>
      <c r="G240" s="202"/>
      <c r="H240" s="202"/>
      <c r="I240" s="202"/>
      <c r="J240" s="202"/>
      <c r="K240" s="202">
        <f t="shared" si="26"/>
        <v>0</v>
      </c>
      <c r="L240" s="202">
        <f t="shared" si="27"/>
        <v>0</v>
      </c>
      <c r="M240" s="202">
        <v>266</v>
      </c>
      <c r="N240" s="202">
        <f>+M240*1000/(29.8*10*13*60)*T240</f>
        <v>3.4331440371708828</v>
      </c>
      <c r="O240" s="202"/>
      <c r="P240" s="202">
        <f t="shared" si="29"/>
        <v>0</v>
      </c>
      <c r="Q240" s="202"/>
      <c r="R240" s="19">
        <f t="shared" si="30"/>
        <v>0</v>
      </c>
      <c r="S240" s="202">
        <f t="shared" si="31"/>
        <v>0</v>
      </c>
      <c r="T240" s="20">
        <v>3</v>
      </c>
      <c r="U240" s="20"/>
      <c r="V240" s="20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00">
        <v>300278</v>
      </c>
      <c r="B241" s="197" t="s">
        <v>43</v>
      </c>
      <c r="C241" s="219" t="s">
        <v>53</v>
      </c>
      <c r="D241" s="219"/>
      <c r="E241" s="204" t="s">
        <v>54</v>
      </c>
      <c r="F241" s="203"/>
      <c r="G241" s="202"/>
      <c r="H241" s="202"/>
      <c r="I241" s="202"/>
      <c r="J241" s="202"/>
      <c r="K241" s="202">
        <f t="shared" si="26"/>
        <v>0</v>
      </c>
      <c r="L241" s="202">
        <f t="shared" si="27"/>
        <v>0</v>
      </c>
      <c r="M241" s="202">
        <v>266</v>
      </c>
      <c r="N241" s="202">
        <f>+M241*1000/(29.8*10*13*60)*T241</f>
        <v>3.4331440371708828</v>
      </c>
      <c r="O241" s="202"/>
      <c r="P241" s="202">
        <f t="shared" si="29"/>
        <v>0</v>
      </c>
      <c r="Q241" s="202"/>
      <c r="R241" s="19">
        <f t="shared" si="30"/>
        <v>0</v>
      </c>
      <c r="S241" s="202">
        <f t="shared" si="31"/>
        <v>0</v>
      </c>
      <c r="T241" s="20">
        <v>3</v>
      </c>
      <c r="U241" s="20"/>
      <c r="V241" s="20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00">
        <v>300027</v>
      </c>
      <c r="B242" s="197" t="s">
        <v>55</v>
      </c>
      <c r="C242" s="219" t="s">
        <v>56</v>
      </c>
      <c r="D242" s="219"/>
      <c r="E242" s="204" t="s">
        <v>54</v>
      </c>
      <c r="F242" s="203"/>
      <c r="G242" s="202"/>
      <c r="H242" s="202"/>
      <c r="I242" s="202"/>
      <c r="J242" s="202"/>
      <c r="K242" s="202">
        <f t="shared" si="26"/>
        <v>0</v>
      </c>
      <c r="L242" s="202">
        <f t="shared" si="27"/>
        <v>0</v>
      </c>
      <c r="M242" s="202">
        <v>550.4</v>
      </c>
      <c r="N242" s="202">
        <f>+M242*1000/(31*20*15*60)*T242</f>
        <v>2.9591397849462364</v>
      </c>
      <c r="O242" s="202"/>
      <c r="P242" s="202">
        <f t="shared" si="29"/>
        <v>0</v>
      </c>
      <c r="Q242" s="202"/>
      <c r="R242" s="19">
        <f t="shared" si="30"/>
        <v>0</v>
      </c>
      <c r="S242" s="202">
        <f t="shared" si="31"/>
        <v>0</v>
      </c>
      <c r="T242" s="20">
        <v>3</v>
      </c>
      <c r="U242" s="20"/>
      <c r="V242" s="20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00">
        <v>300028</v>
      </c>
      <c r="B243" s="197" t="s">
        <v>55</v>
      </c>
      <c r="C243" s="219" t="s">
        <v>56</v>
      </c>
      <c r="D243" s="219"/>
      <c r="E243" s="204" t="s">
        <v>35</v>
      </c>
      <c r="F243" s="203"/>
      <c r="G243" s="202"/>
      <c r="H243" s="202"/>
      <c r="I243" s="202"/>
      <c r="J243" s="202"/>
      <c r="K243" s="202">
        <f t="shared" si="26"/>
        <v>0</v>
      </c>
      <c r="L243" s="202">
        <f t="shared" si="27"/>
        <v>0</v>
      </c>
      <c r="M243" s="202">
        <v>550.4</v>
      </c>
      <c r="N243" s="202">
        <f>+M243*1000/(31*20*15*60)*T243</f>
        <v>2.9591397849462364</v>
      </c>
      <c r="O243" s="202"/>
      <c r="P243" s="202">
        <f t="shared" si="29"/>
        <v>0</v>
      </c>
      <c r="Q243" s="202"/>
      <c r="R243" s="19">
        <f t="shared" si="30"/>
        <v>0</v>
      </c>
      <c r="S243" s="202">
        <f t="shared" si="31"/>
        <v>0</v>
      </c>
      <c r="T243" s="20">
        <v>3</v>
      </c>
      <c r="U243" s="20"/>
      <c r="V243" s="20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00">
        <v>300029</v>
      </c>
      <c r="B244" s="197" t="s">
        <v>55</v>
      </c>
      <c r="C244" s="219" t="s">
        <v>56</v>
      </c>
      <c r="D244" s="219"/>
      <c r="E244" s="204" t="s">
        <v>57</v>
      </c>
      <c r="F244" s="203"/>
      <c r="G244" s="202"/>
      <c r="H244" s="202"/>
      <c r="I244" s="202"/>
      <c r="J244" s="202"/>
      <c r="K244" s="202">
        <f t="shared" si="26"/>
        <v>0</v>
      </c>
      <c r="L244" s="202">
        <f t="shared" si="27"/>
        <v>0</v>
      </c>
      <c r="M244" s="202">
        <v>550.4</v>
      </c>
      <c r="N244" s="202">
        <f>+M244*1000/(31*20*15*60)*T244</f>
        <v>2.9591397849462364</v>
      </c>
      <c r="O244" s="202"/>
      <c r="P244" s="202">
        <f t="shared" si="29"/>
        <v>0</v>
      </c>
      <c r="Q244" s="202"/>
      <c r="R244" s="19">
        <f t="shared" si="30"/>
        <v>0</v>
      </c>
      <c r="S244" s="202">
        <f t="shared" si="31"/>
        <v>0</v>
      </c>
      <c r="T244" s="20">
        <v>3</v>
      </c>
      <c r="U244" s="20"/>
      <c r="V244" s="20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00">
        <v>300026</v>
      </c>
      <c r="B245" s="197" t="s">
        <v>55</v>
      </c>
      <c r="C245" s="219" t="s">
        <v>56</v>
      </c>
      <c r="D245" s="219"/>
      <c r="E245" s="204" t="s">
        <v>37</v>
      </c>
      <c r="F245" s="203"/>
      <c r="G245" s="202"/>
      <c r="H245" s="202"/>
      <c r="I245" s="202"/>
      <c r="J245" s="202"/>
      <c r="K245" s="202">
        <f t="shared" si="26"/>
        <v>0</v>
      </c>
      <c r="L245" s="202">
        <f t="shared" si="27"/>
        <v>0</v>
      </c>
      <c r="M245" s="202">
        <v>550.4</v>
      </c>
      <c r="N245" s="202">
        <f>+M245*1000/(31*20*15*60)*T245</f>
        <v>2.9591397849462364</v>
      </c>
      <c r="O245" s="202"/>
      <c r="P245" s="202">
        <f t="shared" si="29"/>
        <v>0</v>
      </c>
      <c r="Q245" s="202"/>
      <c r="R245" s="19">
        <f t="shared" si="30"/>
        <v>0</v>
      </c>
      <c r="S245" s="202">
        <f t="shared" si="31"/>
        <v>0</v>
      </c>
      <c r="T245" s="20">
        <v>3</v>
      </c>
      <c r="U245" s="20"/>
      <c r="V245" s="20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00">
        <v>300032</v>
      </c>
      <c r="B246" s="197">
        <v>3002</v>
      </c>
      <c r="C246" s="219" t="s">
        <v>58</v>
      </c>
      <c r="D246" s="219" t="s">
        <v>59</v>
      </c>
      <c r="E246" s="204" t="s">
        <v>35</v>
      </c>
      <c r="F246" s="203"/>
      <c r="G246" s="202"/>
      <c r="H246" s="202"/>
      <c r="I246" s="202"/>
      <c r="J246" s="202"/>
      <c r="K246" s="202">
        <f t="shared" si="26"/>
        <v>0</v>
      </c>
      <c r="L246" s="202">
        <f t="shared" si="27"/>
        <v>0</v>
      </c>
      <c r="M246" s="202">
        <v>285.7</v>
      </c>
      <c r="N246" s="202">
        <f>+M246*1000/(31*10*13*60)*T246</f>
        <v>7.0893300248138953</v>
      </c>
      <c r="O246" s="202"/>
      <c r="P246" s="202">
        <f t="shared" si="29"/>
        <v>0</v>
      </c>
      <c r="Q246" s="202"/>
      <c r="R246" s="19">
        <f t="shared" si="30"/>
        <v>0</v>
      </c>
      <c r="S246" s="202">
        <f t="shared" si="31"/>
        <v>0</v>
      </c>
      <c r="T246" s="20">
        <v>6</v>
      </c>
      <c r="U246" s="20"/>
      <c r="V246" s="20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customHeight="1">
      <c r="A247" s="200">
        <v>300413</v>
      </c>
      <c r="B247" s="197" t="s">
        <v>321</v>
      </c>
      <c r="C247" s="230" t="s">
        <v>296</v>
      </c>
      <c r="D247" s="231"/>
      <c r="E247" s="204" t="s">
        <v>294</v>
      </c>
      <c r="F247" s="203">
        <v>2078</v>
      </c>
      <c r="G247" s="202">
        <v>7.3</v>
      </c>
      <c r="H247" s="202">
        <v>1.3</v>
      </c>
      <c r="I247" s="202">
        <f>6+H247</f>
        <v>7.3</v>
      </c>
      <c r="J247" s="202"/>
      <c r="K247" s="202">
        <f t="shared" si="26"/>
        <v>3860.24</v>
      </c>
      <c r="L247" s="202">
        <f t="shared" si="27"/>
        <v>3860.24</v>
      </c>
      <c r="M247" s="202">
        <v>528.79999999999995</v>
      </c>
      <c r="N247" s="202">
        <f>+M247*1000/(31*10*13*60)*T247</f>
        <v>6.5607940446650126</v>
      </c>
      <c r="O247" s="202"/>
      <c r="P247" s="202">
        <f t="shared" si="29"/>
        <v>47.893796526054594</v>
      </c>
      <c r="Q247" s="202">
        <v>11</v>
      </c>
      <c r="R247" s="19">
        <f t="shared" si="30"/>
        <v>22</v>
      </c>
      <c r="S247" s="202">
        <f t="shared" si="31"/>
        <v>-25.893796526054594</v>
      </c>
      <c r="T247" s="20">
        <v>3</v>
      </c>
      <c r="U247" s="20">
        <v>2</v>
      </c>
      <c r="V247" s="201">
        <f t="array" ref="V247">IF(ISERROR(L247/K247),"",L247/K247)</f>
        <v>1</v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00">
        <v>300414</v>
      </c>
      <c r="B248" s="197">
        <v>3002</v>
      </c>
      <c r="C248" s="230" t="s">
        <v>296</v>
      </c>
      <c r="D248" s="231"/>
      <c r="E248" s="204" t="s">
        <v>291</v>
      </c>
      <c r="F248" s="203"/>
      <c r="G248" s="202"/>
      <c r="H248" s="202"/>
      <c r="I248" s="202"/>
      <c r="J248" s="202"/>
      <c r="K248" s="202">
        <f t="shared" si="26"/>
        <v>0</v>
      </c>
      <c r="L248" s="202">
        <f t="shared" si="27"/>
        <v>0</v>
      </c>
      <c r="M248" s="202">
        <v>528.79999999999995</v>
      </c>
      <c r="N248" s="202">
        <f>+M248*1000/(31*10*13*60)*T248</f>
        <v>6.5607940446650126</v>
      </c>
      <c r="O248" s="202"/>
      <c r="P248" s="202">
        <f t="shared" si="29"/>
        <v>0</v>
      </c>
      <c r="Q248" s="202"/>
      <c r="R248" s="19">
        <f t="shared" si="30"/>
        <v>0</v>
      </c>
      <c r="S248" s="202">
        <f t="shared" si="31"/>
        <v>0</v>
      </c>
      <c r="T248" s="20">
        <v>3</v>
      </c>
      <c r="U248" s="20"/>
      <c r="V248" s="201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00">
        <v>300415</v>
      </c>
      <c r="B249" s="197">
        <v>3004</v>
      </c>
      <c r="C249" s="230" t="s">
        <v>296</v>
      </c>
      <c r="D249" s="231"/>
      <c r="E249" s="204" t="s">
        <v>295</v>
      </c>
      <c r="F249" s="203"/>
      <c r="G249" s="202"/>
      <c r="H249" s="202"/>
      <c r="I249" s="202"/>
      <c r="J249" s="202"/>
      <c r="K249" s="202">
        <f t="shared" si="26"/>
        <v>0</v>
      </c>
      <c r="L249" s="202">
        <f t="shared" si="27"/>
        <v>0</v>
      </c>
      <c r="M249" s="202">
        <v>528.79999999999995</v>
      </c>
      <c r="N249" s="202">
        <f>+M249*1000/(31*10*13*60)*T249</f>
        <v>6.5607940446650126</v>
      </c>
      <c r="O249" s="202"/>
      <c r="P249" s="202">
        <f t="shared" si="29"/>
        <v>0</v>
      </c>
      <c r="Q249" s="202"/>
      <c r="R249" s="19">
        <f t="shared" si="30"/>
        <v>0</v>
      </c>
      <c r="S249" s="202">
        <f t="shared" si="31"/>
        <v>0</v>
      </c>
      <c r="T249" s="20">
        <v>3</v>
      </c>
      <c r="U249" s="20"/>
      <c r="V249" s="201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00">
        <v>300035</v>
      </c>
      <c r="B250" s="197" t="s">
        <v>60</v>
      </c>
      <c r="C250" s="219" t="s">
        <v>61</v>
      </c>
      <c r="D250" s="219" t="s">
        <v>62</v>
      </c>
      <c r="E250" s="204" t="s">
        <v>35</v>
      </c>
      <c r="F250" s="203"/>
      <c r="G250" s="202"/>
      <c r="H250" s="202"/>
      <c r="I250" s="202"/>
      <c r="J250" s="202"/>
      <c r="K250" s="202">
        <f t="shared" si="26"/>
        <v>0</v>
      </c>
      <c r="L250" s="202">
        <f t="shared" si="27"/>
        <v>0</v>
      </c>
      <c r="M250" s="202">
        <v>366.93</v>
      </c>
      <c r="N250" s="202">
        <f>+M250*1000/(35.8*10*13*60)*T250</f>
        <v>2.6280618822518265</v>
      </c>
      <c r="O250" s="202"/>
      <c r="P250" s="202">
        <f t="shared" si="29"/>
        <v>0</v>
      </c>
      <c r="Q250" s="202"/>
      <c r="R250" s="19">
        <f t="shared" si="30"/>
        <v>0</v>
      </c>
      <c r="S250" s="202">
        <f t="shared" si="31"/>
        <v>0</v>
      </c>
      <c r="T250" s="20">
        <v>2</v>
      </c>
      <c r="U250" s="20"/>
      <c r="V250" s="20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00">
        <v>300036</v>
      </c>
      <c r="B251" s="197" t="s">
        <v>60</v>
      </c>
      <c r="C251" s="219" t="s">
        <v>61</v>
      </c>
      <c r="D251" s="219" t="s">
        <v>62</v>
      </c>
      <c r="E251" s="204" t="s">
        <v>63</v>
      </c>
      <c r="F251" s="203"/>
      <c r="G251" s="202"/>
      <c r="H251" s="202"/>
      <c r="I251" s="202"/>
      <c r="J251" s="202"/>
      <c r="K251" s="202">
        <f t="shared" si="26"/>
        <v>0</v>
      </c>
      <c r="L251" s="202">
        <f t="shared" si="27"/>
        <v>0</v>
      </c>
      <c r="M251" s="202">
        <v>366.93</v>
      </c>
      <c r="N251" s="202">
        <f>+M251*1000/(35.8*10*13*60)*T251</f>
        <v>2.6280618822518265</v>
      </c>
      <c r="O251" s="202"/>
      <c r="P251" s="202">
        <f t="shared" si="29"/>
        <v>0</v>
      </c>
      <c r="Q251" s="202"/>
      <c r="R251" s="19">
        <f t="shared" si="30"/>
        <v>0</v>
      </c>
      <c r="S251" s="202">
        <f t="shared" si="31"/>
        <v>0</v>
      </c>
      <c r="T251" s="20">
        <v>2</v>
      </c>
      <c r="U251" s="20"/>
      <c r="V251" s="20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200">
        <v>300037</v>
      </c>
      <c r="B252" s="197" t="s">
        <v>60</v>
      </c>
      <c r="C252" s="219" t="s">
        <v>61</v>
      </c>
      <c r="D252" s="219" t="s">
        <v>62</v>
      </c>
      <c r="E252" s="204" t="s">
        <v>37</v>
      </c>
      <c r="F252" s="203"/>
      <c r="G252" s="202"/>
      <c r="H252" s="202"/>
      <c r="I252" s="202"/>
      <c r="J252" s="202"/>
      <c r="K252" s="202">
        <f t="shared" si="26"/>
        <v>0</v>
      </c>
      <c r="L252" s="202">
        <f t="shared" si="27"/>
        <v>0</v>
      </c>
      <c r="M252" s="202">
        <v>366.93</v>
      </c>
      <c r="N252" s="202">
        <f>+M252*1000/(35.8*10*13*60)*T252</f>
        <v>2.6280618822518265</v>
      </c>
      <c r="O252" s="202"/>
      <c r="P252" s="202">
        <f t="shared" si="29"/>
        <v>0</v>
      </c>
      <c r="Q252" s="202"/>
      <c r="R252" s="19">
        <f t="shared" si="30"/>
        <v>0</v>
      </c>
      <c r="S252" s="202">
        <f t="shared" si="31"/>
        <v>0</v>
      </c>
      <c r="T252" s="20">
        <v>2</v>
      </c>
      <c r="U252" s="20"/>
      <c r="V252" s="20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200">
        <v>300038</v>
      </c>
      <c r="B253" s="197" t="s">
        <v>60</v>
      </c>
      <c r="C253" s="219" t="s">
        <v>64</v>
      </c>
      <c r="D253" s="219" t="s">
        <v>65</v>
      </c>
      <c r="E253" s="204" t="s">
        <v>35</v>
      </c>
      <c r="F253" s="203"/>
      <c r="G253" s="202"/>
      <c r="H253" s="202"/>
      <c r="I253" s="202"/>
      <c r="J253" s="202"/>
      <c r="K253" s="202">
        <f t="shared" si="26"/>
        <v>0</v>
      </c>
      <c r="L253" s="202">
        <f t="shared" si="27"/>
        <v>0</v>
      </c>
      <c r="M253" s="202">
        <v>301.14</v>
      </c>
      <c r="N253" s="202">
        <f>+M253*1000/(35.8*10*13*60)*T253</f>
        <v>5.3921357971637294</v>
      </c>
      <c r="O253" s="202"/>
      <c r="P253" s="202">
        <f t="shared" si="29"/>
        <v>0</v>
      </c>
      <c r="Q253" s="202"/>
      <c r="R253" s="19">
        <f t="shared" si="30"/>
        <v>0</v>
      </c>
      <c r="S253" s="202">
        <f t="shared" si="31"/>
        <v>0</v>
      </c>
      <c r="T253" s="20">
        <v>5</v>
      </c>
      <c r="U253" s="20"/>
      <c r="V253" s="20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00">
        <v>300039</v>
      </c>
      <c r="B254" s="197" t="s">
        <v>60</v>
      </c>
      <c r="C254" s="219" t="s">
        <v>64</v>
      </c>
      <c r="D254" s="219" t="s">
        <v>65</v>
      </c>
      <c r="E254" s="204" t="s">
        <v>66</v>
      </c>
      <c r="F254" s="203"/>
      <c r="G254" s="202"/>
      <c r="H254" s="202"/>
      <c r="I254" s="202"/>
      <c r="J254" s="202"/>
      <c r="K254" s="202">
        <f t="shared" si="26"/>
        <v>0</v>
      </c>
      <c r="L254" s="202">
        <f t="shared" si="27"/>
        <v>0</v>
      </c>
      <c r="M254" s="202">
        <v>310.39999999999998</v>
      </c>
      <c r="N254" s="202">
        <f>+M254*1000/(35.8*10*13*60)*T254</f>
        <v>5.557942988110586</v>
      </c>
      <c r="O254" s="202"/>
      <c r="P254" s="202">
        <f t="shared" si="29"/>
        <v>0</v>
      </c>
      <c r="Q254" s="202"/>
      <c r="R254" s="19">
        <f t="shared" si="30"/>
        <v>0</v>
      </c>
      <c r="S254" s="202">
        <f t="shared" si="31"/>
        <v>0</v>
      </c>
      <c r="T254" s="20">
        <v>5</v>
      </c>
      <c r="U254" s="20"/>
      <c r="V254" s="20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00">
        <v>300416</v>
      </c>
      <c r="B255" s="197" t="s">
        <v>67</v>
      </c>
      <c r="C255" s="230" t="s">
        <v>68</v>
      </c>
      <c r="D255" s="231"/>
      <c r="E255" s="204" t="s">
        <v>69</v>
      </c>
      <c r="F255" s="203"/>
      <c r="G255" s="202"/>
      <c r="H255" s="202"/>
      <c r="I255" s="202"/>
      <c r="J255" s="202"/>
      <c r="K255" s="202">
        <f t="shared" si="26"/>
        <v>0</v>
      </c>
      <c r="L255" s="202">
        <f t="shared" si="27"/>
        <v>0</v>
      </c>
      <c r="M255" s="202">
        <v>385.6</v>
      </c>
      <c r="N255" s="202">
        <f>+M255*1000/(25.4*20*15*60)*T255</f>
        <v>2.5301837270341205</v>
      </c>
      <c r="O255" s="202"/>
      <c r="P255" s="202">
        <f t="shared" si="29"/>
        <v>0</v>
      </c>
      <c r="Q255" s="202"/>
      <c r="R255" s="19">
        <f t="shared" si="30"/>
        <v>0</v>
      </c>
      <c r="S255" s="202">
        <f t="shared" si="31"/>
        <v>0</v>
      </c>
      <c r="T255" s="20">
        <v>3</v>
      </c>
      <c r="U255" s="20"/>
      <c r="V255" s="201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00">
        <v>300417</v>
      </c>
      <c r="B256" s="197" t="s">
        <v>67</v>
      </c>
      <c r="C256" s="230" t="s">
        <v>68</v>
      </c>
      <c r="D256" s="231"/>
      <c r="E256" s="204" t="s">
        <v>70</v>
      </c>
      <c r="F256" s="203"/>
      <c r="G256" s="202"/>
      <c r="H256" s="202"/>
      <c r="I256" s="202"/>
      <c r="J256" s="202"/>
      <c r="K256" s="202">
        <f t="shared" si="26"/>
        <v>0</v>
      </c>
      <c r="L256" s="202">
        <f t="shared" si="27"/>
        <v>0</v>
      </c>
      <c r="M256" s="202">
        <v>385.6</v>
      </c>
      <c r="N256" s="202">
        <f>+M256*1000/(25.4*20*15*60)*T256</f>
        <v>2.5301837270341205</v>
      </c>
      <c r="O256" s="202"/>
      <c r="P256" s="202">
        <f t="shared" si="29"/>
        <v>0</v>
      </c>
      <c r="Q256" s="202"/>
      <c r="R256" s="19">
        <f t="shared" si="30"/>
        <v>0</v>
      </c>
      <c r="S256" s="202">
        <f t="shared" si="31"/>
        <v>0</v>
      </c>
      <c r="T256" s="20">
        <v>3</v>
      </c>
      <c r="U256" s="20"/>
      <c r="V256" s="201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00">
        <v>300418</v>
      </c>
      <c r="B257" s="197" t="s">
        <v>67</v>
      </c>
      <c r="C257" s="230" t="s">
        <v>68</v>
      </c>
      <c r="D257" s="231"/>
      <c r="E257" s="204" t="s">
        <v>71</v>
      </c>
      <c r="F257" s="203"/>
      <c r="G257" s="202"/>
      <c r="H257" s="202"/>
      <c r="I257" s="202"/>
      <c r="J257" s="202"/>
      <c r="K257" s="202">
        <f t="shared" si="26"/>
        <v>0</v>
      </c>
      <c r="L257" s="202">
        <f t="shared" si="27"/>
        <v>0</v>
      </c>
      <c r="M257" s="202">
        <v>385.6</v>
      </c>
      <c r="N257" s="202">
        <f>+M257*1000/(25.4*20*15*60)*T257</f>
        <v>2.5301837270341205</v>
      </c>
      <c r="O257" s="202"/>
      <c r="P257" s="202">
        <f t="shared" si="29"/>
        <v>0</v>
      </c>
      <c r="Q257" s="202"/>
      <c r="R257" s="19">
        <f t="shared" si="30"/>
        <v>0</v>
      </c>
      <c r="S257" s="202">
        <f t="shared" si="31"/>
        <v>0</v>
      </c>
      <c r="T257" s="20">
        <v>3</v>
      </c>
      <c r="U257" s="20"/>
      <c r="V257" s="201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200">
        <v>300419</v>
      </c>
      <c r="B258" s="197">
        <v>4503</v>
      </c>
      <c r="C258" s="230" t="s">
        <v>68</v>
      </c>
      <c r="D258" s="231"/>
      <c r="E258" s="204" t="s">
        <v>72</v>
      </c>
      <c r="F258" s="203">
        <v>2139</v>
      </c>
      <c r="G258" s="202">
        <v>3</v>
      </c>
      <c r="H258" s="202"/>
      <c r="I258" s="202">
        <f>3-J258/350</f>
        <v>2.7142857142857144</v>
      </c>
      <c r="J258" s="202">
        <v>100</v>
      </c>
      <c r="K258" s="202">
        <f t="shared" si="26"/>
        <v>1156.8000000000002</v>
      </c>
      <c r="L258" s="202">
        <f t="shared" si="27"/>
        <v>1046.6285714285716</v>
      </c>
      <c r="M258" s="202">
        <v>385.6</v>
      </c>
      <c r="N258" s="202">
        <f>+M258*1000/(25.4*20*15*60)*T258</f>
        <v>2.5301837270341205</v>
      </c>
      <c r="O258" s="202">
        <v>0.5</v>
      </c>
      <c r="P258" s="202">
        <f t="shared" si="29"/>
        <v>7.867641544806899</v>
      </c>
      <c r="Q258" s="202">
        <v>3</v>
      </c>
      <c r="R258" s="19">
        <f t="shared" si="30"/>
        <v>6</v>
      </c>
      <c r="S258" s="202">
        <f t="shared" si="31"/>
        <v>-1.867641544806899</v>
      </c>
      <c r="T258" s="20">
        <v>3</v>
      </c>
      <c r="U258" s="20">
        <v>2</v>
      </c>
      <c r="V258" s="201">
        <f t="array" ref="V258">IF(ISERROR(L258/K258),"",L258/K258)</f>
        <v>0.90476190476190477</v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00">
        <v>300260</v>
      </c>
      <c r="B259" s="197" t="s">
        <v>67</v>
      </c>
      <c r="C259" s="219" t="s">
        <v>73</v>
      </c>
      <c r="D259" s="219"/>
      <c r="E259" s="204" t="s">
        <v>74</v>
      </c>
      <c r="F259" s="203"/>
      <c r="G259" s="202"/>
      <c r="H259" s="202"/>
      <c r="I259" s="202"/>
      <c r="J259" s="202"/>
      <c r="K259" s="202">
        <f t="shared" si="26"/>
        <v>0</v>
      </c>
      <c r="L259" s="202">
        <f t="shared" si="27"/>
        <v>0</v>
      </c>
      <c r="M259" s="202">
        <v>434.33</v>
      </c>
      <c r="N259" s="202">
        <f>+M259*1000/(42.7*10*15*60)*T259</f>
        <v>2.2603695029924538</v>
      </c>
      <c r="O259" s="202"/>
      <c r="P259" s="202">
        <f t="shared" si="29"/>
        <v>0</v>
      </c>
      <c r="Q259" s="202"/>
      <c r="R259" s="19">
        <f t="shared" si="30"/>
        <v>0</v>
      </c>
      <c r="S259" s="202">
        <f t="shared" si="31"/>
        <v>0</v>
      </c>
      <c r="T259" s="20">
        <v>2</v>
      </c>
      <c r="U259" s="20"/>
      <c r="V259" s="20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00">
        <v>300261</v>
      </c>
      <c r="B260" s="197" t="s">
        <v>67</v>
      </c>
      <c r="C260" s="219" t="s">
        <v>73</v>
      </c>
      <c r="D260" s="219"/>
      <c r="E260" s="204" t="s">
        <v>41</v>
      </c>
      <c r="F260" s="203"/>
      <c r="G260" s="202"/>
      <c r="H260" s="202"/>
      <c r="I260" s="202"/>
      <c r="J260" s="202"/>
      <c r="K260" s="202">
        <f t="shared" si="26"/>
        <v>0</v>
      </c>
      <c r="L260" s="202">
        <f t="shared" si="27"/>
        <v>0</v>
      </c>
      <c r="M260" s="202">
        <v>434.33</v>
      </c>
      <c r="N260" s="202">
        <f>+M260*1000/(42.7*10*15*60)*T260</f>
        <v>2.2603695029924538</v>
      </c>
      <c r="O260" s="202"/>
      <c r="P260" s="202">
        <f t="shared" si="29"/>
        <v>0</v>
      </c>
      <c r="Q260" s="202"/>
      <c r="R260" s="19">
        <f t="shared" si="30"/>
        <v>0</v>
      </c>
      <c r="S260" s="202">
        <f t="shared" si="31"/>
        <v>0</v>
      </c>
      <c r="T260" s="20">
        <v>2</v>
      </c>
      <c r="U260" s="20"/>
      <c r="V260" s="20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00">
        <v>300262</v>
      </c>
      <c r="B261" s="197" t="s">
        <v>67</v>
      </c>
      <c r="C261" s="219" t="s">
        <v>73</v>
      </c>
      <c r="D261" s="219"/>
      <c r="E261" s="204" t="s">
        <v>39</v>
      </c>
      <c r="F261" s="203"/>
      <c r="G261" s="202"/>
      <c r="H261" s="202"/>
      <c r="I261" s="202"/>
      <c r="J261" s="202"/>
      <c r="K261" s="202">
        <f t="shared" si="26"/>
        <v>0</v>
      </c>
      <c r="L261" s="202">
        <f t="shared" si="27"/>
        <v>0</v>
      </c>
      <c r="M261" s="202">
        <v>434.33</v>
      </c>
      <c r="N261" s="202">
        <f>+M261*1000/(42.7*10*15*60)*T261</f>
        <v>2.2603695029924538</v>
      </c>
      <c r="O261" s="202"/>
      <c r="P261" s="202">
        <f t="shared" si="29"/>
        <v>0</v>
      </c>
      <c r="Q261" s="202"/>
      <c r="R261" s="19">
        <f t="shared" si="30"/>
        <v>0</v>
      </c>
      <c r="S261" s="202">
        <f t="shared" si="31"/>
        <v>0</v>
      </c>
      <c r="T261" s="20">
        <v>2</v>
      </c>
      <c r="U261" s="20"/>
      <c r="V261" s="20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00">
        <v>300263</v>
      </c>
      <c r="B262" s="197" t="s">
        <v>67</v>
      </c>
      <c r="C262" s="219" t="s">
        <v>73</v>
      </c>
      <c r="D262" s="219"/>
      <c r="E262" s="204" t="s">
        <v>54</v>
      </c>
      <c r="F262" s="203"/>
      <c r="G262" s="202"/>
      <c r="H262" s="202"/>
      <c r="I262" s="202"/>
      <c r="J262" s="202"/>
      <c r="K262" s="202">
        <f t="shared" si="26"/>
        <v>0</v>
      </c>
      <c r="L262" s="202">
        <f t="shared" si="27"/>
        <v>0</v>
      </c>
      <c r="M262" s="202">
        <v>434.33</v>
      </c>
      <c r="N262" s="202">
        <f>+M262*1000/(42.7*10*15*60)*T262</f>
        <v>2.2603695029924538</v>
      </c>
      <c r="O262" s="202"/>
      <c r="P262" s="202">
        <f t="shared" si="29"/>
        <v>0</v>
      </c>
      <c r="Q262" s="202"/>
      <c r="R262" s="19">
        <f t="shared" si="30"/>
        <v>0</v>
      </c>
      <c r="S262" s="202">
        <f t="shared" si="31"/>
        <v>0</v>
      </c>
      <c r="T262" s="20">
        <v>2</v>
      </c>
      <c r="U262" s="20"/>
      <c r="V262" s="20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200">
        <v>300051</v>
      </c>
      <c r="B263" s="197" t="s">
        <v>67</v>
      </c>
      <c r="C263" s="219" t="s">
        <v>75</v>
      </c>
      <c r="D263" s="219" t="s">
        <v>76</v>
      </c>
      <c r="E263" s="204" t="s">
        <v>40</v>
      </c>
      <c r="F263" s="203"/>
      <c r="G263" s="202"/>
      <c r="H263" s="202"/>
      <c r="I263" s="202"/>
      <c r="J263" s="202"/>
      <c r="K263" s="202">
        <f t="shared" si="26"/>
        <v>0</v>
      </c>
      <c r="L263" s="202">
        <f t="shared" si="27"/>
        <v>0</v>
      </c>
      <c r="M263" s="202">
        <v>545.9</v>
      </c>
      <c r="N263" s="202">
        <f>+M263*1000/(41.5*10*16*60)*T263</f>
        <v>2.7404618473895583</v>
      </c>
      <c r="O263" s="202"/>
      <c r="P263" s="202">
        <f t="shared" si="29"/>
        <v>0</v>
      </c>
      <c r="Q263" s="202"/>
      <c r="R263" s="19">
        <f t="shared" si="30"/>
        <v>0</v>
      </c>
      <c r="S263" s="202">
        <f t="shared" si="31"/>
        <v>0</v>
      </c>
      <c r="T263" s="22">
        <v>2</v>
      </c>
      <c r="U263" s="20"/>
      <c r="V263" s="20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00">
        <v>300052</v>
      </c>
      <c r="B264" s="197" t="s">
        <v>67</v>
      </c>
      <c r="C264" s="219" t="s">
        <v>75</v>
      </c>
      <c r="D264" s="219" t="s">
        <v>76</v>
      </c>
      <c r="E264" s="204" t="s">
        <v>39</v>
      </c>
      <c r="F264" s="203"/>
      <c r="G264" s="202"/>
      <c r="H264" s="202"/>
      <c r="I264" s="202"/>
      <c r="J264" s="202"/>
      <c r="K264" s="202">
        <f t="shared" si="26"/>
        <v>0</v>
      </c>
      <c r="L264" s="202">
        <f t="shared" si="27"/>
        <v>0</v>
      </c>
      <c r="M264" s="202">
        <v>545.9</v>
      </c>
      <c r="N264" s="202">
        <f>+M264*1000/(41.5*10*16*60)*T264</f>
        <v>2.7404618473895583</v>
      </c>
      <c r="O264" s="202"/>
      <c r="P264" s="202">
        <f t="shared" si="29"/>
        <v>0</v>
      </c>
      <c r="Q264" s="202"/>
      <c r="R264" s="19">
        <f t="shared" si="30"/>
        <v>0</v>
      </c>
      <c r="S264" s="202">
        <f t="shared" si="31"/>
        <v>0</v>
      </c>
      <c r="T264" s="20">
        <v>2</v>
      </c>
      <c r="U264" s="20"/>
      <c r="V264" s="20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00">
        <v>300054</v>
      </c>
      <c r="B265" s="197" t="s">
        <v>67</v>
      </c>
      <c r="C265" s="219" t="s">
        <v>75</v>
      </c>
      <c r="D265" s="219" t="s">
        <v>76</v>
      </c>
      <c r="E265" s="204" t="s">
        <v>38</v>
      </c>
      <c r="F265" s="203"/>
      <c r="G265" s="202"/>
      <c r="H265" s="202"/>
      <c r="I265" s="202"/>
      <c r="J265" s="202"/>
      <c r="K265" s="202">
        <f t="shared" si="26"/>
        <v>0</v>
      </c>
      <c r="L265" s="202">
        <f t="shared" si="27"/>
        <v>0</v>
      </c>
      <c r="M265" s="202">
        <v>545.9</v>
      </c>
      <c r="N265" s="202">
        <f>+M265*1000/(41.5*10*16*60)*T265</f>
        <v>2.7404618473895583</v>
      </c>
      <c r="O265" s="202"/>
      <c r="P265" s="202">
        <f t="shared" si="29"/>
        <v>0</v>
      </c>
      <c r="Q265" s="202"/>
      <c r="R265" s="19">
        <f t="shared" si="30"/>
        <v>0</v>
      </c>
      <c r="S265" s="202">
        <f t="shared" si="31"/>
        <v>0</v>
      </c>
      <c r="T265" s="20">
        <v>2</v>
      </c>
      <c r="U265" s="20"/>
      <c r="V265" s="20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200">
        <v>300436</v>
      </c>
      <c r="B266" s="197" t="s">
        <v>67</v>
      </c>
      <c r="C266" s="219" t="s">
        <v>75</v>
      </c>
      <c r="D266" s="219" t="s">
        <v>76</v>
      </c>
      <c r="E266" s="204" t="s">
        <v>301</v>
      </c>
      <c r="F266" s="203"/>
      <c r="G266" s="202"/>
      <c r="H266" s="202"/>
      <c r="I266" s="202"/>
      <c r="J266" s="202"/>
      <c r="K266" s="202">
        <f t="shared" si="26"/>
        <v>0</v>
      </c>
      <c r="L266" s="202">
        <f t="shared" si="27"/>
        <v>0</v>
      </c>
      <c r="M266" s="202">
        <v>545.9</v>
      </c>
      <c r="N266" s="202">
        <f>+M266*1000/(41.5*10*16*60)*T266</f>
        <v>2.7404618473895583</v>
      </c>
      <c r="O266" s="202"/>
      <c r="P266" s="202">
        <f t="shared" si="29"/>
        <v>0</v>
      </c>
      <c r="Q266" s="202"/>
      <c r="R266" s="19">
        <f t="shared" si="30"/>
        <v>0</v>
      </c>
      <c r="S266" s="202">
        <f t="shared" si="31"/>
        <v>0</v>
      </c>
      <c r="T266" s="20">
        <v>2</v>
      </c>
      <c r="U266" s="20"/>
      <c r="V266" s="201" t="str">
        <f t="array" ref="V266">IF(ISERROR(L266/K266),"",L266/K266)</f>
        <v/>
      </c>
      <c r="W266" s="20"/>
      <c r="X266" s="20"/>
      <c r="Y266" s="20"/>
      <c r="Z266" s="20"/>
      <c r="AA266" s="20"/>
      <c r="AB266" s="20"/>
      <c r="AC266" s="20"/>
    </row>
    <row r="267" spans="1:29" s="2" customFormat="1" ht="21.95" customHeight="1">
      <c r="A267" s="200">
        <v>300050</v>
      </c>
      <c r="B267" s="197">
        <v>4503</v>
      </c>
      <c r="C267" s="219" t="s">
        <v>77</v>
      </c>
      <c r="D267" s="219" t="s">
        <v>78</v>
      </c>
      <c r="E267" s="204" t="s">
        <v>79</v>
      </c>
      <c r="F267" s="203">
        <v>2082</v>
      </c>
      <c r="G267" s="202">
        <v>6</v>
      </c>
      <c r="H267" s="202"/>
      <c r="I267" s="202">
        <v>6</v>
      </c>
      <c r="J267" s="202"/>
      <c r="K267" s="202">
        <f t="shared" si="26"/>
        <v>2565</v>
      </c>
      <c r="L267" s="202">
        <f t="shared" si="27"/>
        <v>2565</v>
      </c>
      <c r="M267" s="202">
        <v>427.5</v>
      </c>
      <c r="N267" s="202">
        <f>+M267*1000/(45*10*14*60)*T267</f>
        <v>5.6547619047619051</v>
      </c>
      <c r="O267" s="202"/>
      <c r="P267" s="202">
        <f t="shared" si="29"/>
        <v>33.928571428571431</v>
      </c>
      <c r="Q267" s="202">
        <v>8.5</v>
      </c>
      <c r="R267" s="19">
        <f t="shared" si="30"/>
        <v>17</v>
      </c>
      <c r="S267" s="202">
        <f t="shared" si="31"/>
        <v>-16.928571428571431</v>
      </c>
      <c r="T267" s="20">
        <v>5</v>
      </c>
      <c r="U267" s="20">
        <v>2</v>
      </c>
      <c r="V267" s="201">
        <f t="array" ref="V267">IF(ISERROR(L267/K267),"",L267/K267)</f>
        <v>1</v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00">
        <v>300045</v>
      </c>
      <c r="B268" s="197" t="s">
        <v>67</v>
      </c>
      <c r="C268" s="219" t="s">
        <v>77</v>
      </c>
      <c r="D268" s="219" t="s">
        <v>78</v>
      </c>
      <c r="E268" s="204" t="s">
        <v>35</v>
      </c>
      <c r="F268" s="203"/>
      <c r="G268" s="202"/>
      <c r="H268" s="202"/>
      <c r="I268" s="202"/>
      <c r="J268" s="202"/>
      <c r="K268" s="202">
        <f t="shared" si="26"/>
        <v>0</v>
      </c>
      <c r="L268" s="202">
        <f t="shared" si="27"/>
        <v>0</v>
      </c>
      <c r="M268" s="202">
        <v>406.6</v>
      </c>
      <c r="N268" s="202">
        <f>+M268*1000/(45*10*13*60)*T268</f>
        <v>5.7920227920227916</v>
      </c>
      <c r="O268" s="202"/>
      <c r="P268" s="202">
        <f t="shared" si="29"/>
        <v>0</v>
      </c>
      <c r="Q268" s="202"/>
      <c r="R268" s="19">
        <f t="shared" si="30"/>
        <v>0</v>
      </c>
      <c r="S268" s="202">
        <f t="shared" si="31"/>
        <v>0</v>
      </c>
      <c r="T268" s="20">
        <v>5</v>
      </c>
      <c r="U268" s="20"/>
      <c r="V268" s="20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00">
        <v>300422</v>
      </c>
      <c r="B269" s="197" t="s">
        <v>67</v>
      </c>
      <c r="C269" s="230" t="s">
        <v>293</v>
      </c>
      <c r="D269" s="231"/>
      <c r="E269" s="204" t="s">
        <v>54</v>
      </c>
      <c r="F269" s="203"/>
      <c r="G269" s="202"/>
      <c r="H269" s="202"/>
      <c r="I269" s="202"/>
      <c r="J269" s="202"/>
      <c r="K269" s="202">
        <f t="shared" si="26"/>
        <v>0</v>
      </c>
      <c r="L269" s="202">
        <f t="shared" si="27"/>
        <v>0</v>
      </c>
      <c r="M269" s="202">
        <v>429.8</v>
      </c>
      <c r="N269" s="202">
        <f>+M269*1000/(45*10*13*60)*T269</f>
        <v>3.6735042735042738</v>
      </c>
      <c r="O269" s="202"/>
      <c r="P269" s="202">
        <f t="shared" si="29"/>
        <v>0</v>
      </c>
      <c r="Q269" s="202"/>
      <c r="R269" s="19">
        <f t="shared" si="30"/>
        <v>0</v>
      </c>
      <c r="S269" s="202">
        <f t="shared" si="31"/>
        <v>0</v>
      </c>
      <c r="T269" s="20">
        <v>3</v>
      </c>
      <c r="U269" s="20"/>
      <c r="V269" s="201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00">
        <v>300421</v>
      </c>
      <c r="B270" s="197" t="s">
        <v>67</v>
      </c>
      <c r="C270" s="230" t="s">
        <v>293</v>
      </c>
      <c r="D270" s="231"/>
      <c r="E270" s="204" t="s">
        <v>80</v>
      </c>
      <c r="F270" s="203"/>
      <c r="G270" s="202"/>
      <c r="H270" s="202"/>
      <c r="I270" s="202"/>
      <c r="J270" s="202"/>
      <c r="K270" s="202">
        <f t="shared" si="26"/>
        <v>0</v>
      </c>
      <c r="L270" s="202">
        <f t="shared" si="27"/>
        <v>0</v>
      </c>
      <c r="M270" s="202">
        <v>429.8</v>
      </c>
      <c r="N270" s="202">
        <f>+M270*1000/(45*10*13*60)*T270</f>
        <v>3.6735042735042738</v>
      </c>
      <c r="O270" s="202"/>
      <c r="P270" s="202">
        <f t="shared" si="29"/>
        <v>0</v>
      </c>
      <c r="Q270" s="202"/>
      <c r="R270" s="19">
        <f t="shared" si="30"/>
        <v>0</v>
      </c>
      <c r="S270" s="202">
        <f t="shared" si="31"/>
        <v>0</v>
      </c>
      <c r="T270" s="20">
        <v>3</v>
      </c>
      <c r="U270" s="20"/>
      <c r="V270" s="201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00">
        <v>300149</v>
      </c>
      <c r="B271" s="197" t="s">
        <v>67</v>
      </c>
      <c r="C271" s="219" t="s">
        <v>81</v>
      </c>
      <c r="D271" s="219" t="s">
        <v>82</v>
      </c>
      <c r="E271" s="204" t="s">
        <v>80</v>
      </c>
      <c r="F271" s="203"/>
      <c r="G271" s="202"/>
      <c r="H271" s="202"/>
      <c r="I271" s="202"/>
      <c r="J271" s="202"/>
      <c r="K271" s="202">
        <f t="shared" si="26"/>
        <v>0</v>
      </c>
      <c r="L271" s="202">
        <f t="shared" si="27"/>
        <v>0</v>
      </c>
      <c r="M271" s="202">
        <v>589.1</v>
      </c>
      <c r="N271" s="202">
        <f>+M271*1000/(67.1*10*13*60)*T271</f>
        <v>3.3767052619511633</v>
      </c>
      <c r="O271" s="202"/>
      <c r="P271" s="202">
        <f t="shared" si="29"/>
        <v>0</v>
      </c>
      <c r="Q271" s="202"/>
      <c r="R271" s="19">
        <f t="shared" si="30"/>
        <v>0</v>
      </c>
      <c r="S271" s="202">
        <f t="shared" si="31"/>
        <v>0</v>
      </c>
      <c r="T271" s="20">
        <v>3</v>
      </c>
      <c r="U271" s="20"/>
      <c r="V271" s="20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00">
        <v>300150</v>
      </c>
      <c r="B272" s="197" t="s">
        <v>67</v>
      </c>
      <c r="C272" s="219" t="s">
        <v>81</v>
      </c>
      <c r="D272" s="219" t="s">
        <v>82</v>
      </c>
      <c r="E272" s="204" t="s">
        <v>54</v>
      </c>
      <c r="F272" s="203"/>
      <c r="G272" s="202"/>
      <c r="H272" s="202"/>
      <c r="I272" s="202"/>
      <c r="J272" s="202"/>
      <c r="K272" s="202">
        <f t="shared" si="26"/>
        <v>0</v>
      </c>
      <c r="L272" s="202">
        <f t="shared" si="27"/>
        <v>0</v>
      </c>
      <c r="M272" s="202">
        <v>589.1</v>
      </c>
      <c r="N272" s="202">
        <f>+M272*1000/(67.1*10*13*60)*T272</f>
        <v>3.3767052619511633</v>
      </c>
      <c r="O272" s="202"/>
      <c r="P272" s="202">
        <f t="shared" si="29"/>
        <v>0</v>
      </c>
      <c r="Q272" s="202"/>
      <c r="R272" s="19">
        <f t="shared" si="30"/>
        <v>0</v>
      </c>
      <c r="S272" s="202">
        <f t="shared" si="31"/>
        <v>0</v>
      </c>
      <c r="T272" s="20">
        <v>3</v>
      </c>
      <c r="U272" s="20"/>
      <c r="V272" s="20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00">
        <v>300330</v>
      </c>
      <c r="B273" s="197" t="s">
        <v>67</v>
      </c>
      <c r="C273" s="230" t="s">
        <v>83</v>
      </c>
      <c r="D273" s="231"/>
      <c r="E273" s="204" t="s">
        <v>84</v>
      </c>
      <c r="F273" s="203"/>
      <c r="G273" s="202"/>
      <c r="H273" s="202"/>
      <c r="I273" s="202"/>
      <c r="J273" s="202"/>
      <c r="K273" s="202">
        <f t="shared" si="26"/>
        <v>0</v>
      </c>
      <c r="L273" s="202">
        <f t="shared" si="27"/>
        <v>0</v>
      </c>
      <c r="M273" s="202">
        <v>416.3</v>
      </c>
      <c r="N273" s="202">
        <f t="shared" ref="N273:N278" si="32">+M273*1000/(45*10*18*60)*T273</f>
        <v>1.7131687242798355</v>
      </c>
      <c r="O273" s="202"/>
      <c r="P273" s="202">
        <f t="shared" si="29"/>
        <v>0</v>
      </c>
      <c r="Q273" s="202"/>
      <c r="R273" s="19">
        <f t="shared" si="30"/>
        <v>0</v>
      </c>
      <c r="S273" s="202">
        <f t="shared" si="31"/>
        <v>0</v>
      </c>
      <c r="T273" s="20">
        <v>2</v>
      </c>
      <c r="U273" s="20"/>
      <c r="V273" s="20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00">
        <v>300331</v>
      </c>
      <c r="B274" s="197" t="s">
        <v>67</v>
      </c>
      <c r="C274" s="230" t="s">
        <v>83</v>
      </c>
      <c r="D274" s="231"/>
      <c r="E274" s="204" t="s">
        <v>49</v>
      </c>
      <c r="F274" s="203"/>
      <c r="G274" s="202"/>
      <c r="H274" s="202"/>
      <c r="I274" s="202"/>
      <c r="J274" s="202"/>
      <c r="K274" s="202">
        <f t="shared" si="26"/>
        <v>0</v>
      </c>
      <c r="L274" s="202">
        <f t="shared" si="27"/>
        <v>0</v>
      </c>
      <c r="M274" s="202">
        <v>416.3</v>
      </c>
      <c r="N274" s="202">
        <f t="shared" si="32"/>
        <v>1.7131687242798355</v>
      </c>
      <c r="O274" s="202"/>
      <c r="P274" s="202">
        <f t="shared" si="29"/>
        <v>0</v>
      </c>
      <c r="Q274" s="202"/>
      <c r="R274" s="19">
        <f t="shared" si="30"/>
        <v>0</v>
      </c>
      <c r="S274" s="202">
        <f t="shared" si="31"/>
        <v>0</v>
      </c>
      <c r="T274" s="20">
        <v>2</v>
      </c>
      <c r="U274" s="20"/>
      <c r="V274" s="201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00">
        <v>300332</v>
      </c>
      <c r="B275" s="197" t="s">
        <v>67</v>
      </c>
      <c r="C275" s="230" t="s">
        <v>83</v>
      </c>
      <c r="D275" s="231"/>
      <c r="E275" s="204" t="s">
        <v>85</v>
      </c>
      <c r="F275" s="203"/>
      <c r="G275" s="202"/>
      <c r="H275" s="202"/>
      <c r="I275" s="202"/>
      <c r="J275" s="202"/>
      <c r="K275" s="202">
        <f t="shared" si="26"/>
        <v>0</v>
      </c>
      <c r="L275" s="202">
        <f t="shared" si="27"/>
        <v>0</v>
      </c>
      <c r="M275" s="202">
        <v>416.3</v>
      </c>
      <c r="N275" s="202">
        <f t="shared" si="32"/>
        <v>1.7131687242798355</v>
      </c>
      <c r="O275" s="202"/>
      <c r="P275" s="202">
        <f t="shared" si="29"/>
        <v>0</v>
      </c>
      <c r="Q275" s="202"/>
      <c r="R275" s="19">
        <f t="shared" si="30"/>
        <v>0</v>
      </c>
      <c r="S275" s="202">
        <f t="shared" si="31"/>
        <v>0</v>
      </c>
      <c r="T275" s="20">
        <v>2</v>
      </c>
      <c r="U275" s="20"/>
      <c r="V275" s="201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00">
        <v>300333</v>
      </c>
      <c r="B276" s="197" t="s">
        <v>67</v>
      </c>
      <c r="C276" s="230" t="s">
        <v>86</v>
      </c>
      <c r="D276" s="231"/>
      <c r="E276" s="204" t="s">
        <v>84</v>
      </c>
      <c r="F276" s="203"/>
      <c r="G276" s="202"/>
      <c r="H276" s="202"/>
      <c r="I276" s="202"/>
      <c r="J276" s="202"/>
      <c r="K276" s="202">
        <f t="shared" si="26"/>
        <v>0</v>
      </c>
      <c r="L276" s="202">
        <f t="shared" si="27"/>
        <v>0</v>
      </c>
      <c r="M276" s="202">
        <v>416.3</v>
      </c>
      <c r="N276" s="202">
        <f t="shared" si="32"/>
        <v>1.7131687242798355</v>
      </c>
      <c r="O276" s="202"/>
      <c r="P276" s="202">
        <f t="shared" si="29"/>
        <v>0</v>
      </c>
      <c r="Q276" s="202"/>
      <c r="R276" s="19">
        <f t="shared" si="30"/>
        <v>0</v>
      </c>
      <c r="S276" s="202">
        <f t="shared" si="31"/>
        <v>0</v>
      </c>
      <c r="T276" s="20">
        <v>2</v>
      </c>
      <c r="U276" s="20"/>
      <c r="V276" s="201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00">
        <v>300334</v>
      </c>
      <c r="B277" s="197" t="s">
        <v>67</v>
      </c>
      <c r="C277" s="230" t="s">
        <v>86</v>
      </c>
      <c r="D277" s="231"/>
      <c r="E277" s="204" t="s">
        <v>85</v>
      </c>
      <c r="F277" s="203"/>
      <c r="G277" s="202"/>
      <c r="H277" s="202"/>
      <c r="I277" s="202"/>
      <c r="J277" s="202"/>
      <c r="K277" s="202">
        <f t="shared" si="26"/>
        <v>0</v>
      </c>
      <c r="L277" s="202">
        <f t="shared" si="27"/>
        <v>0</v>
      </c>
      <c r="M277" s="202">
        <v>416.3</v>
      </c>
      <c r="N277" s="202">
        <f t="shared" si="32"/>
        <v>1.7131687242798355</v>
      </c>
      <c r="O277" s="202"/>
      <c r="P277" s="202">
        <f t="shared" si="29"/>
        <v>0</v>
      </c>
      <c r="Q277" s="202"/>
      <c r="R277" s="19">
        <f t="shared" si="30"/>
        <v>0</v>
      </c>
      <c r="S277" s="202">
        <f t="shared" si="31"/>
        <v>0</v>
      </c>
      <c r="T277" s="20">
        <v>2</v>
      </c>
      <c r="U277" s="20"/>
      <c r="V277" s="201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00">
        <v>300335</v>
      </c>
      <c r="B278" s="197" t="s">
        <v>67</v>
      </c>
      <c r="C278" s="230" t="s">
        <v>86</v>
      </c>
      <c r="D278" s="231"/>
      <c r="E278" s="204" t="s">
        <v>49</v>
      </c>
      <c r="F278" s="203"/>
      <c r="G278" s="202"/>
      <c r="H278" s="202"/>
      <c r="I278" s="202"/>
      <c r="J278" s="202"/>
      <c r="K278" s="202">
        <f t="shared" si="26"/>
        <v>0</v>
      </c>
      <c r="L278" s="202">
        <f t="shared" si="27"/>
        <v>0</v>
      </c>
      <c r="M278" s="202">
        <v>416.3</v>
      </c>
      <c r="N278" s="202">
        <f t="shared" si="32"/>
        <v>1.7131687242798355</v>
      </c>
      <c r="O278" s="202"/>
      <c r="P278" s="202">
        <f t="shared" si="29"/>
        <v>0</v>
      </c>
      <c r="Q278" s="202"/>
      <c r="R278" s="19">
        <f t="shared" si="30"/>
        <v>0</v>
      </c>
      <c r="S278" s="202">
        <f t="shared" si="31"/>
        <v>0</v>
      </c>
      <c r="T278" s="20">
        <v>2</v>
      </c>
      <c r="U278" s="20"/>
      <c r="V278" s="201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00">
        <v>300291</v>
      </c>
      <c r="B279" s="197" t="s">
        <v>87</v>
      </c>
      <c r="C279" s="219" t="s">
        <v>88</v>
      </c>
      <c r="D279" s="219" t="s">
        <v>89</v>
      </c>
      <c r="E279" s="204" t="s">
        <v>42</v>
      </c>
      <c r="F279" s="203"/>
      <c r="G279" s="202"/>
      <c r="H279" s="202"/>
      <c r="I279" s="202"/>
      <c r="J279" s="202"/>
      <c r="K279" s="202">
        <f t="shared" si="26"/>
        <v>0</v>
      </c>
      <c r="L279" s="202">
        <f t="shared" si="27"/>
        <v>0</v>
      </c>
      <c r="M279" s="202">
        <v>517.79999999999995</v>
      </c>
      <c r="N279" s="202">
        <f>+M279*1000/(66.6*1*110*60)*T279</f>
        <v>4.7119847119847122</v>
      </c>
      <c r="O279" s="202"/>
      <c r="P279" s="202">
        <f t="shared" si="29"/>
        <v>0</v>
      </c>
      <c r="Q279" s="202"/>
      <c r="R279" s="19">
        <f t="shared" si="30"/>
        <v>0</v>
      </c>
      <c r="S279" s="202">
        <f t="shared" si="31"/>
        <v>0</v>
      </c>
      <c r="T279" s="20">
        <v>4</v>
      </c>
      <c r="U279" s="20"/>
      <c r="V279" s="20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00">
        <v>300292</v>
      </c>
      <c r="B280" s="197" t="s">
        <v>87</v>
      </c>
      <c r="C280" s="219" t="s">
        <v>88</v>
      </c>
      <c r="D280" s="219" t="s">
        <v>89</v>
      </c>
      <c r="E280" s="204" t="s">
        <v>41</v>
      </c>
      <c r="F280" s="203"/>
      <c r="G280" s="202"/>
      <c r="H280" s="202"/>
      <c r="I280" s="202"/>
      <c r="J280" s="202"/>
      <c r="K280" s="202">
        <f t="shared" si="26"/>
        <v>0</v>
      </c>
      <c r="L280" s="202">
        <f t="shared" si="27"/>
        <v>0</v>
      </c>
      <c r="M280" s="202">
        <v>517.79999999999995</v>
      </c>
      <c r="N280" s="202">
        <f>+M280*1000/(66.8*1*110*60)*T280</f>
        <v>4.6978769733260748</v>
      </c>
      <c r="O280" s="202"/>
      <c r="P280" s="202">
        <f t="shared" si="29"/>
        <v>0</v>
      </c>
      <c r="Q280" s="202"/>
      <c r="R280" s="19">
        <f t="shared" si="30"/>
        <v>0</v>
      </c>
      <c r="S280" s="202">
        <f t="shared" si="31"/>
        <v>0</v>
      </c>
      <c r="T280" s="20">
        <v>4</v>
      </c>
      <c r="U280" s="20"/>
      <c r="V280" s="20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00">
        <v>300293</v>
      </c>
      <c r="B281" s="197" t="s">
        <v>87</v>
      </c>
      <c r="C281" s="219" t="s">
        <v>88</v>
      </c>
      <c r="D281" s="219" t="s">
        <v>89</v>
      </c>
      <c r="E281" s="204" t="s">
        <v>57</v>
      </c>
      <c r="F281" s="203"/>
      <c r="G281" s="202"/>
      <c r="H281" s="202"/>
      <c r="I281" s="202"/>
      <c r="J281" s="202"/>
      <c r="K281" s="202">
        <f t="shared" si="26"/>
        <v>0</v>
      </c>
      <c r="L281" s="202">
        <f t="shared" si="27"/>
        <v>0</v>
      </c>
      <c r="M281" s="202">
        <v>517.9</v>
      </c>
      <c r="N281" s="202">
        <f>+M281*1000/(67.1*1*110*60)*T281</f>
        <v>4.6777762724111467</v>
      </c>
      <c r="O281" s="202"/>
      <c r="P281" s="202">
        <f t="shared" si="29"/>
        <v>0</v>
      </c>
      <c r="Q281" s="202"/>
      <c r="R281" s="19">
        <f t="shared" si="30"/>
        <v>0</v>
      </c>
      <c r="S281" s="202">
        <f t="shared" si="31"/>
        <v>0</v>
      </c>
      <c r="T281" s="20">
        <v>4</v>
      </c>
      <c r="U281" s="20"/>
      <c r="V281" s="20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00">
        <v>300290</v>
      </c>
      <c r="B282" s="197" t="s">
        <v>87</v>
      </c>
      <c r="C282" s="219" t="s">
        <v>88</v>
      </c>
      <c r="D282" s="219" t="s">
        <v>89</v>
      </c>
      <c r="E282" s="204" t="s">
        <v>35</v>
      </c>
      <c r="F282" s="203"/>
      <c r="G282" s="202"/>
      <c r="H282" s="202"/>
      <c r="I282" s="202"/>
      <c r="J282" s="202"/>
      <c r="K282" s="202">
        <f t="shared" si="26"/>
        <v>0</v>
      </c>
      <c r="L282" s="202">
        <f t="shared" si="27"/>
        <v>0</v>
      </c>
      <c r="M282" s="202">
        <v>520</v>
      </c>
      <c r="N282" s="202">
        <f>+M282*1000/(67.5*1*110*60)*T282</f>
        <v>4.6689113355780023</v>
      </c>
      <c r="O282" s="202"/>
      <c r="P282" s="202">
        <f t="shared" si="29"/>
        <v>0</v>
      </c>
      <c r="Q282" s="202"/>
      <c r="R282" s="19">
        <f t="shared" si="30"/>
        <v>0</v>
      </c>
      <c r="S282" s="202">
        <f t="shared" si="31"/>
        <v>0</v>
      </c>
      <c r="T282" s="20">
        <v>4</v>
      </c>
      <c r="U282" s="20"/>
      <c r="V282" s="20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00">
        <v>300389</v>
      </c>
      <c r="B283" s="197" t="s">
        <v>87</v>
      </c>
      <c r="C283" s="219" t="s">
        <v>308</v>
      </c>
      <c r="D283" s="219" t="s">
        <v>89</v>
      </c>
      <c r="E283" s="204" t="s">
        <v>35</v>
      </c>
      <c r="F283" s="203"/>
      <c r="G283" s="202"/>
      <c r="H283" s="202"/>
      <c r="I283" s="202"/>
      <c r="J283" s="202"/>
      <c r="K283" s="202">
        <f t="shared" si="26"/>
        <v>0</v>
      </c>
      <c r="L283" s="202">
        <f t="shared" si="27"/>
        <v>0</v>
      </c>
      <c r="M283" s="202">
        <v>429.4</v>
      </c>
      <c r="N283" s="202">
        <f>+M283*1000/(47*1*110*60)*T283</f>
        <v>5.5370728562217923</v>
      </c>
      <c r="O283" s="202"/>
      <c r="P283" s="202">
        <f t="shared" si="29"/>
        <v>0</v>
      </c>
      <c r="Q283" s="202"/>
      <c r="R283" s="19">
        <f t="shared" si="30"/>
        <v>0</v>
      </c>
      <c r="S283" s="202">
        <f t="shared" si="31"/>
        <v>0</v>
      </c>
      <c r="T283" s="20">
        <v>4</v>
      </c>
      <c r="U283" s="20"/>
      <c r="V283" s="20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00">
        <v>300058</v>
      </c>
      <c r="B284" s="197" t="s">
        <v>87</v>
      </c>
      <c r="C284" s="219" t="s">
        <v>308</v>
      </c>
      <c r="D284" s="219" t="s">
        <v>89</v>
      </c>
      <c r="E284" s="204" t="s">
        <v>42</v>
      </c>
      <c r="F284" s="203"/>
      <c r="G284" s="202"/>
      <c r="H284" s="202"/>
      <c r="I284" s="202"/>
      <c r="J284" s="202"/>
      <c r="K284" s="202">
        <f t="shared" si="26"/>
        <v>0</v>
      </c>
      <c r="L284" s="202">
        <f t="shared" si="27"/>
        <v>0</v>
      </c>
      <c r="M284" s="202">
        <v>419.2</v>
      </c>
      <c r="N284" s="202">
        <f>+M284*1000/(51.5*1*110*60)*T284</f>
        <v>4.9332156516622536</v>
      </c>
      <c r="O284" s="202"/>
      <c r="P284" s="202">
        <f t="shared" si="29"/>
        <v>0</v>
      </c>
      <c r="Q284" s="202"/>
      <c r="R284" s="19">
        <f t="shared" si="30"/>
        <v>0</v>
      </c>
      <c r="S284" s="202">
        <f t="shared" si="31"/>
        <v>0</v>
      </c>
      <c r="T284" s="20">
        <v>4</v>
      </c>
      <c r="U284" s="20"/>
      <c r="V284" s="20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00">
        <v>300061</v>
      </c>
      <c r="B285" s="197" t="s">
        <v>87</v>
      </c>
      <c r="C285" s="219" t="s">
        <v>309</v>
      </c>
      <c r="D285" s="219" t="s">
        <v>91</v>
      </c>
      <c r="E285" s="204" t="s">
        <v>41</v>
      </c>
      <c r="F285" s="203"/>
      <c r="G285" s="202"/>
      <c r="H285" s="202"/>
      <c r="I285" s="202"/>
      <c r="J285" s="202"/>
      <c r="K285" s="202">
        <f t="shared" si="26"/>
        <v>0</v>
      </c>
      <c r="L285" s="202">
        <f t="shared" si="27"/>
        <v>0</v>
      </c>
      <c r="M285" s="202">
        <v>418.4</v>
      </c>
      <c r="N285" s="202">
        <f>+M285*1000/(51*1*110*60)*T285</f>
        <v>4.9720736779560308</v>
      </c>
      <c r="O285" s="202"/>
      <c r="P285" s="202">
        <f t="shared" si="29"/>
        <v>0</v>
      </c>
      <c r="Q285" s="202"/>
      <c r="R285" s="19">
        <f t="shared" si="30"/>
        <v>0</v>
      </c>
      <c r="S285" s="202">
        <f t="shared" si="31"/>
        <v>0</v>
      </c>
      <c r="T285" s="20">
        <v>4</v>
      </c>
      <c r="U285" s="20"/>
      <c r="V285" s="20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00">
        <v>300064</v>
      </c>
      <c r="B286" s="197">
        <v>5002</v>
      </c>
      <c r="C286" s="219" t="s">
        <v>309</v>
      </c>
      <c r="D286" s="219" t="s">
        <v>91</v>
      </c>
      <c r="E286" s="204" t="s">
        <v>35</v>
      </c>
      <c r="F286" s="203"/>
      <c r="G286" s="202"/>
      <c r="H286" s="202"/>
      <c r="I286" s="202"/>
      <c r="J286" s="202"/>
      <c r="K286" s="202">
        <f t="shared" ref="K286:K362" si="33">G286*M286</f>
        <v>0</v>
      </c>
      <c r="L286" s="202">
        <f t="shared" ref="L286:L362" si="34">I286*M286</f>
        <v>0</v>
      </c>
      <c r="M286" s="202">
        <v>419.2</v>
      </c>
      <c r="N286" s="202">
        <f>+M286*1000/(51.9*1*110*60)*T286</f>
        <v>4.8951947217843168</v>
      </c>
      <c r="O286" s="202"/>
      <c r="P286" s="202">
        <f t="shared" ref="P286:P362" si="35">N286*I286+O286*U286</f>
        <v>0</v>
      </c>
      <c r="Q286" s="202"/>
      <c r="R286" s="19">
        <f t="shared" ref="R286:R362" si="36">Q286*U286</f>
        <v>0</v>
      </c>
      <c r="S286" s="202">
        <f t="shared" ref="S286:S362" si="37">R286-P286</f>
        <v>0</v>
      </c>
      <c r="T286" s="20">
        <v>4</v>
      </c>
      <c r="U286" s="20"/>
      <c r="V286" s="20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200">
        <v>300060</v>
      </c>
      <c r="B287" s="197">
        <v>5001</v>
      </c>
      <c r="C287" s="219" t="s">
        <v>309</v>
      </c>
      <c r="D287" s="219" t="s">
        <v>91</v>
      </c>
      <c r="E287" s="204" t="s">
        <v>57</v>
      </c>
      <c r="F287" s="203">
        <v>2116</v>
      </c>
      <c r="G287" s="202">
        <v>9</v>
      </c>
      <c r="H287" s="202">
        <v>0.45</v>
      </c>
      <c r="I287" s="202">
        <f>9+H287-J287/400</f>
        <v>8.4499999999999993</v>
      </c>
      <c r="J287" s="202">
        <v>400</v>
      </c>
      <c r="K287" s="202">
        <f t="shared" si="33"/>
        <v>3752.1</v>
      </c>
      <c r="L287" s="202">
        <f t="shared" si="34"/>
        <v>3522.8049999999994</v>
      </c>
      <c r="M287" s="202">
        <v>416.9</v>
      </c>
      <c r="N287" s="202">
        <f>+M287*1000/(51*1*110*60)*T287</f>
        <v>4.9542483660130721</v>
      </c>
      <c r="O287" s="202"/>
      <c r="P287" s="202">
        <f t="shared" si="35"/>
        <v>41.863398692810456</v>
      </c>
      <c r="Q287" s="202">
        <v>11.5</v>
      </c>
      <c r="R287" s="19">
        <f t="shared" si="36"/>
        <v>46</v>
      </c>
      <c r="S287" s="202">
        <f t="shared" si="37"/>
        <v>4.1366013071895438</v>
      </c>
      <c r="T287" s="20">
        <v>4</v>
      </c>
      <c r="U287" s="20">
        <v>4</v>
      </c>
      <c r="V287" s="201">
        <f t="array" ref="V287">IF(ISERROR(L287/K287),"",L287/K287)</f>
        <v>0.93888888888888877</v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00">
        <v>300068</v>
      </c>
      <c r="B288" s="197" t="s">
        <v>87</v>
      </c>
      <c r="C288" s="219" t="s">
        <v>92</v>
      </c>
      <c r="D288" s="219" t="s">
        <v>93</v>
      </c>
      <c r="E288" s="204" t="s">
        <v>37</v>
      </c>
      <c r="F288" s="203"/>
      <c r="G288" s="202"/>
      <c r="H288" s="202"/>
      <c r="I288" s="202"/>
      <c r="J288" s="202"/>
      <c r="K288" s="202">
        <f t="shared" si="33"/>
        <v>0</v>
      </c>
      <c r="L288" s="202">
        <f t="shared" si="34"/>
        <v>0</v>
      </c>
      <c r="M288" s="202">
        <v>438.4</v>
      </c>
      <c r="N288" s="202">
        <f>+M288*1000/(50*1*120*60)*T288</f>
        <v>4.8711111111111114</v>
      </c>
      <c r="O288" s="202"/>
      <c r="P288" s="202">
        <f t="shared" si="35"/>
        <v>0</v>
      </c>
      <c r="Q288" s="202"/>
      <c r="R288" s="19">
        <f t="shared" si="36"/>
        <v>0</v>
      </c>
      <c r="S288" s="202">
        <f t="shared" si="37"/>
        <v>0</v>
      </c>
      <c r="T288" s="20">
        <v>4</v>
      </c>
      <c r="U288" s="20"/>
      <c r="V288" s="20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00">
        <v>300065</v>
      </c>
      <c r="B289" s="197" t="s">
        <v>87</v>
      </c>
      <c r="C289" s="219" t="s">
        <v>92</v>
      </c>
      <c r="D289" s="219" t="s">
        <v>93</v>
      </c>
      <c r="E289" s="204" t="s">
        <v>35</v>
      </c>
      <c r="F289" s="203"/>
      <c r="G289" s="202"/>
      <c r="H289" s="202"/>
      <c r="I289" s="202"/>
      <c r="J289" s="202"/>
      <c r="K289" s="202">
        <f t="shared" si="33"/>
        <v>0</v>
      </c>
      <c r="L289" s="202">
        <f t="shared" si="34"/>
        <v>0</v>
      </c>
      <c r="M289" s="202">
        <v>438.8</v>
      </c>
      <c r="N289" s="202">
        <f>+M289*1000/(50*1*120*60)*T289</f>
        <v>4.8755555555555556</v>
      </c>
      <c r="O289" s="202"/>
      <c r="P289" s="202">
        <f t="shared" si="35"/>
        <v>0</v>
      </c>
      <c r="Q289" s="202"/>
      <c r="R289" s="19">
        <f t="shared" si="36"/>
        <v>0</v>
      </c>
      <c r="S289" s="202">
        <f t="shared" si="37"/>
        <v>0</v>
      </c>
      <c r="T289" s="20">
        <v>4</v>
      </c>
      <c r="U289" s="200"/>
      <c r="V289" s="20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00">
        <v>300066</v>
      </c>
      <c r="B290" s="197" t="s">
        <v>87</v>
      </c>
      <c r="C290" s="219" t="s">
        <v>92</v>
      </c>
      <c r="D290" s="219" t="s">
        <v>93</v>
      </c>
      <c r="E290" s="204" t="s">
        <v>66</v>
      </c>
      <c r="F290" s="203"/>
      <c r="G290" s="202"/>
      <c r="H290" s="202"/>
      <c r="I290" s="202"/>
      <c r="J290" s="202"/>
      <c r="K290" s="202">
        <f t="shared" si="33"/>
        <v>0</v>
      </c>
      <c r="L290" s="202">
        <f t="shared" si="34"/>
        <v>0</v>
      </c>
      <c r="M290" s="202">
        <v>438.4</v>
      </c>
      <c r="N290" s="202">
        <f>+M290*1000/(50*1*120*60)*T290</f>
        <v>4.8711111111111114</v>
      </c>
      <c r="O290" s="202"/>
      <c r="P290" s="202">
        <f t="shared" si="35"/>
        <v>0</v>
      </c>
      <c r="Q290" s="202"/>
      <c r="R290" s="19">
        <f t="shared" si="36"/>
        <v>0</v>
      </c>
      <c r="S290" s="202">
        <f t="shared" si="37"/>
        <v>0</v>
      </c>
      <c r="T290" s="20">
        <v>4</v>
      </c>
      <c r="U290" s="200"/>
      <c r="V290" s="201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00">
        <v>300067</v>
      </c>
      <c r="B291" s="197" t="s">
        <v>87</v>
      </c>
      <c r="C291" s="219" t="s">
        <v>92</v>
      </c>
      <c r="D291" s="219" t="s">
        <v>93</v>
      </c>
      <c r="E291" s="204" t="s">
        <v>41</v>
      </c>
      <c r="F291" s="203"/>
      <c r="G291" s="202"/>
      <c r="H291" s="202"/>
      <c r="I291" s="202"/>
      <c r="J291" s="202"/>
      <c r="K291" s="202">
        <f t="shared" si="33"/>
        <v>0</v>
      </c>
      <c r="L291" s="202">
        <f t="shared" si="34"/>
        <v>0</v>
      </c>
      <c r="M291" s="202">
        <v>438.8</v>
      </c>
      <c r="N291" s="202">
        <f>+M291*1000/(50*1*120*60)*T291</f>
        <v>4.8755555555555556</v>
      </c>
      <c r="O291" s="202"/>
      <c r="P291" s="202">
        <f t="shared" si="35"/>
        <v>0</v>
      </c>
      <c r="Q291" s="202"/>
      <c r="R291" s="19">
        <f t="shared" si="36"/>
        <v>0</v>
      </c>
      <c r="S291" s="202">
        <f t="shared" si="37"/>
        <v>0</v>
      </c>
      <c r="T291" s="20">
        <v>4</v>
      </c>
      <c r="U291" s="20"/>
      <c r="V291" s="20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00">
        <v>300437</v>
      </c>
      <c r="B292" s="197" t="s">
        <v>87</v>
      </c>
      <c r="C292" s="219" t="s">
        <v>92</v>
      </c>
      <c r="D292" s="219" t="s">
        <v>93</v>
      </c>
      <c r="E292" s="204" t="s">
        <v>302</v>
      </c>
      <c r="F292" s="203"/>
      <c r="G292" s="202"/>
      <c r="H292" s="202"/>
      <c r="I292" s="202"/>
      <c r="J292" s="202"/>
      <c r="K292" s="202">
        <f t="shared" si="33"/>
        <v>0</v>
      </c>
      <c r="L292" s="202">
        <f t="shared" si="34"/>
        <v>0</v>
      </c>
      <c r="M292" s="202">
        <v>438.8</v>
      </c>
      <c r="N292" s="202">
        <f>+M292*1000/(50*1*120*60)*T292</f>
        <v>4.8755555555555556</v>
      </c>
      <c r="O292" s="202"/>
      <c r="P292" s="202">
        <f t="shared" si="35"/>
        <v>0</v>
      </c>
      <c r="Q292" s="202"/>
      <c r="R292" s="19">
        <f t="shared" si="36"/>
        <v>0</v>
      </c>
      <c r="S292" s="202">
        <f t="shared" si="37"/>
        <v>0</v>
      </c>
      <c r="T292" s="20">
        <v>4</v>
      </c>
      <c r="U292" s="20"/>
      <c r="V292" s="201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00">
        <v>300384</v>
      </c>
      <c r="B293" s="197" t="s">
        <v>87</v>
      </c>
      <c r="C293" s="219" t="s">
        <v>94</v>
      </c>
      <c r="D293" s="219" t="s">
        <v>95</v>
      </c>
      <c r="E293" s="204" t="s">
        <v>35</v>
      </c>
      <c r="F293" s="203"/>
      <c r="G293" s="202"/>
      <c r="H293" s="202"/>
      <c r="I293" s="202"/>
      <c r="J293" s="202"/>
      <c r="K293" s="202">
        <f t="shared" si="33"/>
        <v>0</v>
      </c>
      <c r="L293" s="202">
        <f t="shared" si="34"/>
        <v>0</v>
      </c>
      <c r="M293" s="202">
        <v>415.5</v>
      </c>
      <c r="N293" s="202">
        <f>+M293*1000/(51*1*110*60)*T293</f>
        <v>8.6408199643493759</v>
      </c>
      <c r="O293" s="202"/>
      <c r="P293" s="202">
        <f t="shared" si="35"/>
        <v>0</v>
      </c>
      <c r="Q293" s="202"/>
      <c r="R293" s="19">
        <f t="shared" si="36"/>
        <v>0</v>
      </c>
      <c r="S293" s="202">
        <f t="shared" si="37"/>
        <v>0</v>
      </c>
      <c r="T293" s="20">
        <v>7</v>
      </c>
      <c r="U293" s="20"/>
      <c r="V293" s="20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00">
        <v>300383</v>
      </c>
      <c r="B294" s="197" t="s">
        <v>87</v>
      </c>
      <c r="C294" s="219" t="s">
        <v>94</v>
      </c>
      <c r="D294" s="219" t="s">
        <v>96</v>
      </c>
      <c r="E294" s="204" t="s">
        <v>41</v>
      </c>
      <c r="F294" s="203"/>
      <c r="G294" s="202"/>
      <c r="H294" s="202"/>
      <c r="I294" s="202"/>
      <c r="J294" s="202"/>
      <c r="K294" s="202">
        <f t="shared" si="33"/>
        <v>0</v>
      </c>
      <c r="L294" s="202">
        <f t="shared" si="34"/>
        <v>0</v>
      </c>
      <c r="M294" s="202">
        <v>415.5</v>
      </c>
      <c r="N294" s="202">
        <f>+M294*1000/(51*1*110*60)*T294</f>
        <v>8.6408199643493759</v>
      </c>
      <c r="O294" s="202"/>
      <c r="P294" s="202">
        <f t="shared" si="35"/>
        <v>0</v>
      </c>
      <c r="Q294" s="202"/>
      <c r="R294" s="19">
        <f t="shared" si="36"/>
        <v>0</v>
      </c>
      <c r="S294" s="202">
        <f t="shared" si="37"/>
        <v>0</v>
      </c>
      <c r="T294" s="20">
        <v>7</v>
      </c>
      <c r="U294" s="20"/>
      <c r="V294" s="201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00">
        <v>300386</v>
      </c>
      <c r="B295" s="197" t="s">
        <v>87</v>
      </c>
      <c r="C295" s="219" t="s">
        <v>94</v>
      </c>
      <c r="D295" s="219" t="s">
        <v>97</v>
      </c>
      <c r="E295" s="204" t="s">
        <v>66</v>
      </c>
      <c r="F295" s="203"/>
      <c r="G295" s="202"/>
      <c r="H295" s="202"/>
      <c r="I295" s="202"/>
      <c r="J295" s="202"/>
      <c r="K295" s="202">
        <f t="shared" si="33"/>
        <v>0</v>
      </c>
      <c r="L295" s="202">
        <f t="shared" si="34"/>
        <v>0</v>
      </c>
      <c r="M295" s="202">
        <v>415.5</v>
      </c>
      <c r="N295" s="202">
        <f>+M295*1000/(51*1*110*60)*T295</f>
        <v>8.6408199643493759</v>
      </c>
      <c r="O295" s="202"/>
      <c r="P295" s="202">
        <f t="shared" si="35"/>
        <v>0</v>
      </c>
      <c r="Q295" s="202"/>
      <c r="R295" s="19">
        <f t="shared" si="36"/>
        <v>0</v>
      </c>
      <c r="S295" s="202">
        <f t="shared" si="37"/>
        <v>0</v>
      </c>
      <c r="T295" s="20">
        <v>7</v>
      </c>
      <c r="U295" s="20"/>
      <c r="V295" s="201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00">
        <v>300385</v>
      </c>
      <c r="B296" s="197" t="s">
        <v>87</v>
      </c>
      <c r="C296" s="219" t="s">
        <v>94</v>
      </c>
      <c r="D296" s="219" t="s">
        <v>98</v>
      </c>
      <c r="E296" s="204" t="s">
        <v>99</v>
      </c>
      <c r="F296" s="203"/>
      <c r="G296" s="202"/>
      <c r="H296" s="202"/>
      <c r="I296" s="202"/>
      <c r="J296" s="202"/>
      <c r="K296" s="202">
        <f t="shared" si="33"/>
        <v>0</v>
      </c>
      <c r="L296" s="202">
        <f t="shared" si="34"/>
        <v>0</v>
      </c>
      <c r="M296" s="202">
        <v>415.5</v>
      </c>
      <c r="N296" s="202">
        <f>+M296*1000/(51*1*110*60)*T296</f>
        <v>8.6408199643493759</v>
      </c>
      <c r="O296" s="202"/>
      <c r="P296" s="202">
        <f t="shared" si="35"/>
        <v>0</v>
      </c>
      <c r="Q296" s="202"/>
      <c r="R296" s="19">
        <f t="shared" si="36"/>
        <v>0</v>
      </c>
      <c r="S296" s="202">
        <f t="shared" si="37"/>
        <v>0</v>
      </c>
      <c r="T296" s="20">
        <v>7</v>
      </c>
      <c r="U296" s="20"/>
      <c r="V296" s="201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00">
        <v>300352</v>
      </c>
      <c r="B297" s="197" t="s">
        <v>87</v>
      </c>
      <c r="C297" s="219" t="s">
        <v>100</v>
      </c>
      <c r="D297" s="219" t="s">
        <v>95</v>
      </c>
      <c r="E297" s="204" t="s">
        <v>35</v>
      </c>
      <c r="F297" s="203"/>
      <c r="G297" s="202"/>
      <c r="H297" s="202"/>
      <c r="I297" s="202"/>
      <c r="J297" s="202"/>
      <c r="K297" s="202">
        <f t="shared" si="33"/>
        <v>0</v>
      </c>
      <c r="L297" s="202">
        <f t="shared" si="34"/>
        <v>0</v>
      </c>
      <c r="M297" s="202">
        <v>515.9</v>
      </c>
      <c r="N297" s="202">
        <f>+M297*1000/(80*1*110*60)*T297</f>
        <v>6.8395833333333336</v>
      </c>
      <c r="O297" s="202"/>
      <c r="P297" s="202">
        <f t="shared" si="35"/>
        <v>0</v>
      </c>
      <c r="Q297" s="202"/>
      <c r="R297" s="19">
        <f t="shared" si="36"/>
        <v>0</v>
      </c>
      <c r="S297" s="202">
        <f t="shared" si="37"/>
        <v>0</v>
      </c>
      <c r="T297" s="20">
        <v>7</v>
      </c>
      <c r="U297" s="20"/>
      <c r="V297" s="20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00">
        <v>300353</v>
      </c>
      <c r="B298" s="197" t="s">
        <v>87</v>
      </c>
      <c r="C298" s="219" t="s">
        <v>100</v>
      </c>
      <c r="D298" s="219" t="s">
        <v>95</v>
      </c>
      <c r="E298" s="204" t="s">
        <v>99</v>
      </c>
      <c r="F298" s="203"/>
      <c r="G298" s="202"/>
      <c r="H298" s="202"/>
      <c r="I298" s="202"/>
      <c r="J298" s="202"/>
      <c r="K298" s="202">
        <f t="shared" si="33"/>
        <v>0</v>
      </c>
      <c r="L298" s="202">
        <f t="shared" si="34"/>
        <v>0</v>
      </c>
      <c r="M298" s="202">
        <v>515.9</v>
      </c>
      <c r="N298" s="202">
        <f>+M298*1000/(80*1*110*60)*T298</f>
        <v>6.8395833333333336</v>
      </c>
      <c r="O298" s="202"/>
      <c r="P298" s="202">
        <f t="shared" si="35"/>
        <v>0</v>
      </c>
      <c r="Q298" s="202"/>
      <c r="R298" s="19">
        <f t="shared" si="36"/>
        <v>0</v>
      </c>
      <c r="S298" s="202">
        <f t="shared" si="37"/>
        <v>0</v>
      </c>
      <c r="T298" s="20">
        <v>7</v>
      </c>
      <c r="U298" s="20"/>
      <c r="V298" s="20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00">
        <v>300351</v>
      </c>
      <c r="B299" s="197" t="s">
        <v>87</v>
      </c>
      <c r="C299" s="219" t="s">
        <v>100</v>
      </c>
      <c r="D299" s="219" t="s">
        <v>95</v>
      </c>
      <c r="E299" s="204" t="s">
        <v>41</v>
      </c>
      <c r="F299" s="203"/>
      <c r="G299" s="202"/>
      <c r="H299" s="202"/>
      <c r="I299" s="202"/>
      <c r="J299" s="202"/>
      <c r="K299" s="202">
        <f t="shared" si="33"/>
        <v>0</v>
      </c>
      <c r="L299" s="202">
        <f t="shared" si="34"/>
        <v>0</v>
      </c>
      <c r="M299" s="202">
        <v>515.9</v>
      </c>
      <c r="N299" s="202">
        <f>+M299*1000/(80*1*110*60)*T299</f>
        <v>6.8395833333333336</v>
      </c>
      <c r="O299" s="202"/>
      <c r="P299" s="202">
        <f t="shared" si="35"/>
        <v>0</v>
      </c>
      <c r="Q299" s="202"/>
      <c r="R299" s="19">
        <f t="shared" si="36"/>
        <v>0</v>
      </c>
      <c r="S299" s="202">
        <f t="shared" si="37"/>
        <v>0</v>
      </c>
      <c r="T299" s="20">
        <v>7</v>
      </c>
      <c r="U299" s="20"/>
      <c r="V299" s="20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00">
        <v>300354</v>
      </c>
      <c r="B300" s="197" t="s">
        <v>87</v>
      </c>
      <c r="C300" s="219" t="s">
        <v>100</v>
      </c>
      <c r="D300" s="219" t="s">
        <v>95</v>
      </c>
      <c r="E300" s="204" t="s">
        <v>66</v>
      </c>
      <c r="F300" s="203"/>
      <c r="G300" s="202"/>
      <c r="H300" s="202"/>
      <c r="I300" s="202"/>
      <c r="J300" s="202"/>
      <c r="K300" s="202">
        <f t="shared" si="33"/>
        <v>0</v>
      </c>
      <c r="L300" s="202">
        <f t="shared" si="34"/>
        <v>0</v>
      </c>
      <c r="M300" s="202">
        <v>515.9</v>
      </c>
      <c r="N300" s="202">
        <f>+M300*1000/(80*1*110*60)*T300</f>
        <v>6.8395833333333336</v>
      </c>
      <c r="O300" s="202"/>
      <c r="P300" s="202">
        <f t="shared" si="35"/>
        <v>0</v>
      </c>
      <c r="Q300" s="202"/>
      <c r="R300" s="19">
        <f t="shared" si="36"/>
        <v>0</v>
      </c>
      <c r="S300" s="202">
        <f t="shared" si="37"/>
        <v>0</v>
      </c>
      <c r="T300" s="20">
        <v>7</v>
      </c>
      <c r="U300" s="20"/>
      <c r="V300" s="20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00">
        <v>300250</v>
      </c>
      <c r="B301" s="197" t="s">
        <v>87</v>
      </c>
      <c r="C301" s="219" t="s">
        <v>101</v>
      </c>
      <c r="D301" s="219" t="s">
        <v>95</v>
      </c>
      <c r="E301" s="204" t="s">
        <v>35</v>
      </c>
      <c r="F301" s="203"/>
      <c r="G301" s="202"/>
      <c r="H301" s="202"/>
      <c r="I301" s="202"/>
      <c r="J301" s="202"/>
      <c r="K301" s="202">
        <f t="shared" si="33"/>
        <v>0</v>
      </c>
      <c r="L301" s="202">
        <f t="shared" si="34"/>
        <v>0</v>
      </c>
      <c r="M301" s="202">
        <v>412.5</v>
      </c>
      <c r="N301" s="202">
        <f>+M301*1000/(84*1*110*60)*T301</f>
        <v>5.2083333333333339</v>
      </c>
      <c r="O301" s="202"/>
      <c r="P301" s="202">
        <f t="shared" si="35"/>
        <v>0</v>
      </c>
      <c r="Q301" s="202"/>
      <c r="R301" s="19">
        <f t="shared" si="36"/>
        <v>0</v>
      </c>
      <c r="S301" s="202">
        <f t="shared" si="37"/>
        <v>0</v>
      </c>
      <c r="T301" s="20">
        <v>7</v>
      </c>
      <c r="U301" s="20"/>
      <c r="V301" s="20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00">
        <v>300251</v>
      </c>
      <c r="B302" s="197" t="s">
        <v>87</v>
      </c>
      <c r="C302" s="219" t="s">
        <v>101</v>
      </c>
      <c r="D302" s="219" t="s">
        <v>95</v>
      </c>
      <c r="E302" s="204" t="s">
        <v>99</v>
      </c>
      <c r="F302" s="203"/>
      <c r="G302" s="202"/>
      <c r="H302" s="202"/>
      <c r="I302" s="202"/>
      <c r="J302" s="202"/>
      <c r="K302" s="202">
        <f t="shared" si="33"/>
        <v>0</v>
      </c>
      <c r="L302" s="202">
        <f t="shared" si="34"/>
        <v>0</v>
      </c>
      <c r="M302" s="202">
        <v>412.5</v>
      </c>
      <c r="N302" s="202">
        <f>+M302*1000/(84*1*110*60)*T302</f>
        <v>5.2083333333333339</v>
      </c>
      <c r="O302" s="202"/>
      <c r="P302" s="202">
        <f t="shared" si="35"/>
        <v>0</v>
      </c>
      <c r="Q302" s="202"/>
      <c r="R302" s="19">
        <f t="shared" si="36"/>
        <v>0</v>
      </c>
      <c r="S302" s="202">
        <f t="shared" si="37"/>
        <v>0</v>
      </c>
      <c r="T302" s="20">
        <v>7</v>
      </c>
      <c r="U302" s="20"/>
      <c r="V302" s="20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00">
        <v>300254</v>
      </c>
      <c r="B303" s="197" t="s">
        <v>87</v>
      </c>
      <c r="C303" s="219" t="s">
        <v>101</v>
      </c>
      <c r="D303" s="219" t="s">
        <v>95</v>
      </c>
      <c r="E303" s="204" t="s">
        <v>41</v>
      </c>
      <c r="F303" s="203"/>
      <c r="G303" s="202"/>
      <c r="H303" s="202"/>
      <c r="I303" s="202"/>
      <c r="J303" s="202"/>
      <c r="K303" s="202">
        <f t="shared" si="33"/>
        <v>0</v>
      </c>
      <c r="L303" s="202">
        <f t="shared" si="34"/>
        <v>0</v>
      </c>
      <c r="M303" s="202">
        <v>412.5</v>
      </c>
      <c r="N303" s="202">
        <f>+M303*1000/(84*1*110*60)*T303</f>
        <v>5.2083333333333339</v>
      </c>
      <c r="O303" s="202"/>
      <c r="P303" s="202">
        <f t="shared" si="35"/>
        <v>0</v>
      </c>
      <c r="Q303" s="202"/>
      <c r="R303" s="19">
        <f t="shared" si="36"/>
        <v>0</v>
      </c>
      <c r="S303" s="202">
        <f t="shared" si="37"/>
        <v>0</v>
      </c>
      <c r="T303" s="20">
        <v>7</v>
      </c>
      <c r="U303" s="20"/>
      <c r="V303" s="20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00">
        <v>300253</v>
      </c>
      <c r="B304" s="197" t="s">
        <v>87</v>
      </c>
      <c r="C304" s="219" t="s">
        <v>101</v>
      </c>
      <c r="D304" s="219" t="s">
        <v>95</v>
      </c>
      <c r="E304" s="204" t="s">
        <v>66</v>
      </c>
      <c r="F304" s="203"/>
      <c r="G304" s="202"/>
      <c r="H304" s="202"/>
      <c r="I304" s="202"/>
      <c r="J304" s="202"/>
      <c r="K304" s="202">
        <f t="shared" si="33"/>
        <v>0</v>
      </c>
      <c r="L304" s="202">
        <f t="shared" si="34"/>
        <v>0</v>
      </c>
      <c r="M304" s="202">
        <v>412.5</v>
      </c>
      <c r="N304" s="202">
        <f>+M304*1000/(84*1*110*60)*T304</f>
        <v>5.2083333333333339</v>
      </c>
      <c r="O304" s="202"/>
      <c r="P304" s="202">
        <f t="shared" si="35"/>
        <v>0</v>
      </c>
      <c r="Q304" s="202"/>
      <c r="R304" s="19">
        <f t="shared" si="36"/>
        <v>0</v>
      </c>
      <c r="S304" s="202">
        <f t="shared" si="37"/>
        <v>0</v>
      </c>
      <c r="T304" s="20">
        <v>7</v>
      </c>
      <c r="U304" s="20"/>
      <c r="V304" s="20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00">
        <v>300255</v>
      </c>
      <c r="B305" s="197" t="s">
        <v>87</v>
      </c>
      <c r="C305" s="219" t="s">
        <v>101</v>
      </c>
      <c r="D305" s="219" t="s">
        <v>95</v>
      </c>
      <c r="E305" s="204" t="s">
        <v>102</v>
      </c>
      <c r="F305" s="203"/>
      <c r="G305" s="202"/>
      <c r="H305" s="202"/>
      <c r="I305" s="202"/>
      <c r="J305" s="202"/>
      <c r="K305" s="202">
        <f t="shared" si="33"/>
        <v>0</v>
      </c>
      <c r="L305" s="202">
        <f t="shared" si="34"/>
        <v>0</v>
      </c>
      <c r="M305" s="202">
        <v>412.5</v>
      </c>
      <c r="N305" s="202">
        <f>+M305*1000/(84*1*110*60)*T305</f>
        <v>5.2083333333333339</v>
      </c>
      <c r="O305" s="202"/>
      <c r="P305" s="202">
        <f t="shared" si="35"/>
        <v>0</v>
      </c>
      <c r="Q305" s="202"/>
      <c r="R305" s="19">
        <f t="shared" si="36"/>
        <v>0</v>
      </c>
      <c r="S305" s="202">
        <f t="shared" si="37"/>
        <v>0</v>
      </c>
      <c r="T305" s="20">
        <v>7</v>
      </c>
      <c r="U305" s="20"/>
      <c r="V305" s="20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00">
        <v>300392</v>
      </c>
      <c r="B306" s="197" t="s">
        <v>87</v>
      </c>
      <c r="C306" s="230" t="s">
        <v>103</v>
      </c>
      <c r="D306" s="231"/>
      <c r="E306" s="204" t="s">
        <v>99</v>
      </c>
      <c r="F306" s="200"/>
      <c r="G306" s="202"/>
      <c r="H306" s="202"/>
      <c r="I306" s="202"/>
      <c r="J306" s="202"/>
      <c r="K306" s="202">
        <f t="shared" si="33"/>
        <v>0</v>
      </c>
      <c r="L306" s="202">
        <f t="shared" si="34"/>
        <v>0</v>
      </c>
      <c r="M306" s="202">
        <v>523</v>
      </c>
      <c r="N306" s="202">
        <f>+M306*1000/(98*1*80*60)*T306</f>
        <v>7.7827380952380958</v>
      </c>
      <c r="O306" s="202"/>
      <c r="P306" s="202">
        <f t="shared" si="35"/>
        <v>0</v>
      </c>
      <c r="Q306" s="202"/>
      <c r="R306" s="19">
        <f t="shared" si="36"/>
        <v>0</v>
      </c>
      <c r="S306" s="202">
        <f t="shared" si="37"/>
        <v>0</v>
      </c>
      <c r="T306" s="20">
        <v>7</v>
      </c>
      <c r="U306" s="20"/>
      <c r="V306" s="20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00">
        <v>300088</v>
      </c>
      <c r="B307" s="197" t="s">
        <v>87</v>
      </c>
      <c r="C307" s="219" t="s">
        <v>310</v>
      </c>
      <c r="D307" s="219" t="s">
        <v>91</v>
      </c>
      <c r="E307" s="204" t="s">
        <v>39</v>
      </c>
      <c r="F307" s="203"/>
      <c r="G307" s="202"/>
      <c r="H307" s="202"/>
      <c r="I307" s="202"/>
      <c r="J307" s="202"/>
      <c r="K307" s="202">
        <f t="shared" si="33"/>
        <v>0</v>
      </c>
      <c r="L307" s="202">
        <f t="shared" si="34"/>
        <v>0</v>
      </c>
      <c r="M307" s="202">
        <v>617.79999999999995</v>
      </c>
      <c r="N307" s="202">
        <f>+M307*1000/(123*1*80*60)*T307</f>
        <v>3.1392276422764223</v>
      </c>
      <c r="O307" s="202"/>
      <c r="P307" s="202">
        <f t="shared" si="35"/>
        <v>0</v>
      </c>
      <c r="Q307" s="202"/>
      <c r="R307" s="19">
        <f t="shared" si="36"/>
        <v>0</v>
      </c>
      <c r="S307" s="202">
        <f t="shared" si="37"/>
        <v>0</v>
      </c>
      <c r="T307" s="20">
        <v>3</v>
      </c>
      <c r="U307" s="20"/>
      <c r="V307" s="20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00">
        <v>300089</v>
      </c>
      <c r="B308" s="197" t="s">
        <v>87</v>
      </c>
      <c r="C308" s="219" t="s">
        <v>310</v>
      </c>
      <c r="D308" s="219" t="s">
        <v>91</v>
      </c>
      <c r="E308" s="204" t="s">
        <v>42</v>
      </c>
      <c r="F308" s="203"/>
      <c r="G308" s="202"/>
      <c r="H308" s="202"/>
      <c r="I308" s="202"/>
      <c r="J308" s="202"/>
      <c r="K308" s="202">
        <f t="shared" si="33"/>
        <v>0</v>
      </c>
      <c r="L308" s="202">
        <f t="shared" si="34"/>
        <v>0</v>
      </c>
      <c r="M308" s="202">
        <v>618.6</v>
      </c>
      <c r="N308" s="202">
        <f>+M308*1000/(124*1*80*60)*T308</f>
        <v>3.117943548387097</v>
      </c>
      <c r="O308" s="202"/>
      <c r="P308" s="202">
        <f t="shared" si="35"/>
        <v>0</v>
      </c>
      <c r="Q308" s="202"/>
      <c r="R308" s="19">
        <f t="shared" si="36"/>
        <v>0</v>
      </c>
      <c r="S308" s="202">
        <f t="shared" si="37"/>
        <v>0</v>
      </c>
      <c r="T308" s="20">
        <v>3</v>
      </c>
      <c r="U308" s="20"/>
      <c r="V308" s="20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00">
        <v>300128</v>
      </c>
      <c r="B309" s="197" t="s">
        <v>87</v>
      </c>
      <c r="C309" s="219" t="s">
        <v>104</v>
      </c>
      <c r="D309" s="219" t="s">
        <v>105</v>
      </c>
      <c r="E309" s="204" t="s">
        <v>35</v>
      </c>
      <c r="F309" s="203"/>
      <c r="G309" s="202"/>
      <c r="H309" s="202"/>
      <c r="I309" s="202"/>
      <c r="J309" s="202"/>
      <c r="K309" s="202">
        <f t="shared" si="33"/>
        <v>0</v>
      </c>
      <c r="L309" s="202">
        <f t="shared" si="34"/>
        <v>0</v>
      </c>
      <c r="M309" s="202">
        <v>621.29999999999995</v>
      </c>
      <c r="N309" s="202">
        <f t="shared" ref="N309:N314" si="38">+M309*1000/(130.5*1*80*60)*T309</f>
        <v>3.9674329501915708</v>
      </c>
      <c r="O309" s="202"/>
      <c r="P309" s="202">
        <f t="shared" si="35"/>
        <v>0</v>
      </c>
      <c r="Q309" s="202"/>
      <c r="R309" s="19">
        <f t="shared" si="36"/>
        <v>0</v>
      </c>
      <c r="S309" s="202">
        <f t="shared" si="37"/>
        <v>0</v>
      </c>
      <c r="T309" s="20">
        <v>4</v>
      </c>
      <c r="U309" s="20"/>
      <c r="V309" s="20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00">
        <v>300129</v>
      </c>
      <c r="B310" s="197" t="s">
        <v>87</v>
      </c>
      <c r="C310" s="219" t="s">
        <v>104</v>
      </c>
      <c r="D310" s="219" t="s">
        <v>105</v>
      </c>
      <c r="E310" s="204" t="s">
        <v>41</v>
      </c>
      <c r="F310" s="203"/>
      <c r="G310" s="202"/>
      <c r="H310" s="202"/>
      <c r="I310" s="202"/>
      <c r="J310" s="202"/>
      <c r="K310" s="202">
        <f t="shared" si="33"/>
        <v>0</v>
      </c>
      <c r="L310" s="202">
        <f t="shared" si="34"/>
        <v>0</v>
      </c>
      <c r="M310" s="202">
        <v>621.29999999999995</v>
      </c>
      <c r="N310" s="202">
        <f t="shared" si="38"/>
        <v>3.9674329501915708</v>
      </c>
      <c r="O310" s="202"/>
      <c r="P310" s="202">
        <f t="shared" si="35"/>
        <v>0</v>
      </c>
      <c r="Q310" s="202"/>
      <c r="R310" s="19">
        <f t="shared" si="36"/>
        <v>0</v>
      </c>
      <c r="S310" s="202">
        <f t="shared" si="37"/>
        <v>0</v>
      </c>
      <c r="T310" s="20">
        <v>4</v>
      </c>
      <c r="U310" s="20"/>
      <c r="V310" s="20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00">
        <v>300130</v>
      </c>
      <c r="B311" s="197" t="s">
        <v>87</v>
      </c>
      <c r="C311" s="219" t="s">
        <v>104</v>
      </c>
      <c r="D311" s="219" t="s">
        <v>105</v>
      </c>
      <c r="E311" s="204" t="s">
        <v>37</v>
      </c>
      <c r="F311" s="203"/>
      <c r="G311" s="202"/>
      <c r="H311" s="202"/>
      <c r="I311" s="202"/>
      <c r="J311" s="202"/>
      <c r="K311" s="202">
        <f t="shared" si="33"/>
        <v>0</v>
      </c>
      <c r="L311" s="202">
        <f t="shared" si="34"/>
        <v>0</v>
      </c>
      <c r="M311" s="202">
        <v>621.29999999999995</v>
      </c>
      <c r="N311" s="202">
        <f t="shared" si="38"/>
        <v>3.9674329501915708</v>
      </c>
      <c r="O311" s="202"/>
      <c r="P311" s="202">
        <f t="shared" si="35"/>
        <v>0</v>
      </c>
      <c r="Q311" s="202"/>
      <c r="R311" s="19">
        <f t="shared" si="36"/>
        <v>0</v>
      </c>
      <c r="S311" s="202">
        <f t="shared" si="37"/>
        <v>0</v>
      </c>
      <c r="T311" s="20">
        <v>4</v>
      </c>
      <c r="U311" s="20"/>
      <c r="V311" s="20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00">
        <v>300423</v>
      </c>
      <c r="B312" s="197" t="s">
        <v>292</v>
      </c>
      <c r="C312" s="230" t="s">
        <v>288</v>
      </c>
      <c r="D312" s="231"/>
      <c r="E312" s="204" t="s">
        <v>289</v>
      </c>
      <c r="F312" s="203"/>
      <c r="G312" s="202"/>
      <c r="H312" s="202"/>
      <c r="I312" s="202"/>
      <c r="J312" s="202"/>
      <c r="K312" s="202">
        <f t="shared" si="33"/>
        <v>0</v>
      </c>
      <c r="L312" s="202">
        <f t="shared" si="34"/>
        <v>0</v>
      </c>
      <c r="M312" s="202">
        <v>524.1</v>
      </c>
      <c r="N312" s="202">
        <f t="shared" si="38"/>
        <v>3.3467432950191571</v>
      </c>
      <c r="O312" s="202"/>
      <c r="P312" s="202">
        <f t="shared" si="35"/>
        <v>0</v>
      </c>
      <c r="Q312" s="202"/>
      <c r="R312" s="19">
        <f t="shared" si="36"/>
        <v>0</v>
      </c>
      <c r="S312" s="202">
        <f t="shared" si="37"/>
        <v>0</v>
      </c>
      <c r="T312" s="20">
        <v>4</v>
      </c>
      <c r="U312" s="20"/>
      <c r="V312" s="201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00">
        <v>300424</v>
      </c>
      <c r="B313" s="197" t="s">
        <v>292</v>
      </c>
      <c r="C313" s="230" t="s">
        <v>288</v>
      </c>
      <c r="D313" s="231"/>
      <c r="E313" s="204" t="s">
        <v>290</v>
      </c>
      <c r="F313" s="203"/>
      <c r="G313" s="202"/>
      <c r="H313" s="202"/>
      <c r="I313" s="202"/>
      <c r="J313" s="202"/>
      <c r="K313" s="202">
        <f t="shared" si="33"/>
        <v>0</v>
      </c>
      <c r="L313" s="202">
        <f t="shared" si="34"/>
        <v>0</v>
      </c>
      <c r="M313" s="202">
        <v>524.1</v>
      </c>
      <c r="N313" s="202">
        <f t="shared" si="38"/>
        <v>3.3467432950191571</v>
      </c>
      <c r="O313" s="202"/>
      <c r="P313" s="202">
        <f t="shared" si="35"/>
        <v>0</v>
      </c>
      <c r="Q313" s="202"/>
      <c r="R313" s="19">
        <f t="shared" si="36"/>
        <v>0</v>
      </c>
      <c r="S313" s="202">
        <f t="shared" si="37"/>
        <v>0</v>
      </c>
      <c r="T313" s="20">
        <v>4</v>
      </c>
      <c r="U313" s="20"/>
      <c r="V313" s="201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00">
        <v>300425</v>
      </c>
      <c r="B314" s="197" t="s">
        <v>292</v>
      </c>
      <c r="C314" s="230" t="s">
        <v>288</v>
      </c>
      <c r="D314" s="231"/>
      <c r="E314" s="204" t="s">
        <v>291</v>
      </c>
      <c r="F314" s="203"/>
      <c r="G314" s="202"/>
      <c r="H314" s="202"/>
      <c r="I314" s="202"/>
      <c r="J314" s="202"/>
      <c r="K314" s="202">
        <f t="shared" si="33"/>
        <v>0</v>
      </c>
      <c r="L314" s="202">
        <f t="shared" si="34"/>
        <v>0</v>
      </c>
      <c r="M314" s="202">
        <v>524.1</v>
      </c>
      <c r="N314" s="202">
        <f t="shared" si="38"/>
        <v>3.3467432950191571</v>
      </c>
      <c r="O314" s="202"/>
      <c r="P314" s="202">
        <f t="shared" si="35"/>
        <v>0</v>
      </c>
      <c r="Q314" s="202"/>
      <c r="R314" s="19">
        <f t="shared" si="36"/>
        <v>0</v>
      </c>
      <c r="S314" s="202">
        <f t="shared" si="37"/>
        <v>0</v>
      </c>
      <c r="T314" s="20">
        <v>4</v>
      </c>
      <c r="U314" s="20"/>
      <c r="V314" s="201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00">
        <v>300390</v>
      </c>
      <c r="B315" s="197" t="s">
        <v>287</v>
      </c>
      <c r="C315" s="230" t="s">
        <v>106</v>
      </c>
      <c r="D315" s="231"/>
      <c r="E315" s="204" t="s">
        <v>107</v>
      </c>
      <c r="F315" s="203"/>
      <c r="G315" s="202"/>
      <c r="H315" s="202"/>
      <c r="I315" s="202"/>
      <c r="J315" s="202"/>
      <c r="K315" s="202">
        <f t="shared" si="33"/>
        <v>0</v>
      </c>
      <c r="L315" s="202">
        <f t="shared" si="34"/>
        <v>0</v>
      </c>
      <c r="M315" s="202">
        <v>417.4</v>
      </c>
      <c r="N315" s="202">
        <f>+M315*1000/(87*1*80*60)*T315</f>
        <v>3.9980842911877397</v>
      </c>
      <c r="O315" s="202"/>
      <c r="P315" s="202">
        <f t="shared" si="35"/>
        <v>0</v>
      </c>
      <c r="Q315" s="202"/>
      <c r="R315" s="19">
        <f t="shared" si="36"/>
        <v>0</v>
      </c>
      <c r="S315" s="202">
        <f t="shared" si="37"/>
        <v>0</v>
      </c>
      <c r="T315" s="20">
        <v>4</v>
      </c>
      <c r="U315" s="20"/>
      <c r="V315" s="20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00">
        <v>300391</v>
      </c>
      <c r="B316" s="197" t="s">
        <v>108</v>
      </c>
      <c r="C316" s="230" t="s">
        <v>106</v>
      </c>
      <c r="D316" s="231"/>
      <c r="E316" s="204" t="s">
        <v>109</v>
      </c>
      <c r="F316" s="203"/>
      <c r="G316" s="202"/>
      <c r="H316" s="202"/>
      <c r="I316" s="202"/>
      <c r="J316" s="202"/>
      <c r="K316" s="202">
        <f t="shared" si="33"/>
        <v>0</v>
      </c>
      <c r="L316" s="202">
        <f t="shared" si="34"/>
        <v>0</v>
      </c>
      <c r="M316" s="202">
        <v>417.4</v>
      </c>
      <c r="N316" s="202">
        <f>+M316*1000/(87*1*80*60)*T316</f>
        <v>3.9980842911877397</v>
      </c>
      <c r="O316" s="202"/>
      <c r="P316" s="202">
        <f t="shared" si="35"/>
        <v>0</v>
      </c>
      <c r="Q316" s="202"/>
      <c r="R316" s="19">
        <f t="shared" si="36"/>
        <v>0</v>
      </c>
      <c r="S316" s="202">
        <f t="shared" si="37"/>
        <v>0</v>
      </c>
      <c r="T316" s="20">
        <v>4</v>
      </c>
      <c r="U316" s="20"/>
      <c r="V316" s="20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00">
        <v>300431</v>
      </c>
      <c r="B317" s="197" t="s">
        <v>292</v>
      </c>
      <c r="C317" s="230" t="s">
        <v>297</v>
      </c>
      <c r="D317" s="231"/>
      <c r="E317" s="204" t="s">
        <v>298</v>
      </c>
      <c r="F317" s="203"/>
      <c r="G317" s="202"/>
      <c r="H317" s="202"/>
      <c r="I317" s="202"/>
      <c r="J317" s="202"/>
      <c r="K317" s="202">
        <f t="shared" si="33"/>
        <v>0</v>
      </c>
      <c r="L317" s="202">
        <f t="shared" si="34"/>
        <v>0</v>
      </c>
      <c r="M317" s="202">
        <v>628.79999999999995</v>
      </c>
      <c r="N317" s="202">
        <f>+M317*1000/(87*1*80*60)*T317</f>
        <v>6.0229885057471266</v>
      </c>
      <c r="O317" s="202"/>
      <c r="P317" s="202">
        <f t="shared" si="35"/>
        <v>0</v>
      </c>
      <c r="Q317" s="202"/>
      <c r="R317" s="19">
        <f t="shared" si="36"/>
        <v>0</v>
      </c>
      <c r="S317" s="202">
        <f t="shared" si="37"/>
        <v>0</v>
      </c>
      <c r="T317" s="20">
        <v>4</v>
      </c>
      <c r="U317" s="20"/>
      <c r="V317" s="201" t="str">
        <f t="array" ref="V317">IF(ISERROR(L317/K317),"",L317/K317)</f>
        <v/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00">
        <v>300432</v>
      </c>
      <c r="B318" s="197" t="s">
        <v>292</v>
      </c>
      <c r="C318" s="230" t="s">
        <v>297</v>
      </c>
      <c r="D318" s="231"/>
      <c r="E318" s="204" t="s">
        <v>299</v>
      </c>
      <c r="F318" s="203"/>
      <c r="G318" s="202"/>
      <c r="H318" s="202"/>
      <c r="I318" s="202"/>
      <c r="J318" s="202"/>
      <c r="K318" s="202">
        <f t="shared" si="33"/>
        <v>0</v>
      </c>
      <c r="L318" s="202">
        <f t="shared" si="34"/>
        <v>0</v>
      </c>
      <c r="M318" s="202">
        <v>628.79999999999995</v>
      </c>
      <c r="N318" s="202">
        <f>+M318*1000/(87*1*80*60)*T318</f>
        <v>6.0229885057471266</v>
      </c>
      <c r="O318" s="202"/>
      <c r="P318" s="202">
        <f t="shared" si="35"/>
        <v>0</v>
      </c>
      <c r="Q318" s="202"/>
      <c r="R318" s="19">
        <f t="shared" si="36"/>
        <v>0</v>
      </c>
      <c r="S318" s="202">
        <f t="shared" si="37"/>
        <v>0</v>
      </c>
      <c r="T318" s="20">
        <v>4</v>
      </c>
      <c r="U318" s="20"/>
      <c r="V318" s="201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00">
        <v>300433</v>
      </c>
      <c r="B319" s="197" t="s">
        <v>292</v>
      </c>
      <c r="C319" s="230" t="s">
        <v>297</v>
      </c>
      <c r="D319" s="231"/>
      <c r="E319" s="134" t="s">
        <v>300</v>
      </c>
      <c r="F319" s="203"/>
      <c r="G319" s="202"/>
      <c r="H319" s="202"/>
      <c r="I319" s="202"/>
      <c r="J319" s="202"/>
      <c r="K319" s="202">
        <f t="shared" si="33"/>
        <v>0</v>
      </c>
      <c r="L319" s="202">
        <f t="shared" si="34"/>
        <v>0</v>
      </c>
      <c r="M319" s="202">
        <v>628.79999999999995</v>
      </c>
      <c r="N319" s="202">
        <f>+M319*1000/(87*1*80*60)*T319</f>
        <v>6.0229885057471266</v>
      </c>
      <c r="O319" s="202"/>
      <c r="P319" s="202">
        <f t="shared" si="35"/>
        <v>0</v>
      </c>
      <c r="Q319" s="202"/>
      <c r="R319" s="19">
        <f t="shared" si="36"/>
        <v>0</v>
      </c>
      <c r="S319" s="202">
        <f t="shared" si="37"/>
        <v>0</v>
      </c>
      <c r="T319" s="20">
        <v>4</v>
      </c>
      <c r="U319" s="20"/>
      <c r="V319" s="201" t="str">
        <f t="array" ref="V319">IF(ISERROR(L319/K319),"",L319/K319)</f>
        <v/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customHeight="1">
      <c r="A320" s="200">
        <v>300074</v>
      </c>
      <c r="B320" s="197">
        <v>6502</v>
      </c>
      <c r="C320" s="219" t="s">
        <v>111</v>
      </c>
      <c r="D320" s="219" t="s">
        <v>112</v>
      </c>
      <c r="E320" s="204" t="s">
        <v>54</v>
      </c>
      <c r="F320" s="203">
        <v>2114</v>
      </c>
      <c r="G320" s="202">
        <v>7</v>
      </c>
      <c r="H320" s="202">
        <v>0.25</v>
      </c>
      <c r="I320" s="202">
        <f>6+H320</f>
        <v>6.25</v>
      </c>
      <c r="J320" s="202"/>
      <c r="K320" s="202">
        <f t="shared" si="33"/>
        <v>2035.6000000000001</v>
      </c>
      <c r="L320" s="202">
        <f t="shared" si="34"/>
        <v>1817.5</v>
      </c>
      <c r="M320" s="202">
        <v>290.8</v>
      </c>
      <c r="N320" s="202">
        <f>+M320*1000/(88*4*13*60)*T320</f>
        <v>3.1774475524475525</v>
      </c>
      <c r="O320" s="202"/>
      <c r="P320" s="202">
        <f t="shared" si="35"/>
        <v>19.859047202797203</v>
      </c>
      <c r="Q320" s="202">
        <v>5.5</v>
      </c>
      <c r="R320" s="19">
        <f t="shared" si="36"/>
        <v>22</v>
      </c>
      <c r="S320" s="202">
        <f t="shared" si="37"/>
        <v>2.1409527972027966</v>
      </c>
      <c r="T320" s="20">
        <v>3</v>
      </c>
      <c r="U320" s="20">
        <v>4</v>
      </c>
      <c r="V320" s="201">
        <f t="array" ref="V320">IF(ISERROR(L320/K320),"",L320/K320)</f>
        <v>0.89285714285714279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>
        <v>6502</v>
      </c>
      <c r="C321" s="219" t="s">
        <v>111</v>
      </c>
      <c r="D321" s="219" t="s">
        <v>112</v>
      </c>
      <c r="E321" s="184" t="s">
        <v>35</v>
      </c>
      <c r="F321" s="203">
        <v>2155</v>
      </c>
      <c r="G321" s="202">
        <v>5</v>
      </c>
      <c r="H321" s="202"/>
      <c r="I321" s="202">
        <f>5-J321/200</f>
        <v>4.5999999999999996</v>
      </c>
      <c r="J321" s="202">
        <v>80</v>
      </c>
      <c r="K321" s="182">
        <f t="shared" si="33"/>
        <v>1515.5</v>
      </c>
      <c r="L321" s="182">
        <f t="shared" si="34"/>
        <v>1394.26</v>
      </c>
      <c r="M321" s="182">
        <v>303.10000000000002</v>
      </c>
      <c r="N321" s="182">
        <f>+M321*1000/(88*4*12*60)*T321</f>
        <v>4.7837752525252526</v>
      </c>
      <c r="O321" s="182">
        <v>0.5</v>
      </c>
      <c r="P321" s="182">
        <f t="shared" si="35"/>
        <v>24.005366161616159</v>
      </c>
      <c r="Q321" s="182">
        <v>6</v>
      </c>
      <c r="R321" s="19">
        <f t="shared" si="36"/>
        <v>24</v>
      </c>
      <c r="S321" s="182">
        <f t="shared" si="37"/>
        <v>-5.3661616161591041E-3</v>
      </c>
      <c r="T321" s="20">
        <v>4</v>
      </c>
      <c r="U321" s="20">
        <v>4</v>
      </c>
      <c r="V321" s="201">
        <f t="array" ref="V321">IF(ISERROR(L321/K321),"",L321/K321)</f>
        <v>0.92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203"/>
      <c r="G322" s="202"/>
      <c r="H322" s="202"/>
      <c r="I322" s="202"/>
      <c r="J322" s="20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20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203"/>
      <c r="G323" s="202"/>
      <c r="H323" s="202"/>
      <c r="I323" s="202"/>
      <c r="J323" s="20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20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203"/>
      <c r="G324" s="202"/>
      <c r="H324" s="202"/>
      <c r="I324" s="202"/>
      <c r="J324" s="20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20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203"/>
      <c r="G325" s="202"/>
      <c r="H325" s="202"/>
      <c r="I325" s="202"/>
      <c r="J325" s="20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20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203"/>
      <c r="G326" s="202"/>
      <c r="H326" s="202"/>
      <c r="I326" s="202"/>
      <c r="J326" s="20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20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203"/>
      <c r="G327" s="202"/>
      <c r="H327" s="202"/>
      <c r="I327" s="202"/>
      <c r="J327" s="20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20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203"/>
      <c r="G328" s="202"/>
      <c r="H328" s="202"/>
      <c r="I328" s="202"/>
      <c r="J328" s="20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20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203"/>
      <c r="G329" s="202"/>
      <c r="H329" s="202"/>
      <c r="I329" s="202"/>
      <c r="J329" s="20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20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203"/>
      <c r="G330" s="202"/>
      <c r="H330" s="202"/>
      <c r="I330" s="202"/>
      <c r="J330" s="202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201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203"/>
      <c r="G331" s="202"/>
      <c r="H331" s="202"/>
      <c r="I331" s="202"/>
      <c r="J331" s="202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201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203"/>
      <c r="G332" s="202"/>
      <c r="H332" s="202"/>
      <c r="I332" s="202"/>
      <c r="J332" s="202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201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203"/>
      <c r="G333" s="202"/>
      <c r="H333" s="202"/>
      <c r="I333" s="202"/>
      <c r="J333" s="202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201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203"/>
      <c r="G334" s="202"/>
      <c r="H334" s="202"/>
      <c r="I334" s="202"/>
      <c r="J334" s="202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201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203"/>
      <c r="G335" s="202"/>
      <c r="H335" s="202"/>
      <c r="I335" s="202"/>
      <c r="J335" s="20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20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203"/>
      <c r="G336" s="202"/>
      <c r="H336" s="202"/>
      <c r="I336" s="202"/>
      <c r="J336" s="20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20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203"/>
      <c r="G337" s="202"/>
      <c r="H337" s="202"/>
      <c r="I337" s="202"/>
      <c r="J337" s="20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20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203"/>
      <c r="G338" s="202"/>
      <c r="H338" s="202"/>
      <c r="I338" s="202"/>
      <c r="J338" s="20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20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203"/>
      <c r="G339" s="202"/>
      <c r="H339" s="202"/>
      <c r="I339" s="202"/>
      <c r="J339" s="20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201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203"/>
      <c r="G340" s="202"/>
      <c r="H340" s="202"/>
      <c r="I340" s="202"/>
      <c r="J340" s="20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201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203"/>
      <c r="G341" s="202"/>
      <c r="H341" s="202"/>
      <c r="I341" s="202"/>
      <c r="J341" s="20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20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203"/>
      <c r="G342" s="202"/>
      <c r="H342" s="202"/>
      <c r="I342" s="202"/>
      <c r="J342" s="20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20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203"/>
      <c r="G343" s="202"/>
      <c r="H343" s="202"/>
      <c r="I343" s="202"/>
      <c r="J343" s="20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20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203"/>
      <c r="G344" s="202"/>
      <c r="H344" s="202"/>
      <c r="I344" s="202"/>
      <c r="J344" s="20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20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203"/>
      <c r="G345" s="202"/>
      <c r="H345" s="202"/>
      <c r="I345" s="202"/>
      <c r="J345" s="20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20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203"/>
      <c r="G346" s="202"/>
      <c r="H346" s="202"/>
      <c r="I346" s="202"/>
      <c r="J346" s="20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20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203"/>
      <c r="G347" s="202"/>
      <c r="H347" s="202"/>
      <c r="I347" s="202"/>
      <c r="J347" s="20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20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203"/>
      <c r="G348" s="202"/>
      <c r="H348" s="202"/>
      <c r="I348" s="202"/>
      <c r="J348" s="20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20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203"/>
      <c r="G349" s="202"/>
      <c r="H349" s="202"/>
      <c r="I349" s="202"/>
      <c r="J349" s="20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20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203"/>
      <c r="G350" s="202"/>
      <c r="H350" s="202"/>
      <c r="I350" s="202"/>
      <c r="J350" s="20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20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203"/>
      <c r="G351" s="202"/>
      <c r="H351" s="202"/>
      <c r="I351" s="202"/>
      <c r="J351" s="20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20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203"/>
      <c r="G352" s="202"/>
      <c r="H352" s="202"/>
      <c r="I352" s="202"/>
      <c r="J352" s="20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20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203"/>
      <c r="G353" s="202"/>
      <c r="H353" s="202"/>
      <c r="I353" s="202"/>
      <c r="J353" s="20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201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203"/>
      <c r="G354" s="202"/>
      <c r="H354" s="202"/>
      <c r="I354" s="202"/>
      <c r="J354" s="20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201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203"/>
      <c r="G355" s="202"/>
      <c r="H355" s="202"/>
      <c r="I355" s="202"/>
      <c r="J355" s="20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20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203"/>
      <c r="G356" s="202"/>
      <c r="H356" s="202"/>
      <c r="I356" s="202"/>
      <c r="J356" s="20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20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203"/>
      <c r="G357" s="202"/>
      <c r="H357" s="202"/>
      <c r="I357" s="202"/>
      <c r="J357" s="20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20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203"/>
      <c r="G358" s="202"/>
      <c r="H358" s="202"/>
      <c r="I358" s="202"/>
      <c r="J358" s="20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20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203"/>
      <c r="G359" s="202"/>
      <c r="H359" s="202"/>
      <c r="I359" s="202"/>
      <c r="J359" s="20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201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203"/>
      <c r="G360" s="202"/>
      <c r="H360" s="202"/>
      <c r="I360" s="202"/>
      <c r="J360" s="20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201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203"/>
      <c r="G361" s="202"/>
      <c r="H361" s="202"/>
      <c r="I361" s="202"/>
      <c r="J361" s="20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201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203"/>
      <c r="G362" s="202"/>
      <c r="H362" s="202"/>
      <c r="I362" s="202"/>
      <c r="J362" s="20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201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203"/>
      <c r="G363" s="202"/>
      <c r="H363" s="202"/>
      <c r="I363" s="202"/>
      <c r="J363" s="20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201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203"/>
      <c r="G364" s="202"/>
      <c r="H364" s="202"/>
      <c r="I364" s="202"/>
      <c r="J364" s="20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201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203"/>
      <c r="G365" s="202"/>
      <c r="H365" s="202"/>
      <c r="I365" s="202"/>
      <c r="J365" s="20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201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203"/>
      <c r="G366" s="202"/>
      <c r="H366" s="202"/>
      <c r="I366" s="202"/>
      <c r="J366" s="20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201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203"/>
      <c r="G367" s="202"/>
      <c r="H367" s="202"/>
      <c r="I367" s="202"/>
      <c r="J367" s="20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201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203"/>
      <c r="G368" s="202"/>
      <c r="H368" s="202"/>
      <c r="I368" s="202"/>
      <c r="J368" s="20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201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203"/>
      <c r="G369" s="202"/>
      <c r="H369" s="202"/>
      <c r="I369" s="202"/>
      <c r="J369" s="20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201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203"/>
      <c r="G370" s="202"/>
      <c r="H370" s="202"/>
      <c r="I370" s="202"/>
      <c r="J370" s="20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201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203"/>
      <c r="G371" s="202"/>
      <c r="H371" s="202"/>
      <c r="I371" s="202"/>
      <c r="J371" s="20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201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203"/>
      <c r="G372" s="202"/>
      <c r="H372" s="202"/>
      <c r="I372" s="202"/>
      <c r="J372" s="20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201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203"/>
      <c r="G373" s="202"/>
      <c r="H373" s="202"/>
      <c r="I373" s="202"/>
      <c r="J373" s="20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201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203"/>
      <c r="G374" s="202"/>
      <c r="H374" s="202"/>
      <c r="I374" s="202"/>
      <c r="J374" s="20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201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203"/>
      <c r="G375" s="202"/>
      <c r="H375" s="202"/>
      <c r="I375" s="202"/>
      <c r="J375" s="20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201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203"/>
      <c r="G376" s="202"/>
      <c r="H376" s="202"/>
      <c r="I376" s="202"/>
      <c r="J376" s="20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201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203"/>
      <c r="G377" s="202"/>
      <c r="H377" s="202"/>
      <c r="I377" s="202"/>
      <c r="J377" s="20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20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18502</v>
      </c>
      <c r="C378" s="219" t="s">
        <v>149</v>
      </c>
      <c r="D378" s="219" t="s">
        <v>150</v>
      </c>
      <c r="E378" s="184" t="s">
        <v>127</v>
      </c>
      <c r="F378" s="203">
        <v>2141</v>
      </c>
      <c r="G378" s="202">
        <v>3.3</v>
      </c>
      <c r="H378" s="202">
        <v>0.3</v>
      </c>
      <c r="I378" s="202">
        <f>3+H378</f>
        <v>3.3</v>
      </c>
      <c r="J378" s="202"/>
      <c r="K378" s="182">
        <f t="shared" si="41"/>
        <v>1718.6399999999996</v>
      </c>
      <c r="L378" s="182">
        <f t="shared" si="42"/>
        <v>1718.6399999999996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14.650163666121109</v>
      </c>
      <c r="Q378" s="182">
        <v>4</v>
      </c>
      <c r="R378" s="19">
        <f t="shared" si="44"/>
        <v>28</v>
      </c>
      <c r="S378" s="182">
        <f t="shared" si="45"/>
        <v>13.349836333878891</v>
      </c>
      <c r="T378" s="20">
        <v>5</v>
      </c>
      <c r="U378" s="20">
        <v>7</v>
      </c>
      <c r="V378" s="201">
        <f t="array" ref="V378">IF(ISERROR(L378/K378),"",L378/K378)</f>
        <v>1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203"/>
      <c r="G379" s="202"/>
      <c r="H379" s="202"/>
      <c r="I379" s="202"/>
      <c r="J379" s="202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20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203"/>
      <c r="G380" s="202"/>
      <c r="H380" s="202"/>
      <c r="I380" s="202"/>
      <c r="J380" s="202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20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203"/>
      <c r="G381" s="202"/>
      <c r="H381" s="202"/>
      <c r="I381" s="202"/>
      <c r="J381" s="20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20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203"/>
      <c r="G382" s="202"/>
      <c r="H382" s="202"/>
      <c r="I382" s="202"/>
      <c r="J382" s="20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20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203"/>
      <c r="G383" s="202"/>
      <c r="H383" s="202"/>
      <c r="I383" s="202"/>
      <c r="J383" s="20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20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203"/>
      <c r="G384" s="202"/>
      <c r="H384" s="202"/>
      <c r="I384" s="202"/>
      <c r="J384" s="20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20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18502</v>
      </c>
      <c r="C385" s="219" t="s">
        <v>153</v>
      </c>
      <c r="D385" s="219" t="s">
        <v>152</v>
      </c>
      <c r="E385" s="184" t="s">
        <v>127</v>
      </c>
      <c r="F385" s="203">
        <v>2142</v>
      </c>
      <c r="G385" s="202">
        <v>7</v>
      </c>
      <c r="H385" s="202"/>
      <c r="I385" s="202">
        <f>7-J385/500</f>
        <v>6.4</v>
      </c>
      <c r="J385" s="202">
        <v>300</v>
      </c>
      <c r="K385" s="182">
        <f t="shared" si="41"/>
        <v>4466</v>
      </c>
      <c r="L385" s="182">
        <f t="shared" si="42"/>
        <v>4083.2000000000003</v>
      </c>
      <c r="M385" s="182">
        <v>638</v>
      </c>
      <c r="N385" s="182">
        <f t="shared" si="47"/>
        <v>6.0738766184310737</v>
      </c>
      <c r="O385" s="182">
        <v>0.5</v>
      </c>
      <c r="P385" s="182">
        <f t="shared" si="43"/>
        <v>42.372810357958876</v>
      </c>
      <c r="Q385" s="182">
        <v>7.5</v>
      </c>
      <c r="R385" s="19">
        <f t="shared" si="44"/>
        <v>52.5</v>
      </c>
      <c r="S385" s="182">
        <f t="shared" si="45"/>
        <v>10.127189642041124</v>
      </c>
      <c r="T385" s="20">
        <v>6</v>
      </c>
      <c r="U385" s="20">
        <v>7</v>
      </c>
      <c r="V385" s="201">
        <f t="array" ref="V385">IF(ISERROR(L385/K385),"",L385/K385)</f>
        <v>0.91428571428571437</v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20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20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20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20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20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20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20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20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20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20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20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20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20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20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20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20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20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20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20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20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20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20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20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20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68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20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68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20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>
        <v>13002</v>
      </c>
      <c r="C400" s="219" t="s">
        <v>304</v>
      </c>
      <c r="D400" s="219" t="s">
        <v>89</v>
      </c>
      <c r="E400" s="184" t="s">
        <v>35</v>
      </c>
      <c r="F400" s="168">
        <v>2055</v>
      </c>
      <c r="G400" s="202">
        <v>9.1</v>
      </c>
      <c r="H400" s="202">
        <v>0.1</v>
      </c>
      <c r="I400" s="202">
        <f>9+H400</f>
        <v>9.1</v>
      </c>
      <c r="J400" s="202"/>
      <c r="K400" s="182">
        <f t="shared" si="41"/>
        <v>3063.06</v>
      </c>
      <c r="L400" s="182">
        <f t="shared" si="42"/>
        <v>3063.06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12.605185185185183</v>
      </c>
      <c r="Q400" s="182">
        <v>10</v>
      </c>
      <c r="R400" s="19">
        <f t="shared" si="44"/>
        <v>60</v>
      </c>
      <c r="S400" s="182">
        <f t="shared" si="45"/>
        <v>47.394814814814815</v>
      </c>
      <c r="T400" s="20">
        <v>2</v>
      </c>
      <c r="U400" s="20">
        <v>6</v>
      </c>
      <c r="V400" s="201">
        <f t="array" ref="V400">IF(ISERROR(L400/K400),"",L400/K400)</f>
        <v>1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68"/>
      <c r="G401" s="202"/>
      <c r="H401" s="202"/>
      <c r="I401" s="202"/>
      <c r="J401" s="202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201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68"/>
      <c r="G402" s="202"/>
      <c r="H402" s="202"/>
      <c r="I402" s="202"/>
      <c r="J402" s="202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201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>
        <v>13002</v>
      </c>
      <c r="C403" s="219" t="s">
        <v>304</v>
      </c>
      <c r="D403" s="219" t="s">
        <v>89</v>
      </c>
      <c r="E403" s="184" t="s">
        <v>37</v>
      </c>
      <c r="F403" s="168">
        <v>2087</v>
      </c>
      <c r="G403" s="202">
        <v>2</v>
      </c>
      <c r="H403" s="202"/>
      <c r="I403" s="202">
        <f>2-J403/300</f>
        <v>1.5</v>
      </c>
      <c r="J403" s="202">
        <v>150</v>
      </c>
      <c r="K403" s="182">
        <f t="shared" si="41"/>
        <v>673.2</v>
      </c>
      <c r="L403" s="182">
        <f t="shared" si="42"/>
        <v>504.90000000000003</v>
      </c>
      <c r="M403" s="182">
        <v>336.6</v>
      </c>
      <c r="N403" s="182">
        <f>+M403*1000/(45*10*18*60)*T403</f>
        <v>1.3851851851851851</v>
      </c>
      <c r="O403" s="182">
        <v>0.5</v>
      </c>
      <c r="P403" s="182">
        <f t="shared" si="43"/>
        <v>5.0777777777777775</v>
      </c>
      <c r="Q403" s="182">
        <v>1.5</v>
      </c>
      <c r="R403" s="19">
        <f t="shared" si="44"/>
        <v>9</v>
      </c>
      <c r="S403" s="182">
        <f t="shared" si="45"/>
        <v>3.9222222222222225</v>
      </c>
      <c r="T403" s="20">
        <v>2</v>
      </c>
      <c r="U403" s="20">
        <v>6</v>
      </c>
      <c r="V403" s="201">
        <f t="array" ref="V403">IF(ISERROR(L403/K403),"",L403/K403)</f>
        <v>0.75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20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20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20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20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72.86999999999999</v>
      </c>
      <c r="H408" s="182">
        <f t="array" ref="H408">SUM(IF(ISERROR(H215:H407),“”,H215:H407))</f>
        <v>2.5666666666666669</v>
      </c>
      <c r="I408" s="182">
        <f t="array" ref="I408">SUM(IF(ISERROR(I215:I407),“”,I215:I407))</f>
        <v>69.647619047619045</v>
      </c>
      <c r="J408" s="182">
        <f t="array" ref="J408">SUM(IF(ISERROR(J215:J407),“”,J215:J407))</f>
        <v>2110</v>
      </c>
      <c r="K408" s="182">
        <f t="array" ref="K408">SUM(IF(ISERROR(K215:K407),“”,K215:K407))</f>
        <v>32803.659999999996</v>
      </c>
      <c r="L408" s="117">
        <f>SUM(L215:L399)</f>
        <v>27921.606904761902</v>
      </c>
      <c r="M408" s="182"/>
      <c r="N408" s="182"/>
      <c r="O408" s="182">
        <f t="array" ref="O408">SUM(IF(ISERROR(O215:O407),“”,O215:O407))</f>
        <v>3</v>
      </c>
      <c r="P408" s="56">
        <f>SUM((P215:P399),(W413:X418))</f>
        <v>433.36656435610621</v>
      </c>
      <c r="Q408" s="182"/>
      <c r="R408" s="56">
        <f>SUM((R215:R399),(Y413:Z418))</f>
        <v>425.5</v>
      </c>
      <c r="S408" s="182">
        <f t="array" ref="S408">SUM(IF(ISERROR(S215:S407),“”,S215:S407))</f>
        <v>31.950472680930808</v>
      </c>
      <c r="T408" s="182"/>
      <c r="U408" s="182"/>
      <c r="V408" s="179">
        <f t="array" ref="V408">IF(ISERROR(L408/K408),"",L408/K408)</f>
        <v>0.85117352468480367</v>
      </c>
      <c r="W408" s="182">
        <f t="array" ref="W408">SUM(IF(ISERROR(W215:W407),“”,W215:W407))</f>
        <v>0</v>
      </c>
      <c r="X408" s="182">
        <f t="array" ref="X408">SUM(IF(ISERROR(X215:X407),“”,X215:X407))</f>
        <v>4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>
        <f t="array" ref="O409">IF(ISERROR(P408/R408),"",P408/R408)</f>
        <v>1.0184878128228112</v>
      </c>
      <c r="P409" s="245"/>
      <c r="Q409" s="245"/>
      <c r="R409" s="246"/>
      <c r="S409" s="44"/>
      <c r="T409" s="45"/>
      <c r="U409" s="45"/>
      <c r="V409" s="45"/>
      <c r="W409" s="247">
        <f>SUM(W408:AC408)</f>
        <v>4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>
        <v>163.5</v>
      </c>
      <c r="F411" s="250"/>
      <c r="G411" s="250">
        <v>163.5</v>
      </c>
      <c r="H411" s="250"/>
      <c r="I411" s="250">
        <f>G411-E411</f>
        <v>0</v>
      </c>
      <c r="J411" s="250"/>
      <c r="K411" s="252">
        <f t="array" ref="K411">IF(ISERROR(I411/E411),"",I411/E411)</f>
        <v>0</v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>
        <v>5832.1</v>
      </c>
      <c r="F412" s="250"/>
      <c r="G412" s="250">
        <v>6064.1</v>
      </c>
      <c r="H412" s="250"/>
      <c r="I412" s="250">
        <f>G412-E412</f>
        <v>232</v>
      </c>
      <c r="J412" s="250"/>
      <c r="K412" s="252">
        <f t="array" ref="K412">IF(ISERROR(I412/E412),"",I412/E412)</f>
        <v>3.9779839165995097E-2</v>
      </c>
      <c r="L412" s="252"/>
      <c r="M412" s="237"/>
      <c r="N412" s="238"/>
      <c r="O412" s="291"/>
      <c r="P412" s="291"/>
      <c r="Q412" s="254" t="s">
        <v>185</v>
      </c>
      <c r="R412" s="254"/>
      <c r="S412" s="255">
        <v>27</v>
      </c>
      <c r="T412" s="255"/>
      <c r="U412" s="255">
        <v>29</v>
      </c>
      <c r="V412" s="255"/>
      <c r="W412" s="254">
        <f>S412*11.5</f>
        <v>310.5</v>
      </c>
      <c r="X412" s="254"/>
      <c r="Y412" s="254">
        <f>U412*11.5</f>
        <v>333.5</v>
      </c>
      <c r="Z412" s="254"/>
      <c r="AA412" s="254">
        <f t="shared" ref="AA412:AA419" si="49">Y412-W412</f>
        <v>23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>
        <v>2151</v>
      </c>
      <c r="F413" s="250"/>
      <c r="G413" s="250">
        <v>2151</v>
      </c>
      <c r="H413" s="250"/>
      <c r="I413" s="250">
        <f>G413-E413</f>
        <v>0</v>
      </c>
      <c r="J413" s="250"/>
      <c r="K413" s="252">
        <f t="array" ref="K413">IF(ISERROR(I413/E413),"",I413/E413)</f>
        <v>0</v>
      </c>
      <c r="L413" s="252"/>
      <c r="M413" s="237"/>
      <c r="N413" s="238"/>
      <c r="O413" s="291"/>
      <c r="P413" s="291"/>
      <c r="Q413" s="254" t="s">
        <v>187</v>
      </c>
      <c r="R413" s="254"/>
      <c r="S413" s="255">
        <v>6</v>
      </c>
      <c r="T413" s="255"/>
      <c r="U413" s="255">
        <v>6</v>
      </c>
      <c r="V413" s="255"/>
      <c r="W413" s="254">
        <f t="shared" ref="W413:W419" si="50">S413*11.5</f>
        <v>69</v>
      </c>
      <c r="X413" s="254"/>
      <c r="Y413" s="254">
        <f t="shared" ref="Y413:Y419" si="51">U413*11.5</f>
        <v>69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92">
        <v>0.75</v>
      </c>
      <c r="T414" s="293"/>
      <c r="U414" s="255">
        <v>1</v>
      </c>
      <c r="V414" s="255"/>
      <c r="W414" s="254">
        <f t="shared" si="50"/>
        <v>8.625</v>
      </c>
      <c r="X414" s="254"/>
      <c r="Y414" s="254">
        <f t="shared" si="51"/>
        <v>11.5</v>
      </c>
      <c r="Z414" s="254"/>
      <c r="AA414" s="254">
        <f t="shared" si="49"/>
        <v>2.875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>
        <v>154450</v>
      </c>
      <c r="H415" s="296"/>
      <c r="I415" s="325">
        <v>154329</v>
      </c>
      <c r="J415" s="326"/>
      <c r="K415" s="260">
        <f>G415-I415</f>
        <v>121</v>
      </c>
      <c r="L415" s="260"/>
      <c r="M415" s="261">
        <f t="array" ref="M415">IF(ISERROR(K415/L408),"",K415/(L408/1000))</f>
        <v>4.3335614749079507</v>
      </c>
      <c r="N415" s="261"/>
      <c r="O415" s="291"/>
      <c r="P415" s="291"/>
      <c r="Q415" s="254" t="s">
        <v>197</v>
      </c>
      <c r="R415" s="254"/>
      <c r="S415" s="292">
        <v>0.75</v>
      </c>
      <c r="T415" s="293"/>
      <c r="U415" s="255">
        <v>1</v>
      </c>
      <c r="V415" s="255"/>
      <c r="W415" s="254">
        <f t="shared" si="50"/>
        <v>8.625</v>
      </c>
      <c r="X415" s="254"/>
      <c r="Y415" s="254">
        <f t="shared" si="51"/>
        <v>11.5</v>
      </c>
      <c r="Z415" s="254"/>
      <c r="AA415" s="254">
        <f t="shared" si="49"/>
        <v>2.875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>
        <f>45336.7*60+28946.7*120</f>
        <v>6193806</v>
      </c>
      <c r="H416" s="295"/>
      <c r="I416" s="294">
        <v>6192018</v>
      </c>
      <c r="J416" s="295"/>
      <c r="K416" s="260">
        <f>G416-I416</f>
        <v>1788</v>
      </c>
      <c r="L416" s="260"/>
      <c r="M416" s="261">
        <f t="array" ref="M416">IF(ISERROR(K416/L408),"",K416/(L408/1000))</f>
        <v>64.036429067234835</v>
      </c>
      <c r="N416" s="261"/>
      <c r="O416" s="291"/>
      <c r="P416" s="291"/>
      <c r="Q416" s="254" t="s">
        <v>200</v>
      </c>
      <c r="R416" s="254"/>
      <c r="S416" s="292">
        <v>1.5</v>
      </c>
      <c r="T416" s="293"/>
      <c r="U416" s="255">
        <v>1</v>
      </c>
      <c r="V416" s="255"/>
      <c r="W416" s="254">
        <f t="shared" si="50"/>
        <v>17.25</v>
      </c>
      <c r="X416" s="254"/>
      <c r="Y416" s="254">
        <f t="shared" si="51"/>
        <v>11.5</v>
      </c>
      <c r="Z416" s="254"/>
      <c r="AA416" s="254">
        <f t="shared" si="49"/>
        <v>-5.75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>
        <f>+I417+20</f>
        <v>28559</v>
      </c>
      <c r="H417" s="296"/>
      <c r="I417" s="327">
        <v>28539</v>
      </c>
      <c r="J417" s="328"/>
      <c r="K417" s="260">
        <f>G417-I417</f>
        <v>20</v>
      </c>
      <c r="L417" s="260"/>
      <c r="M417" s="264">
        <f t="array" ref="M417">IF(ISERROR(K417/L408),"",K417/(L408/1000))</f>
        <v>0.71629115287734724</v>
      </c>
      <c r="N417" s="264"/>
      <c r="O417" s="291"/>
      <c r="P417" s="291"/>
      <c r="Q417" s="254" t="s">
        <v>203</v>
      </c>
      <c r="R417" s="254"/>
      <c r="S417" s="292">
        <v>1</v>
      </c>
      <c r="T417" s="293"/>
      <c r="U417" s="255">
        <v>1</v>
      </c>
      <c r="V417" s="255"/>
      <c r="W417" s="254">
        <f t="shared" si="50"/>
        <v>11.5</v>
      </c>
      <c r="X417" s="254"/>
      <c r="Y417" s="254">
        <f t="shared" si="51"/>
        <v>11.5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>
        <f>2.72/2+2.72</f>
        <v>4.08</v>
      </c>
      <c r="L418" s="272"/>
      <c r="M418" s="265">
        <f t="array" ref="M418">IF(ISERROR((K418+K419)/L408),"",((K418+K419)*1000)/(L408/1000))</f>
        <v>146.12339518697883</v>
      </c>
      <c r="N418" s="266"/>
      <c r="O418" s="291"/>
      <c r="P418" s="291"/>
      <c r="Q418" s="254" t="s">
        <v>206</v>
      </c>
      <c r="R418" s="254"/>
      <c r="S418" s="292">
        <v>3</v>
      </c>
      <c r="T418" s="293"/>
      <c r="U418" s="255">
        <v>4</v>
      </c>
      <c r="V418" s="255"/>
      <c r="W418" s="254">
        <f t="shared" si="50"/>
        <v>34.5</v>
      </c>
      <c r="X418" s="254"/>
      <c r="Y418" s="254">
        <f t="shared" si="51"/>
        <v>46</v>
      </c>
      <c r="Z418" s="254"/>
      <c r="AA418" s="254">
        <f t="shared" si="49"/>
        <v>11.5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40</v>
      </c>
      <c r="T419" s="255"/>
      <c r="U419" s="255">
        <f>SUM(U412:V418)</f>
        <v>43</v>
      </c>
      <c r="V419" s="255"/>
      <c r="W419" s="254">
        <f t="shared" si="50"/>
        <v>460</v>
      </c>
      <c r="X419" s="254"/>
      <c r="Y419" s="254">
        <f t="shared" si="51"/>
        <v>494.5</v>
      </c>
      <c r="Z419" s="254"/>
      <c r="AA419" s="254">
        <f t="shared" si="49"/>
        <v>34.5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>
        <f>IF(ISERROR(K417/K418),"",K417/K418)</f>
        <v>4.9019607843137258</v>
      </c>
      <c r="N420" s="274"/>
      <c r="O420" s="291"/>
      <c r="P420" s="291"/>
      <c r="Q420" s="251" t="s">
        <v>211</v>
      </c>
      <c r="R420" s="251"/>
      <c r="S420" s="297">
        <f t="array" ref="S420">IF(ISERROR(L408/Y419),"",L408/Y419)</f>
        <v>56.46432134431123</v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64743.544999999991</v>
      </c>
      <c r="D423" s="304"/>
      <c r="E423" s="300" t="s">
        <v>218</v>
      </c>
      <c r="F423" s="300"/>
      <c r="G423" s="300">
        <f>L199+L408</f>
        <v>59013.96142857142</v>
      </c>
      <c r="H423" s="300"/>
      <c r="I423" s="307" t="s">
        <v>219</v>
      </c>
      <c r="J423" s="307"/>
      <c r="K423" s="306">
        <f>IF(ISERROR(G423/C423),"",G423/C423)</f>
        <v>0.9115034005099879</v>
      </c>
      <c r="L423" s="306"/>
      <c r="M423" s="300" t="s">
        <v>220</v>
      </c>
      <c r="N423" s="300"/>
      <c r="O423" s="301">
        <f>IF(ISERROR(G423/G424),"",G423/G424)</f>
        <v>69.963202642052664</v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852.1882929351375</v>
      </c>
      <c r="D424" s="304"/>
      <c r="E424" s="305" t="s">
        <v>18</v>
      </c>
      <c r="F424" s="305"/>
      <c r="G424" s="300">
        <f>R199+R408</f>
        <v>843.5</v>
      </c>
      <c r="H424" s="300"/>
      <c r="I424" s="284" t="s">
        <v>168</v>
      </c>
      <c r="J424" s="284"/>
      <c r="K424" s="306">
        <f>IF(ISERROR(C424/G424),"",C424/G424)</f>
        <v>1.0103002880084617</v>
      </c>
      <c r="L424" s="306"/>
      <c r="M424" s="250" t="s">
        <v>222</v>
      </c>
      <c r="N424" s="250"/>
      <c r="O424" s="300">
        <f>W200+W409</f>
        <v>4.833333333333333</v>
      </c>
      <c r="P424" s="250"/>
      <c r="Q424" s="250" t="s">
        <v>223</v>
      </c>
      <c r="R424" s="250"/>
      <c r="S424" s="306">
        <f t="array" ref="S424">IF(ISERROR(O424/G424),"",O424/G424)</f>
        <v>5.7300928670223272E-3</v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250</v>
      </c>
      <c r="D426" s="304"/>
      <c r="E426" s="300" t="s">
        <v>226</v>
      </c>
      <c r="F426" s="300"/>
      <c r="G426" s="264">
        <f t="array" ref="G426">IF(ISERROR(C426/G423),"",C426/(G423/1000))</f>
        <v>4.2362856847458357</v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3852</v>
      </c>
      <c r="D427" s="304"/>
      <c r="E427" s="300" t="s">
        <v>228</v>
      </c>
      <c r="F427" s="300"/>
      <c r="G427" s="264">
        <f>IF(ISERROR(C427/G423),"",C427/(G423/1000))</f>
        <v>65.272689830563834</v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39</v>
      </c>
      <c r="D428" s="304"/>
      <c r="E428" s="300" t="s">
        <v>230</v>
      </c>
      <c r="F428" s="300"/>
      <c r="G428" s="264">
        <f>IF(ISERROR(C428/G423),"",C428/(G423/1000))</f>
        <v>0.66086056682035033</v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8.16</v>
      </c>
      <c r="D429" s="304"/>
      <c r="E429" s="300" t="s">
        <v>232</v>
      </c>
      <c r="F429" s="300"/>
      <c r="G429" s="308">
        <f>IF(ISERROR(C429/G423),"",C429/(G423/1000))</f>
        <v>0.13827236475010407</v>
      </c>
      <c r="H429" s="308"/>
      <c r="I429" s="300" t="s">
        <v>233</v>
      </c>
      <c r="J429" s="300"/>
      <c r="K429" s="309">
        <f>IF(ISERROR(C428/C429),"",C428/C429)</f>
        <v>4.7794117647058822</v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>
        <f>IF(ISERROR(C430/G423),"",C430/(G423/1000))</f>
        <v>0</v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326</v>
      </c>
      <c r="D432" s="313"/>
      <c r="E432" s="300" t="s">
        <v>239</v>
      </c>
      <c r="F432" s="318"/>
      <c r="G432" s="314">
        <f>+G411+G202</f>
        <v>326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>
        <f t="array" ref="O432">IF(ISERROR(K432/C432),"",K432/C432)</f>
        <v>0</v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11196.2</v>
      </c>
      <c r="D433" s="313"/>
      <c r="E433" s="300" t="s">
        <v>243</v>
      </c>
      <c r="F433" s="300"/>
      <c r="G433" s="314">
        <f>+G412+G203</f>
        <v>11749.2</v>
      </c>
      <c r="H433" s="315"/>
      <c r="I433" s="300" t="s">
        <v>244</v>
      </c>
      <c r="J433" s="300"/>
      <c r="K433" s="285">
        <f>G433-C433</f>
        <v>553</v>
      </c>
      <c r="L433" s="287"/>
      <c r="M433" s="316" t="s">
        <v>245</v>
      </c>
      <c r="N433" s="317"/>
      <c r="O433" s="310">
        <f t="array" ref="O433">IF(ISERROR(K433/C433),"",K433/C433)</f>
        <v>4.9391757917864987E-2</v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3621</v>
      </c>
      <c r="D434" s="313"/>
      <c r="E434" s="300" t="s">
        <v>247</v>
      </c>
      <c r="F434" s="318"/>
      <c r="G434" s="314">
        <f>+G413+G204</f>
        <v>3558</v>
      </c>
      <c r="H434" s="315"/>
      <c r="I434" s="300" t="s">
        <v>248</v>
      </c>
      <c r="J434" s="318"/>
      <c r="K434" s="285">
        <f>G434-C434</f>
        <v>-63</v>
      </c>
      <c r="L434" s="287"/>
      <c r="M434" s="316" t="s">
        <v>249</v>
      </c>
      <c r="N434" s="317"/>
      <c r="O434" s="310">
        <f t="array" ref="O434">IF(ISERROR(K434/C434),"",K434/C434)</f>
        <v>-1.7398508699254349E-2</v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5</v>
      </c>
      <c r="D437" s="67">
        <v>5</v>
      </c>
      <c r="E437" s="171"/>
      <c r="F437" s="171"/>
      <c r="G437" s="171"/>
      <c r="H437" s="172"/>
      <c r="I437" s="172"/>
      <c r="J437" s="83">
        <f t="shared" ref="J437:J452" si="5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5</v>
      </c>
      <c r="R437" s="176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6</v>
      </c>
      <c r="D438" s="67">
        <v>6</v>
      </c>
      <c r="E438" s="171"/>
      <c r="F438" s="171"/>
      <c r="G438" s="171"/>
      <c r="H438" s="172"/>
      <c r="I438" s="172"/>
      <c r="J438" s="83">
        <f t="shared" si="53"/>
        <v>6</v>
      </c>
      <c r="K438" s="67"/>
      <c r="L438" s="67"/>
      <c r="M438" s="67"/>
      <c r="N438" s="67"/>
      <c r="O438" s="67"/>
      <c r="P438" s="118"/>
      <c r="Q438" s="83">
        <f t="shared" si="54"/>
        <v>6</v>
      </c>
      <c r="R438" s="176">
        <f t="shared" ref="R438:R443" si="5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3</v>
      </c>
      <c r="D439" s="67">
        <v>3</v>
      </c>
      <c r="E439" s="171"/>
      <c r="F439" s="171"/>
      <c r="G439" s="171"/>
      <c r="H439" s="172"/>
      <c r="I439" s="172"/>
      <c r="J439" s="83">
        <f t="shared" si="53"/>
        <v>3</v>
      </c>
      <c r="K439" s="67"/>
      <c r="L439" s="67"/>
      <c r="M439" s="67"/>
      <c r="N439" s="67"/>
      <c r="O439" s="67"/>
      <c r="P439" s="118"/>
      <c r="Q439" s="83">
        <f t="shared" si="54"/>
        <v>3</v>
      </c>
      <c r="R439" s="176">
        <f t="shared" si="5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26</v>
      </c>
      <c r="D440" s="67">
        <v>26</v>
      </c>
      <c r="E440" s="171"/>
      <c r="F440" s="171"/>
      <c r="G440" s="171"/>
      <c r="H440" s="172"/>
      <c r="I440" s="172"/>
      <c r="J440" s="83">
        <f t="shared" si="53"/>
        <v>26</v>
      </c>
      <c r="K440" s="67">
        <v>1</v>
      </c>
      <c r="L440" s="67"/>
      <c r="M440" s="67"/>
      <c r="N440" s="67"/>
      <c r="O440" s="67"/>
      <c r="P440" s="118"/>
      <c r="Q440" s="83">
        <f t="shared" si="54"/>
        <v>25</v>
      </c>
      <c r="R440" s="176">
        <f t="shared" si="5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1</v>
      </c>
      <c r="D441" s="67">
        <v>1</v>
      </c>
      <c r="E441" s="171"/>
      <c r="F441" s="171"/>
      <c r="G441" s="171"/>
      <c r="H441" s="172"/>
      <c r="I441" s="172"/>
      <c r="J441" s="83">
        <f t="shared" si="53"/>
        <v>1</v>
      </c>
      <c r="K441" s="67"/>
      <c r="L441" s="67"/>
      <c r="M441" s="67"/>
      <c r="N441" s="67"/>
      <c r="O441" s="67"/>
      <c r="P441" s="118"/>
      <c r="Q441" s="83">
        <f t="shared" si="54"/>
        <v>1</v>
      </c>
      <c r="R441" s="176">
        <f t="shared" si="5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2</v>
      </c>
      <c r="D442" s="67">
        <v>2</v>
      </c>
      <c r="E442" s="67"/>
      <c r="F442" s="67"/>
      <c r="G442" s="67"/>
      <c r="H442" s="67"/>
      <c r="I442" s="67"/>
      <c r="J442" s="83">
        <f t="shared" si="53"/>
        <v>2</v>
      </c>
      <c r="K442" s="67"/>
      <c r="L442" s="67"/>
      <c r="M442" s="67"/>
      <c r="N442" s="67"/>
      <c r="O442" s="67"/>
      <c r="P442" s="67"/>
      <c r="Q442" s="83">
        <f t="shared" si="54"/>
        <v>2</v>
      </c>
      <c r="R442" s="176">
        <f t="shared" si="5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43</v>
      </c>
      <c r="D443" s="68">
        <v>43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43</v>
      </c>
      <c r="K443" s="68">
        <f t="shared" si="57"/>
        <v>1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42</v>
      </c>
      <c r="R443" s="176">
        <f t="shared" si="55"/>
        <v>462</v>
      </c>
      <c r="S443" s="120">
        <f t="array" ref="S443">IF(ISERROR(Q443/J443),"",Q443/J443)</f>
        <v>0.97674418604651159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5</v>
      </c>
      <c r="D444" s="67">
        <v>5</v>
      </c>
      <c r="E444" s="67"/>
      <c r="F444" s="67"/>
      <c r="G444" s="67"/>
      <c r="H444" s="67"/>
      <c r="I444" s="67"/>
      <c r="J444" s="83">
        <f t="shared" si="53"/>
        <v>5</v>
      </c>
      <c r="K444" s="67">
        <v>1</v>
      </c>
      <c r="L444" s="67"/>
      <c r="M444" s="67"/>
      <c r="N444" s="67"/>
      <c r="O444" s="67"/>
      <c r="P444" s="67"/>
      <c r="Q444" s="83">
        <f t="shared" si="54"/>
        <v>4</v>
      </c>
      <c r="R444" s="176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5</v>
      </c>
      <c r="D445" s="67">
        <v>5</v>
      </c>
      <c r="E445" s="67"/>
      <c r="F445" s="67"/>
      <c r="G445" s="67"/>
      <c r="H445" s="67"/>
      <c r="I445" s="67"/>
      <c r="J445" s="83">
        <f t="shared" si="53"/>
        <v>5</v>
      </c>
      <c r="K445" s="67"/>
      <c r="L445" s="67"/>
      <c r="M445" s="67"/>
      <c r="N445" s="67"/>
      <c r="O445" s="67"/>
      <c r="P445" s="67"/>
      <c r="Q445" s="83">
        <f t="shared" si="54"/>
        <v>5</v>
      </c>
      <c r="R445" s="176">
        <f t="shared" ref="R445:R450" si="5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3</v>
      </c>
      <c r="D446" s="67">
        <v>3</v>
      </c>
      <c r="E446" s="67"/>
      <c r="F446" s="67"/>
      <c r="G446" s="67"/>
      <c r="H446" s="67"/>
      <c r="I446" s="67"/>
      <c r="J446" s="83">
        <f t="shared" si="53"/>
        <v>3</v>
      </c>
      <c r="K446" s="67"/>
      <c r="L446" s="67"/>
      <c r="M446" s="67"/>
      <c r="N446" s="67"/>
      <c r="P446" s="67"/>
      <c r="Q446" s="83">
        <f t="shared" si="54"/>
        <v>3</v>
      </c>
      <c r="R446" s="176">
        <f t="shared" si="5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29</v>
      </c>
      <c r="D447" s="67">
        <v>29</v>
      </c>
      <c r="E447" s="67"/>
      <c r="F447" s="67"/>
      <c r="G447" s="67"/>
      <c r="H447" s="67"/>
      <c r="I447" s="67">
        <v>1</v>
      </c>
      <c r="J447" s="83">
        <f t="shared" si="53"/>
        <v>28</v>
      </c>
      <c r="K447" s="67"/>
      <c r="L447" s="67"/>
      <c r="M447" s="67"/>
      <c r="N447" s="67"/>
      <c r="O447" s="67"/>
      <c r="P447" s="67"/>
      <c r="Q447" s="83">
        <f t="shared" si="54"/>
        <v>28</v>
      </c>
      <c r="R447" s="176">
        <f t="shared" si="58"/>
        <v>322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1</v>
      </c>
      <c r="D448" s="67">
        <v>1</v>
      </c>
      <c r="E448" s="67"/>
      <c r="F448" s="67"/>
      <c r="G448" s="67"/>
      <c r="H448" s="67"/>
      <c r="I448" s="67"/>
      <c r="J448" s="83">
        <f t="shared" si="53"/>
        <v>1</v>
      </c>
      <c r="K448" s="67"/>
      <c r="L448" s="67"/>
      <c r="M448" s="110"/>
      <c r="N448" s="67"/>
      <c r="O448" s="67"/>
      <c r="P448" s="67"/>
      <c r="Q448" s="83">
        <f t="shared" si="54"/>
        <v>1</v>
      </c>
      <c r="R448" s="176">
        <f t="shared" si="5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2</v>
      </c>
      <c r="D449" s="67">
        <v>2</v>
      </c>
      <c r="E449" s="67"/>
      <c r="F449" s="67"/>
      <c r="G449" s="67"/>
      <c r="H449" s="67"/>
      <c r="I449" s="67"/>
      <c r="J449" s="83">
        <f t="shared" si="53"/>
        <v>2</v>
      </c>
      <c r="K449" s="67"/>
      <c r="L449" s="67"/>
      <c r="M449" s="67"/>
      <c r="N449" s="67"/>
      <c r="O449" s="67"/>
      <c r="P449" s="67"/>
      <c r="Q449" s="83">
        <f t="shared" si="54"/>
        <v>2</v>
      </c>
      <c r="R449" s="176">
        <f t="shared" si="5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45</v>
      </c>
      <c r="D450" s="69">
        <v>45</v>
      </c>
      <c r="E450" s="69">
        <f t="shared" ref="E450:I450" si="59">SUM(E444:E449)</f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1</v>
      </c>
      <c r="J450" s="85">
        <f t="shared" si="53"/>
        <v>44</v>
      </c>
      <c r="K450" s="69">
        <f t="shared" ref="K450:P450" si="60">SUM(K444:K449)</f>
        <v>1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43</v>
      </c>
      <c r="R450" s="176">
        <f t="shared" si="58"/>
        <v>494.5</v>
      </c>
      <c r="S450" s="122">
        <f t="array" ref="S450">IF(ISERROR(Q450/J450),"",Q450/J450)</f>
        <v>0.97727272727272729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2</v>
      </c>
      <c r="D451" s="67">
        <v>2</v>
      </c>
      <c r="E451" s="171"/>
      <c r="F451" s="171"/>
      <c r="G451" s="171"/>
      <c r="H451" s="172"/>
      <c r="I451" s="83"/>
      <c r="J451" s="83">
        <f t="shared" si="53"/>
        <v>2</v>
      </c>
      <c r="K451" s="172"/>
      <c r="L451" s="172"/>
      <c r="M451" s="172"/>
      <c r="N451" s="172"/>
      <c r="O451" s="172"/>
      <c r="P451" s="187"/>
      <c r="Q451" s="83">
        <f t="shared" si="54"/>
        <v>2</v>
      </c>
      <c r="R451" s="176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90</v>
      </c>
      <c r="D452" s="69">
        <v>90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</v>
      </c>
      <c r="J452" s="85">
        <f t="shared" si="53"/>
        <v>89</v>
      </c>
      <c r="K452" s="69">
        <f t="shared" ref="K452:P452" si="61">+K443+K450+K451</f>
        <v>2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87</v>
      </c>
      <c r="R452" s="67">
        <f>R443+R450+R451</f>
        <v>978.5</v>
      </c>
      <c r="S452" s="123">
        <f t="array" ref="S452">IF(ISERROR(Q452/J452),"",Q452/J452)</f>
        <v>0.97752808988764039</v>
      </c>
      <c r="T452" s="185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8"/>
  <dimension ref="A1:AC454"/>
  <sheetViews>
    <sheetView workbookViewId="0">
      <pane xSplit="5" ySplit="8" topLeftCell="L408" activePane="bottomRight" state="frozen"/>
      <selection pane="topRight" activeCell="F1" sqref="F1"/>
      <selection pane="bottomLeft" activeCell="A9" sqref="A9"/>
      <selection pane="bottomRight" activeCell="G236" sqref="G23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0.12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hidden="1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hidden="1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hidden="1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s="2" customFormat="1" ht="21.95" customHeight="1">
      <c r="A9" s="209">
        <v>300316</v>
      </c>
      <c r="B9" s="206" t="s">
        <v>33</v>
      </c>
      <c r="C9" s="219" t="s">
        <v>34</v>
      </c>
      <c r="D9" s="219"/>
      <c r="E9" s="213" t="s">
        <v>38</v>
      </c>
      <c r="F9" s="212" t="s">
        <v>323</v>
      </c>
      <c r="G9" s="133">
        <v>7</v>
      </c>
      <c r="H9" s="133">
        <v>0.13333333333333333</v>
      </c>
      <c r="I9" s="133">
        <f>7+H9-J9/600</f>
        <v>6.8000000000000007</v>
      </c>
      <c r="J9" s="133">
        <v>200</v>
      </c>
      <c r="K9" s="211">
        <f t="shared" si="0"/>
        <v>4312</v>
      </c>
      <c r="L9" s="211">
        <f t="shared" si="1"/>
        <v>4188.8</v>
      </c>
      <c r="M9" s="211">
        <v>616</v>
      </c>
      <c r="N9" s="211">
        <f t="shared" si="5"/>
        <v>4.534746760895171</v>
      </c>
      <c r="O9" s="211"/>
      <c r="P9" s="211">
        <f t="shared" si="2"/>
        <v>30.836277974087167</v>
      </c>
      <c r="Q9" s="211">
        <v>11</v>
      </c>
      <c r="R9" s="19">
        <f t="shared" si="3"/>
        <v>22</v>
      </c>
      <c r="S9" s="211">
        <f t="shared" si="4"/>
        <v>-8.8362779740871673</v>
      </c>
      <c r="T9" s="20">
        <v>5</v>
      </c>
      <c r="U9" s="20">
        <v>2</v>
      </c>
      <c r="V9" s="216">
        <f t="array" ref="V9">IF(ISERROR(L9/K9),"",L9/K9)</f>
        <v>0.97142857142857142</v>
      </c>
      <c r="W9" s="20"/>
      <c r="X9" s="206"/>
      <c r="Y9" s="206"/>
      <c r="Z9" s="212"/>
      <c r="AA9" s="20"/>
      <c r="AB9" s="20"/>
      <c r="AC9" s="20"/>
    </row>
    <row r="10" spans="1:29" s="2" customFormat="1" ht="21.95" hidden="1" customHeight="1">
      <c r="A10" s="209">
        <v>300317</v>
      </c>
      <c r="B10" s="206" t="s">
        <v>33</v>
      </c>
      <c r="C10" s="219" t="s">
        <v>34</v>
      </c>
      <c r="D10" s="219"/>
      <c r="E10" s="213" t="s">
        <v>39</v>
      </c>
      <c r="F10" s="212"/>
      <c r="G10" s="133"/>
      <c r="H10" s="133"/>
      <c r="I10" s="133"/>
      <c r="J10" s="133"/>
      <c r="K10" s="211">
        <f t="shared" si="0"/>
        <v>0</v>
      </c>
      <c r="L10" s="211">
        <f t="shared" si="1"/>
        <v>0</v>
      </c>
      <c r="M10" s="211">
        <v>616</v>
      </c>
      <c r="N10" s="211">
        <f t="shared" si="5"/>
        <v>4.534746760895171</v>
      </c>
      <c r="O10" s="211"/>
      <c r="P10" s="211">
        <f t="shared" si="2"/>
        <v>0</v>
      </c>
      <c r="Q10" s="211"/>
      <c r="R10" s="19">
        <f t="shared" si="3"/>
        <v>0</v>
      </c>
      <c r="S10" s="211">
        <f t="shared" si="4"/>
        <v>0</v>
      </c>
      <c r="T10" s="20">
        <v>5</v>
      </c>
      <c r="U10" s="20"/>
      <c r="V10" s="216" t="str">
        <f t="array" ref="V10">IF(ISERROR(L10/K10),"",L10/K10)</f>
        <v/>
      </c>
      <c r="W10" s="20"/>
      <c r="X10" s="206"/>
      <c r="Y10" s="206"/>
      <c r="Z10" s="212"/>
      <c r="AA10" s="20"/>
      <c r="AB10" s="20"/>
      <c r="AC10" s="20"/>
    </row>
    <row r="11" spans="1:29" s="2" customFormat="1" ht="21.95" hidden="1" customHeight="1">
      <c r="A11" s="209">
        <v>300315</v>
      </c>
      <c r="B11" s="206" t="s">
        <v>33</v>
      </c>
      <c r="C11" s="219" t="s">
        <v>34</v>
      </c>
      <c r="D11" s="219"/>
      <c r="E11" s="213" t="s">
        <v>40</v>
      </c>
      <c r="F11" s="212"/>
      <c r="G11" s="133"/>
      <c r="H11" s="133"/>
      <c r="I11" s="133"/>
      <c r="J11" s="133"/>
      <c r="K11" s="211">
        <f t="shared" si="0"/>
        <v>0</v>
      </c>
      <c r="L11" s="211">
        <f t="shared" si="1"/>
        <v>0</v>
      </c>
      <c r="M11" s="211">
        <v>616</v>
      </c>
      <c r="N11" s="211">
        <f t="shared" si="5"/>
        <v>4.534746760895171</v>
      </c>
      <c r="O11" s="211"/>
      <c r="P11" s="211">
        <f t="shared" si="2"/>
        <v>0</v>
      </c>
      <c r="Q11" s="211"/>
      <c r="R11" s="19">
        <f t="shared" si="3"/>
        <v>0</v>
      </c>
      <c r="S11" s="211">
        <f t="shared" si="4"/>
        <v>0</v>
      </c>
      <c r="T11" s="20">
        <v>5</v>
      </c>
      <c r="U11" s="20"/>
      <c r="V11" s="216" t="str">
        <f t="array" ref="V11">IF(ISERROR(L11/K11),"",L11/K11)</f>
        <v/>
      </c>
      <c r="W11" s="20"/>
      <c r="X11" s="206"/>
      <c r="Y11" s="206"/>
      <c r="Z11" s="212"/>
      <c r="AA11" s="20"/>
      <c r="AB11" s="20"/>
      <c r="AC11" s="20"/>
    </row>
    <row r="12" spans="1:29" s="2" customFormat="1" ht="21.95" hidden="1" customHeight="1">
      <c r="A12" s="209">
        <v>300314</v>
      </c>
      <c r="B12" s="206" t="s">
        <v>33</v>
      </c>
      <c r="C12" s="219" t="s">
        <v>34</v>
      </c>
      <c r="D12" s="219"/>
      <c r="E12" s="213" t="s">
        <v>41</v>
      </c>
      <c r="F12" s="212"/>
      <c r="G12" s="133"/>
      <c r="H12" s="133"/>
      <c r="I12" s="133"/>
      <c r="J12" s="133"/>
      <c r="K12" s="211">
        <f t="shared" si="0"/>
        <v>0</v>
      </c>
      <c r="L12" s="211">
        <f t="shared" si="1"/>
        <v>0</v>
      </c>
      <c r="M12" s="211">
        <v>616</v>
      </c>
      <c r="N12" s="211">
        <f t="shared" si="5"/>
        <v>4.534746760895171</v>
      </c>
      <c r="O12" s="211"/>
      <c r="P12" s="211">
        <f t="shared" si="2"/>
        <v>0</v>
      </c>
      <c r="Q12" s="211"/>
      <c r="R12" s="19">
        <f t="shared" si="3"/>
        <v>0</v>
      </c>
      <c r="S12" s="211">
        <f t="shared" si="4"/>
        <v>0</v>
      </c>
      <c r="T12" s="20">
        <v>5</v>
      </c>
      <c r="U12" s="20"/>
      <c r="V12" s="216" t="str">
        <f t="array" ref="V12">IF(ISERROR(L12/K12),"",L12/K12)</f>
        <v/>
      </c>
      <c r="W12" s="20"/>
      <c r="X12" s="206"/>
      <c r="Y12" s="206"/>
      <c r="Z12" s="212"/>
      <c r="AA12" s="20"/>
      <c r="AB12" s="20"/>
      <c r="AC12" s="20"/>
    </row>
    <row r="13" spans="1:29" s="2" customFormat="1" ht="21.95" hidden="1" customHeight="1">
      <c r="A13" s="209">
        <v>300313</v>
      </c>
      <c r="B13" s="206" t="s">
        <v>33</v>
      </c>
      <c r="C13" s="219" t="s">
        <v>34</v>
      </c>
      <c r="D13" s="219"/>
      <c r="E13" s="213" t="s">
        <v>42</v>
      </c>
      <c r="F13" s="212"/>
      <c r="G13" s="133"/>
      <c r="H13" s="133"/>
      <c r="I13" s="133"/>
      <c r="J13" s="133"/>
      <c r="K13" s="211">
        <f t="shared" si="0"/>
        <v>0</v>
      </c>
      <c r="L13" s="211">
        <f t="shared" si="1"/>
        <v>0</v>
      </c>
      <c r="M13" s="211">
        <v>616</v>
      </c>
      <c r="N13" s="211">
        <f t="shared" si="5"/>
        <v>4.534746760895171</v>
      </c>
      <c r="O13" s="211"/>
      <c r="P13" s="211">
        <f t="shared" si="2"/>
        <v>0</v>
      </c>
      <c r="Q13" s="211"/>
      <c r="R13" s="19">
        <f t="shared" si="3"/>
        <v>0</v>
      </c>
      <c r="S13" s="211">
        <f t="shared" si="4"/>
        <v>0</v>
      </c>
      <c r="T13" s="20">
        <v>5</v>
      </c>
      <c r="U13" s="20"/>
      <c r="V13" s="216" t="str">
        <f t="array" ref="V13">IF(ISERROR(L13/K13),"",L13/K13)</f>
        <v/>
      </c>
      <c r="W13" s="20"/>
      <c r="X13" s="206"/>
      <c r="Y13" s="206"/>
      <c r="Z13" s="212"/>
      <c r="AA13" s="20"/>
      <c r="AB13" s="20"/>
      <c r="AC13" s="20"/>
    </row>
    <row r="14" spans="1:29" s="2" customFormat="1" ht="21.95" hidden="1" customHeight="1">
      <c r="A14" s="209"/>
      <c r="B14" s="206" t="s">
        <v>43</v>
      </c>
      <c r="C14" s="230" t="s">
        <v>305</v>
      </c>
      <c r="D14" s="231"/>
      <c r="E14" s="213" t="s">
        <v>306</v>
      </c>
      <c r="F14" s="212"/>
      <c r="G14" s="133"/>
      <c r="H14" s="133"/>
      <c r="I14" s="133"/>
      <c r="J14" s="133"/>
      <c r="K14" s="211">
        <f t="shared" si="0"/>
        <v>0</v>
      </c>
      <c r="L14" s="211">
        <f t="shared" si="1"/>
        <v>0</v>
      </c>
      <c r="M14" s="211">
        <v>213.4</v>
      </c>
      <c r="N14" s="211">
        <f>+M14*1000/(15.4*10*17*60)*T14</f>
        <v>4.0756302521008401</v>
      </c>
      <c r="O14" s="211"/>
      <c r="P14" s="211">
        <f t="shared" si="2"/>
        <v>0</v>
      </c>
      <c r="Q14" s="211"/>
      <c r="R14" s="19">
        <f t="shared" si="3"/>
        <v>0</v>
      </c>
      <c r="S14" s="211">
        <f t="shared" si="4"/>
        <v>0</v>
      </c>
      <c r="T14" s="20">
        <v>3</v>
      </c>
      <c r="U14" s="20"/>
      <c r="V14" s="216" t="str">
        <f t="array" ref="V14">IF(ISERROR(L14/K14),"",L14/K14)</f>
        <v/>
      </c>
      <c r="W14" s="20"/>
      <c r="X14" s="206"/>
      <c r="Y14" s="206"/>
      <c r="Z14" s="212"/>
      <c r="AA14" s="20"/>
      <c r="AB14" s="20"/>
      <c r="AC14" s="20"/>
    </row>
    <row r="15" spans="1:29" s="2" customFormat="1" ht="21.95" hidden="1" customHeight="1">
      <c r="A15" s="209"/>
      <c r="B15" s="206" t="s">
        <v>43</v>
      </c>
      <c r="C15" s="230" t="s">
        <v>305</v>
      </c>
      <c r="D15" s="231"/>
      <c r="E15" s="213" t="s">
        <v>307</v>
      </c>
      <c r="F15" s="212"/>
      <c r="G15" s="133"/>
      <c r="H15" s="133"/>
      <c r="I15" s="133"/>
      <c r="J15" s="133"/>
      <c r="K15" s="211">
        <f t="shared" si="0"/>
        <v>0</v>
      </c>
      <c r="L15" s="211">
        <f t="shared" si="1"/>
        <v>0</v>
      </c>
      <c r="M15" s="211">
        <v>213.4</v>
      </c>
      <c r="N15" s="211">
        <f>+M15*1000/(15.4*10*17*60)*T15</f>
        <v>4.0756302521008401</v>
      </c>
      <c r="O15" s="211"/>
      <c r="P15" s="211">
        <f t="shared" si="2"/>
        <v>0</v>
      </c>
      <c r="Q15" s="211"/>
      <c r="R15" s="19">
        <f t="shared" si="3"/>
        <v>0</v>
      </c>
      <c r="S15" s="211">
        <f t="shared" si="4"/>
        <v>0</v>
      </c>
      <c r="T15" s="20">
        <v>3</v>
      </c>
      <c r="U15" s="20"/>
      <c r="V15" s="216" t="str">
        <f t="array" ref="V15">IF(ISERROR(L15/K15),"",L15/K15)</f>
        <v/>
      </c>
      <c r="W15" s="20"/>
      <c r="X15" s="206"/>
      <c r="Y15" s="206"/>
      <c r="Z15" s="212"/>
      <c r="AA15" s="20"/>
      <c r="AB15" s="20"/>
      <c r="AC15" s="20"/>
    </row>
    <row r="16" spans="1:29" s="2" customFormat="1" ht="21" hidden="1" customHeight="1">
      <c r="A16" s="206">
        <v>300202</v>
      </c>
      <c r="B16" s="206" t="s">
        <v>43</v>
      </c>
      <c r="C16" s="230" t="s">
        <v>44</v>
      </c>
      <c r="D16" s="231"/>
      <c r="E16" s="206" t="s">
        <v>35</v>
      </c>
      <c r="F16" s="212"/>
      <c r="G16" s="133"/>
      <c r="H16" s="133"/>
      <c r="I16" s="133"/>
      <c r="J16" s="133"/>
      <c r="K16" s="211">
        <f t="shared" si="0"/>
        <v>0</v>
      </c>
      <c r="L16" s="211">
        <f t="shared" si="1"/>
        <v>0</v>
      </c>
      <c r="M16" s="211">
        <v>212.4</v>
      </c>
      <c r="N16" s="211">
        <f>+M16*1000/(15.4*10*17*60)*T16</f>
        <v>4.0565317035905268</v>
      </c>
      <c r="O16" s="211"/>
      <c r="P16" s="211">
        <f t="shared" si="2"/>
        <v>0</v>
      </c>
      <c r="Q16" s="211"/>
      <c r="R16" s="19">
        <f t="shared" si="3"/>
        <v>0</v>
      </c>
      <c r="S16" s="211">
        <f t="shared" si="4"/>
        <v>0</v>
      </c>
      <c r="T16" s="20">
        <v>3</v>
      </c>
      <c r="U16" s="20"/>
      <c r="V16" s="216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206">
        <v>300203</v>
      </c>
      <c r="B17" s="206" t="s">
        <v>43</v>
      </c>
      <c r="C17" s="230" t="s">
        <v>44</v>
      </c>
      <c r="D17" s="231"/>
      <c r="E17" s="206" t="s">
        <v>41</v>
      </c>
      <c r="F17" s="212"/>
      <c r="G17" s="133"/>
      <c r="H17" s="133"/>
      <c r="I17" s="133"/>
      <c r="J17" s="133"/>
      <c r="K17" s="211">
        <f t="shared" si="0"/>
        <v>0</v>
      </c>
      <c r="L17" s="211">
        <f t="shared" si="1"/>
        <v>0</v>
      </c>
      <c r="M17" s="211">
        <v>212.4</v>
      </c>
      <c r="N17" s="211">
        <f>+M17*1000/(15.4*10*17*60)*T17</f>
        <v>4.0565317035905268</v>
      </c>
      <c r="O17" s="211"/>
      <c r="P17" s="211">
        <f t="shared" si="2"/>
        <v>0</v>
      </c>
      <c r="Q17" s="211"/>
      <c r="R17" s="19">
        <f t="shared" si="3"/>
        <v>0</v>
      </c>
      <c r="S17" s="211">
        <f t="shared" si="4"/>
        <v>0</v>
      </c>
      <c r="T17" s="20">
        <v>3</v>
      </c>
      <c r="U17" s="20"/>
      <c r="V17" s="216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206">
        <v>300204</v>
      </c>
      <c r="B18" s="206" t="s">
        <v>43</v>
      </c>
      <c r="C18" s="230" t="s">
        <v>44</v>
      </c>
      <c r="D18" s="231"/>
      <c r="E18" s="206" t="s">
        <v>37</v>
      </c>
      <c r="F18" s="212"/>
      <c r="G18" s="133"/>
      <c r="H18" s="133"/>
      <c r="I18" s="133"/>
      <c r="J18" s="133"/>
      <c r="K18" s="211">
        <f t="shared" si="0"/>
        <v>0</v>
      </c>
      <c r="L18" s="211">
        <f t="shared" si="1"/>
        <v>0</v>
      </c>
      <c r="M18" s="211">
        <v>212.4</v>
      </c>
      <c r="N18" s="211">
        <f>+M18*1000/(15.4*10*17*60)*T18</f>
        <v>4.0565317035905268</v>
      </c>
      <c r="O18" s="211"/>
      <c r="P18" s="211">
        <f t="shared" si="2"/>
        <v>0</v>
      </c>
      <c r="Q18" s="211"/>
      <c r="R18" s="19">
        <f t="shared" si="3"/>
        <v>0</v>
      </c>
      <c r="S18" s="211">
        <f t="shared" si="4"/>
        <v>0</v>
      </c>
      <c r="T18" s="20">
        <v>3</v>
      </c>
      <c r="U18" s="20"/>
      <c r="V18" s="216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209">
        <v>300269</v>
      </c>
      <c r="B19" s="206" t="s">
        <v>43</v>
      </c>
      <c r="C19" s="219" t="s">
        <v>45</v>
      </c>
      <c r="D19" s="219"/>
      <c r="E19" s="213"/>
      <c r="F19" s="212"/>
      <c r="G19" s="133"/>
      <c r="H19" s="133"/>
      <c r="I19" s="133"/>
      <c r="J19" s="133"/>
      <c r="K19" s="211">
        <f t="shared" si="0"/>
        <v>0</v>
      </c>
      <c r="L19" s="211">
        <f t="shared" si="1"/>
        <v>0</v>
      </c>
      <c r="M19" s="211">
        <v>209.4</v>
      </c>
      <c r="N19" s="211">
        <f>+M19*1000/(19.4*10*16*60)*T19</f>
        <v>3.3730670103092786</v>
      </c>
      <c r="O19" s="211"/>
      <c r="P19" s="211">
        <f t="shared" si="2"/>
        <v>0</v>
      </c>
      <c r="Q19" s="211"/>
      <c r="R19" s="19">
        <f t="shared" si="3"/>
        <v>0</v>
      </c>
      <c r="S19" s="211">
        <f t="shared" si="4"/>
        <v>0</v>
      </c>
      <c r="T19" s="20">
        <v>3</v>
      </c>
      <c r="U19" s="20"/>
      <c r="V19" s="216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209"/>
      <c r="B20" s="206"/>
      <c r="C20" s="219" t="s">
        <v>46</v>
      </c>
      <c r="D20" s="219"/>
      <c r="E20" s="213" t="s">
        <v>47</v>
      </c>
      <c r="F20" s="212"/>
      <c r="G20" s="133"/>
      <c r="H20" s="133"/>
      <c r="I20" s="133"/>
      <c r="J20" s="133"/>
      <c r="K20" s="211">
        <f t="shared" si="0"/>
        <v>0</v>
      </c>
      <c r="L20" s="211">
        <f t="shared" si="1"/>
        <v>0</v>
      </c>
      <c r="M20" s="211">
        <v>209.9</v>
      </c>
      <c r="N20" s="211">
        <f>+M20*1000/(19*10*16*60)*T20</f>
        <v>3.4523026315789478</v>
      </c>
      <c r="O20" s="211"/>
      <c r="P20" s="211">
        <f t="shared" si="2"/>
        <v>0</v>
      </c>
      <c r="Q20" s="211"/>
      <c r="R20" s="19">
        <f t="shared" si="3"/>
        <v>0</v>
      </c>
      <c r="S20" s="211">
        <f t="shared" si="4"/>
        <v>0</v>
      </c>
      <c r="T20" s="20">
        <v>3</v>
      </c>
      <c r="U20" s="20"/>
      <c r="V20" s="216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209">
        <v>300350</v>
      </c>
      <c r="B21" s="206" t="s">
        <v>43</v>
      </c>
      <c r="C21" s="219" t="s">
        <v>48</v>
      </c>
      <c r="D21" s="219"/>
      <c r="E21" s="213" t="s">
        <v>49</v>
      </c>
      <c r="F21" s="212"/>
      <c r="G21" s="133"/>
      <c r="H21" s="133"/>
      <c r="I21" s="133"/>
      <c r="J21" s="133"/>
      <c r="K21" s="211">
        <f t="shared" si="0"/>
        <v>0</v>
      </c>
      <c r="L21" s="211">
        <f t="shared" si="1"/>
        <v>0</v>
      </c>
      <c r="M21" s="211">
        <v>209.9</v>
      </c>
      <c r="N21" s="211">
        <f>+M21*1000/(19*10*16*60)*T21</f>
        <v>2.3015350877192984</v>
      </c>
      <c r="O21" s="211"/>
      <c r="P21" s="211">
        <f t="shared" si="2"/>
        <v>0</v>
      </c>
      <c r="Q21" s="211"/>
      <c r="R21" s="19">
        <f t="shared" si="3"/>
        <v>0</v>
      </c>
      <c r="S21" s="211">
        <f t="shared" si="4"/>
        <v>0</v>
      </c>
      <c r="T21" s="20">
        <v>2</v>
      </c>
      <c r="U21" s="20"/>
      <c r="V21" s="216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209">
        <v>300113</v>
      </c>
      <c r="B22" s="206" t="s">
        <v>43</v>
      </c>
      <c r="C22" s="219" t="s">
        <v>50</v>
      </c>
      <c r="D22" s="219"/>
      <c r="E22" s="213" t="s">
        <v>40</v>
      </c>
      <c r="F22" s="212"/>
      <c r="G22" s="133"/>
      <c r="H22" s="133"/>
      <c r="I22" s="133"/>
      <c r="J22" s="133"/>
      <c r="K22" s="211">
        <f t="shared" si="0"/>
        <v>0</v>
      </c>
      <c r="L22" s="211">
        <f t="shared" si="1"/>
        <v>0</v>
      </c>
      <c r="M22" s="211">
        <v>210</v>
      </c>
      <c r="N22" s="211">
        <f>M22*1000/(19.2*10*17*60)*T22</f>
        <v>2.1446078431372548</v>
      </c>
      <c r="O22" s="211"/>
      <c r="P22" s="211">
        <f t="shared" si="2"/>
        <v>0</v>
      </c>
      <c r="Q22" s="211"/>
      <c r="R22" s="19">
        <f t="shared" si="3"/>
        <v>0</v>
      </c>
      <c r="S22" s="211">
        <f t="shared" si="4"/>
        <v>0</v>
      </c>
      <c r="T22" s="20">
        <v>2</v>
      </c>
      <c r="U22" s="20"/>
      <c r="V22" s="216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209">
        <v>300114</v>
      </c>
      <c r="B23" s="206" t="s">
        <v>43</v>
      </c>
      <c r="C23" s="219" t="s">
        <v>50</v>
      </c>
      <c r="D23" s="219"/>
      <c r="E23" s="213" t="s">
        <v>42</v>
      </c>
      <c r="F23" s="212"/>
      <c r="G23" s="133"/>
      <c r="H23" s="133"/>
      <c r="I23" s="133"/>
      <c r="J23" s="133"/>
      <c r="K23" s="211">
        <f t="shared" si="0"/>
        <v>0</v>
      </c>
      <c r="L23" s="211">
        <f t="shared" si="1"/>
        <v>0</v>
      </c>
      <c r="M23" s="211">
        <v>210</v>
      </c>
      <c r="N23" s="211">
        <f>M23*1000/(19.2*10*17*60)*T23</f>
        <v>2.1446078431372548</v>
      </c>
      <c r="O23" s="211"/>
      <c r="P23" s="211">
        <f t="shared" si="2"/>
        <v>0</v>
      </c>
      <c r="Q23" s="211"/>
      <c r="R23" s="19">
        <f t="shared" si="3"/>
        <v>0</v>
      </c>
      <c r="S23" s="211">
        <f t="shared" si="4"/>
        <v>0</v>
      </c>
      <c r="T23" s="20">
        <v>2</v>
      </c>
      <c r="U23" s="20"/>
      <c r="V23" s="216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209">
        <v>300115</v>
      </c>
      <c r="B24" s="206" t="s">
        <v>43</v>
      </c>
      <c r="C24" s="219" t="s">
        <v>50</v>
      </c>
      <c r="D24" s="219"/>
      <c r="E24" s="213" t="s">
        <v>41</v>
      </c>
      <c r="F24" s="212"/>
      <c r="G24" s="133"/>
      <c r="H24" s="133"/>
      <c r="I24" s="133"/>
      <c r="J24" s="133"/>
      <c r="K24" s="211">
        <f t="shared" si="0"/>
        <v>0</v>
      </c>
      <c r="L24" s="211">
        <f t="shared" si="1"/>
        <v>0</v>
      </c>
      <c r="M24" s="211">
        <v>210</v>
      </c>
      <c r="N24" s="211">
        <f>M24*1000/(19.2*10*17*60)*T24</f>
        <v>2.1446078431372548</v>
      </c>
      <c r="O24" s="211"/>
      <c r="P24" s="211">
        <f t="shared" si="2"/>
        <v>0</v>
      </c>
      <c r="Q24" s="211"/>
      <c r="R24" s="19">
        <f t="shared" si="3"/>
        <v>0</v>
      </c>
      <c r="S24" s="211">
        <f t="shared" si="4"/>
        <v>0</v>
      </c>
      <c r="T24" s="20">
        <v>2</v>
      </c>
      <c r="U24" s="20"/>
      <c r="V24" s="216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209">
        <v>300011</v>
      </c>
      <c r="B25" s="206" t="s">
        <v>43</v>
      </c>
      <c r="C25" s="219" t="s">
        <v>51</v>
      </c>
      <c r="D25" s="219"/>
      <c r="E25" s="213" t="s">
        <v>40</v>
      </c>
      <c r="F25" s="212"/>
      <c r="G25" s="133"/>
      <c r="H25" s="133"/>
      <c r="I25" s="133"/>
      <c r="J25" s="133"/>
      <c r="K25" s="211">
        <f t="shared" si="0"/>
        <v>0</v>
      </c>
      <c r="L25" s="211">
        <f t="shared" si="1"/>
        <v>0</v>
      </c>
      <c r="M25" s="211">
        <v>524.6</v>
      </c>
      <c r="N25" s="211">
        <f>+M25*1000/(25.4*20*15*60)*T25</f>
        <v>3.4422572178477688</v>
      </c>
      <c r="O25" s="211"/>
      <c r="P25" s="211">
        <f t="shared" si="2"/>
        <v>0</v>
      </c>
      <c r="Q25" s="211"/>
      <c r="R25" s="19">
        <f t="shared" si="3"/>
        <v>0</v>
      </c>
      <c r="S25" s="211">
        <f t="shared" si="4"/>
        <v>0</v>
      </c>
      <c r="T25" s="20">
        <v>3</v>
      </c>
      <c r="U25" s="20"/>
      <c r="V25" s="216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209">
        <v>300012</v>
      </c>
      <c r="B26" s="206" t="s">
        <v>43</v>
      </c>
      <c r="C26" s="219" t="s">
        <v>51</v>
      </c>
      <c r="D26" s="219"/>
      <c r="E26" s="213" t="s">
        <v>41</v>
      </c>
      <c r="F26" s="212"/>
      <c r="G26" s="133"/>
      <c r="H26" s="133"/>
      <c r="I26" s="133"/>
      <c r="J26" s="133"/>
      <c r="K26" s="211">
        <f t="shared" si="0"/>
        <v>0</v>
      </c>
      <c r="L26" s="211">
        <f t="shared" si="1"/>
        <v>0</v>
      </c>
      <c r="M26" s="211">
        <v>524.6</v>
      </c>
      <c r="N26" s="211">
        <f>+M26*1000/(25.4*20*15*60)*T26</f>
        <v>3.4422572178477688</v>
      </c>
      <c r="O26" s="211"/>
      <c r="P26" s="211">
        <f t="shared" si="2"/>
        <v>0</v>
      </c>
      <c r="Q26" s="211"/>
      <c r="R26" s="19">
        <f t="shared" si="3"/>
        <v>0</v>
      </c>
      <c r="S26" s="211">
        <f t="shared" si="4"/>
        <v>0</v>
      </c>
      <c r="T26" s="20">
        <v>3</v>
      </c>
      <c r="U26" s="20"/>
      <c r="V26" s="216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customHeight="1">
      <c r="A27" s="209">
        <v>300013</v>
      </c>
      <c r="B27" s="206" t="s">
        <v>324</v>
      </c>
      <c r="C27" s="219" t="s">
        <v>51</v>
      </c>
      <c r="D27" s="219"/>
      <c r="E27" s="213" t="s">
        <v>42</v>
      </c>
      <c r="F27" s="212">
        <v>2128</v>
      </c>
      <c r="G27" s="133">
        <v>8.6999999999999993</v>
      </c>
      <c r="H27" s="133"/>
      <c r="I27" s="133">
        <f>10-J27/500</f>
        <v>8.6999999999999993</v>
      </c>
      <c r="J27" s="133">
        <v>650</v>
      </c>
      <c r="K27" s="211">
        <f t="shared" si="0"/>
        <v>4564.0199999999995</v>
      </c>
      <c r="L27" s="211">
        <f t="shared" si="1"/>
        <v>4564.0199999999995</v>
      </c>
      <c r="M27" s="211">
        <v>524.6</v>
      </c>
      <c r="N27" s="211">
        <f>+M27*1000/(25.4*20*15*60)*T27</f>
        <v>3.4422572178477688</v>
      </c>
      <c r="O27" s="211">
        <v>0.5</v>
      </c>
      <c r="P27" s="211">
        <f t="shared" si="2"/>
        <v>30.947637795275586</v>
      </c>
      <c r="Q27" s="211">
        <v>12</v>
      </c>
      <c r="R27" s="19">
        <f t="shared" si="3"/>
        <v>24</v>
      </c>
      <c r="S27" s="211">
        <f t="shared" si="4"/>
        <v>-6.9476377952755861</v>
      </c>
      <c r="T27" s="20">
        <v>3</v>
      </c>
      <c r="U27" s="20">
        <v>2</v>
      </c>
      <c r="V27" s="216">
        <f t="array" ref="V27">IF(ISERROR(L27/K27),"",L27/K27)</f>
        <v>1</v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209">
        <v>300016</v>
      </c>
      <c r="B28" s="206" t="s">
        <v>43</v>
      </c>
      <c r="C28" s="219" t="s">
        <v>51</v>
      </c>
      <c r="D28" s="219"/>
      <c r="E28" s="213" t="s">
        <v>38</v>
      </c>
      <c r="F28" s="212"/>
      <c r="G28" s="133"/>
      <c r="H28" s="133"/>
      <c r="I28" s="133"/>
      <c r="J28" s="133"/>
      <c r="K28" s="211">
        <f t="shared" si="0"/>
        <v>0</v>
      </c>
      <c r="L28" s="211">
        <f t="shared" si="1"/>
        <v>0</v>
      </c>
      <c r="M28" s="211">
        <v>524.6</v>
      </c>
      <c r="N28" s="211">
        <f>+M28*1000/(25.4*20*15*60)*T28</f>
        <v>3.4422572178477688</v>
      </c>
      <c r="O28" s="211"/>
      <c r="P28" s="211">
        <f t="shared" si="2"/>
        <v>0</v>
      </c>
      <c r="Q28" s="211"/>
      <c r="R28" s="19">
        <f t="shared" si="3"/>
        <v>0</v>
      </c>
      <c r="S28" s="211">
        <f t="shared" si="4"/>
        <v>0</v>
      </c>
      <c r="T28" s="20">
        <v>3</v>
      </c>
      <c r="U28" s="20"/>
      <c r="V28" s="216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customHeight="1">
      <c r="A29" s="209">
        <v>3000435</v>
      </c>
      <c r="B29" s="206" t="s">
        <v>324</v>
      </c>
      <c r="C29" s="219" t="s">
        <v>51</v>
      </c>
      <c r="D29" s="219"/>
      <c r="E29" s="213" t="s">
        <v>301</v>
      </c>
      <c r="F29" s="212">
        <v>2127</v>
      </c>
      <c r="G29" s="133">
        <v>7</v>
      </c>
      <c r="H29" s="133">
        <v>2</v>
      </c>
      <c r="I29" s="133">
        <f>5+H29</f>
        <v>7</v>
      </c>
      <c r="J29" s="133"/>
      <c r="K29" s="211">
        <f t="shared" si="0"/>
        <v>3672.2000000000003</v>
      </c>
      <c r="L29" s="211">
        <f t="shared" si="1"/>
        <v>3672.2000000000003</v>
      </c>
      <c r="M29" s="211">
        <v>524.6</v>
      </c>
      <c r="N29" s="211">
        <f>+M29*1000/(25.4*20*15*60)*T29</f>
        <v>3.4422572178477688</v>
      </c>
      <c r="O29" s="211"/>
      <c r="P29" s="211">
        <f t="shared" si="2"/>
        <v>24.095800524934383</v>
      </c>
      <c r="Q29" s="211">
        <v>10</v>
      </c>
      <c r="R29" s="19">
        <f t="shared" si="3"/>
        <v>20</v>
      </c>
      <c r="S29" s="211">
        <f t="shared" si="4"/>
        <v>-4.0958005249343827</v>
      </c>
      <c r="T29" s="20">
        <v>3</v>
      </c>
      <c r="U29" s="20">
        <v>2</v>
      </c>
      <c r="V29" s="216">
        <f t="array" ref="V29">IF(ISERROR(L29/K29),"",L29/K29)</f>
        <v>1</v>
      </c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09">
        <v>300276</v>
      </c>
      <c r="B30" s="206" t="s">
        <v>43</v>
      </c>
      <c r="C30" s="219" t="s">
        <v>53</v>
      </c>
      <c r="D30" s="219"/>
      <c r="E30" s="213" t="s">
        <v>41</v>
      </c>
      <c r="F30" s="212"/>
      <c r="G30" s="133"/>
      <c r="H30" s="133"/>
      <c r="I30" s="133"/>
      <c r="J30" s="133"/>
      <c r="K30" s="211">
        <f t="shared" si="0"/>
        <v>0</v>
      </c>
      <c r="L30" s="211">
        <f t="shared" si="1"/>
        <v>0</v>
      </c>
      <c r="M30" s="211">
        <v>266</v>
      </c>
      <c r="N30" s="211">
        <f>+M30*1000/(29.8*10*13*60)*T30</f>
        <v>3.4331440371708828</v>
      </c>
      <c r="O30" s="211"/>
      <c r="P30" s="211">
        <f t="shared" si="2"/>
        <v>0</v>
      </c>
      <c r="Q30" s="211"/>
      <c r="R30" s="19">
        <f t="shared" si="3"/>
        <v>0</v>
      </c>
      <c r="S30" s="211">
        <f t="shared" si="4"/>
        <v>0</v>
      </c>
      <c r="T30" s="20">
        <v>3</v>
      </c>
      <c r="U30" s="20"/>
      <c r="V30" s="216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09">
        <v>300277</v>
      </c>
      <c r="B31" s="206" t="s">
        <v>43</v>
      </c>
      <c r="C31" s="219" t="s">
        <v>53</v>
      </c>
      <c r="D31" s="219"/>
      <c r="E31" s="213" t="s">
        <v>39</v>
      </c>
      <c r="F31" s="212"/>
      <c r="G31" s="133"/>
      <c r="H31" s="133"/>
      <c r="I31" s="133"/>
      <c r="J31" s="133"/>
      <c r="K31" s="211">
        <f t="shared" si="0"/>
        <v>0</v>
      </c>
      <c r="L31" s="211">
        <f t="shared" si="1"/>
        <v>0</v>
      </c>
      <c r="M31" s="211">
        <v>266</v>
      </c>
      <c r="N31" s="211">
        <f>+M31*1000/(29.8*10*13*60)*T31</f>
        <v>3.4331440371708828</v>
      </c>
      <c r="O31" s="211"/>
      <c r="P31" s="211">
        <f t="shared" si="2"/>
        <v>0</v>
      </c>
      <c r="Q31" s="211"/>
      <c r="R31" s="19">
        <f t="shared" si="3"/>
        <v>0</v>
      </c>
      <c r="S31" s="211">
        <f t="shared" si="4"/>
        <v>0</v>
      </c>
      <c r="T31" s="20">
        <v>3</v>
      </c>
      <c r="U31" s="20"/>
      <c r="V31" s="216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09">
        <v>300278</v>
      </c>
      <c r="B32" s="206" t="s">
        <v>43</v>
      </c>
      <c r="C32" s="219" t="s">
        <v>53</v>
      </c>
      <c r="D32" s="219"/>
      <c r="E32" s="213" t="s">
        <v>54</v>
      </c>
      <c r="F32" s="212"/>
      <c r="G32" s="133"/>
      <c r="H32" s="133"/>
      <c r="I32" s="133"/>
      <c r="J32" s="133"/>
      <c r="K32" s="211">
        <f t="shared" si="0"/>
        <v>0</v>
      </c>
      <c r="L32" s="211">
        <f t="shared" si="1"/>
        <v>0</v>
      </c>
      <c r="M32" s="211">
        <v>266</v>
      </c>
      <c r="N32" s="211">
        <f>+M32*1000/(29.8*10*13*60)*T32</f>
        <v>3.4331440371708828</v>
      </c>
      <c r="O32" s="211"/>
      <c r="P32" s="211">
        <f t="shared" si="2"/>
        <v>0</v>
      </c>
      <c r="Q32" s="211"/>
      <c r="R32" s="19">
        <f t="shared" si="3"/>
        <v>0</v>
      </c>
      <c r="S32" s="211">
        <f t="shared" si="4"/>
        <v>0</v>
      </c>
      <c r="T32" s="20">
        <v>3</v>
      </c>
      <c r="U32" s="20"/>
      <c r="V32" s="216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09">
        <v>300027</v>
      </c>
      <c r="B33" s="206" t="s">
        <v>55</v>
      </c>
      <c r="C33" s="219" t="s">
        <v>56</v>
      </c>
      <c r="D33" s="219"/>
      <c r="E33" s="213" t="s">
        <v>54</v>
      </c>
      <c r="F33" s="212"/>
      <c r="G33" s="133"/>
      <c r="H33" s="133"/>
      <c r="I33" s="133"/>
      <c r="J33" s="133"/>
      <c r="K33" s="211">
        <f t="shared" si="0"/>
        <v>0</v>
      </c>
      <c r="L33" s="211">
        <f t="shared" si="1"/>
        <v>0</v>
      </c>
      <c r="M33" s="211">
        <v>550.4</v>
      </c>
      <c r="N33" s="211">
        <f>+M33*1000/(31*20*15*60)*T33</f>
        <v>2.9591397849462364</v>
      </c>
      <c r="O33" s="211"/>
      <c r="P33" s="211">
        <f t="shared" si="2"/>
        <v>0</v>
      </c>
      <c r="Q33" s="211"/>
      <c r="R33" s="19">
        <f t="shared" si="3"/>
        <v>0</v>
      </c>
      <c r="S33" s="211">
        <f t="shared" si="4"/>
        <v>0</v>
      </c>
      <c r="T33" s="20">
        <v>3</v>
      </c>
      <c r="U33" s="20"/>
      <c r="V33" s="216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09">
        <v>300028</v>
      </c>
      <c r="B34" s="206" t="s">
        <v>55</v>
      </c>
      <c r="C34" s="219" t="s">
        <v>56</v>
      </c>
      <c r="D34" s="219"/>
      <c r="E34" s="213" t="s">
        <v>35</v>
      </c>
      <c r="F34" s="212"/>
      <c r="G34" s="133"/>
      <c r="H34" s="133"/>
      <c r="I34" s="133"/>
      <c r="J34" s="133"/>
      <c r="K34" s="211">
        <f t="shared" si="0"/>
        <v>0</v>
      </c>
      <c r="L34" s="211">
        <f t="shared" si="1"/>
        <v>0</v>
      </c>
      <c r="M34" s="211">
        <v>550.4</v>
      </c>
      <c r="N34" s="211">
        <f>+M34*1000/(31*20*15*60)*T34</f>
        <v>2.9591397849462364</v>
      </c>
      <c r="O34" s="211"/>
      <c r="P34" s="211">
        <f t="shared" si="2"/>
        <v>0</v>
      </c>
      <c r="Q34" s="211"/>
      <c r="R34" s="19">
        <f t="shared" si="3"/>
        <v>0</v>
      </c>
      <c r="S34" s="211">
        <f t="shared" si="4"/>
        <v>0</v>
      </c>
      <c r="T34" s="20">
        <v>3</v>
      </c>
      <c r="U34" s="20"/>
      <c r="V34" s="216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09">
        <v>300029</v>
      </c>
      <c r="B35" s="206" t="s">
        <v>55</v>
      </c>
      <c r="C35" s="219" t="s">
        <v>56</v>
      </c>
      <c r="D35" s="219"/>
      <c r="E35" s="213" t="s">
        <v>57</v>
      </c>
      <c r="F35" s="212"/>
      <c r="G35" s="133"/>
      <c r="H35" s="133"/>
      <c r="I35" s="133"/>
      <c r="J35" s="133"/>
      <c r="K35" s="211">
        <f t="shared" si="0"/>
        <v>0</v>
      </c>
      <c r="L35" s="211">
        <f t="shared" si="1"/>
        <v>0</v>
      </c>
      <c r="M35" s="211">
        <v>550.4</v>
      </c>
      <c r="N35" s="211">
        <f>+M35*1000/(31*20*15*60)*T35</f>
        <v>2.9591397849462364</v>
      </c>
      <c r="O35" s="211"/>
      <c r="P35" s="211">
        <f t="shared" si="2"/>
        <v>0</v>
      </c>
      <c r="Q35" s="211"/>
      <c r="R35" s="19">
        <f t="shared" si="3"/>
        <v>0</v>
      </c>
      <c r="S35" s="211">
        <f t="shared" si="4"/>
        <v>0</v>
      </c>
      <c r="T35" s="20">
        <v>3</v>
      </c>
      <c r="U35" s="20"/>
      <c r="V35" s="216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09">
        <v>300026</v>
      </c>
      <c r="B36" s="206" t="s">
        <v>55</v>
      </c>
      <c r="C36" s="219" t="s">
        <v>56</v>
      </c>
      <c r="D36" s="219"/>
      <c r="E36" s="213" t="s">
        <v>37</v>
      </c>
      <c r="F36" s="212"/>
      <c r="G36" s="133"/>
      <c r="H36" s="133"/>
      <c r="I36" s="133"/>
      <c r="J36" s="133"/>
      <c r="K36" s="211">
        <f t="shared" si="0"/>
        <v>0</v>
      </c>
      <c r="L36" s="211">
        <f t="shared" si="1"/>
        <v>0</v>
      </c>
      <c r="M36" s="211">
        <v>550.4</v>
      </c>
      <c r="N36" s="211">
        <f>+M36*1000/(31*20*15*60)*T36</f>
        <v>2.9591397849462364</v>
      </c>
      <c r="O36" s="211"/>
      <c r="P36" s="211">
        <f t="shared" si="2"/>
        <v>0</v>
      </c>
      <c r="Q36" s="211"/>
      <c r="R36" s="19">
        <f t="shared" si="3"/>
        <v>0</v>
      </c>
      <c r="S36" s="211">
        <f t="shared" si="4"/>
        <v>0</v>
      </c>
      <c r="T36" s="20">
        <v>3</v>
      </c>
      <c r="U36" s="20"/>
      <c r="V36" s="216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09">
        <v>300032</v>
      </c>
      <c r="B37" s="206">
        <v>3002</v>
      </c>
      <c r="C37" s="219" t="s">
        <v>58</v>
      </c>
      <c r="D37" s="219" t="s">
        <v>59</v>
      </c>
      <c r="E37" s="213" t="s">
        <v>35</v>
      </c>
      <c r="F37" s="212"/>
      <c r="G37" s="133"/>
      <c r="H37" s="133"/>
      <c r="I37" s="133"/>
      <c r="J37" s="133"/>
      <c r="K37" s="211">
        <f t="shared" si="0"/>
        <v>0</v>
      </c>
      <c r="L37" s="211">
        <f t="shared" si="1"/>
        <v>0</v>
      </c>
      <c r="M37" s="211">
        <v>285.7</v>
      </c>
      <c r="N37" s="211">
        <f>+M37*1000/(31*10*13*60)*T37</f>
        <v>7.0893300248138953</v>
      </c>
      <c r="O37" s="211"/>
      <c r="P37" s="211">
        <f t="shared" si="2"/>
        <v>0</v>
      </c>
      <c r="Q37" s="211"/>
      <c r="R37" s="19">
        <f t="shared" si="3"/>
        <v>0</v>
      </c>
      <c r="S37" s="211">
        <f t="shared" si="4"/>
        <v>0</v>
      </c>
      <c r="T37" s="20">
        <v>6</v>
      </c>
      <c r="U37" s="20"/>
      <c r="V37" s="216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09">
        <v>300413</v>
      </c>
      <c r="B38" s="206">
        <v>3002</v>
      </c>
      <c r="C38" s="230" t="s">
        <v>296</v>
      </c>
      <c r="D38" s="231"/>
      <c r="E38" s="213" t="s">
        <v>294</v>
      </c>
      <c r="F38" s="212"/>
      <c r="G38" s="133"/>
      <c r="H38" s="133"/>
      <c r="I38" s="133"/>
      <c r="J38" s="133"/>
      <c r="K38" s="211">
        <f t="shared" si="0"/>
        <v>0</v>
      </c>
      <c r="L38" s="211">
        <f t="shared" si="1"/>
        <v>0</v>
      </c>
      <c r="M38" s="211">
        <v>528.79999999999995</v>
      </c>
      <c r="N38" s="211">
        <f>+M38*1000/(31*10*13*60)*T38</f>
        <v>6.5607940446650126</v>
      </c>
      <c r="O38" s="211"/>
      <c r="P38" s="211">
        <f t="shared" si="2"/>
        <v>0</v>
      </c>
      <c r="Q38" s="211"/>
      <c r="R38" s="19">
        <f t="shared" si="3"/>
        <v>0</v>
      </c>
      <c r="S38" s="211">
        <f t="shared" si="4"/>
        <v>0</v>
      </c>
      <c r="T38" s="20">
        <v>3</v>
      </c>
      <c r="U38" s="20"/>
      <c r="V38" s="216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09">
        <v>300414</v>
      </c>
      <c r="B39" s="206">
        <v>3002</v>
      </c>
      <c r="C39" s="230" t="s">
        <v>296</v>
      </c>
      <c r="D39" s="231"/>
      <c r="E39" s="213" t="s">
        <v>303</v>
      </c>
      <c r="F39" s="212"/>
      <c r="G39" s="133"/>
      <c r="H39" s="133"/>
      <c r="I39" s="133"/>
      <c r="J39" s="133"/>
      <c r="K39" s="211">
        <f t="shared" si="0"/>
        <v>0</v>
      </c>
      <c r="L39" s="211">
        <f t="shared" si="1"/>
        <v>0</v>
      </c>
      <c r="M39" s="211">
        <v>528.79999999999995</v>
      </c>
      <c r="N39" s="211">
        <f>+M39*1000/(31*10*13*60)*T39</f>
        <v>6.5607940446650126</v>
      </c>
      <c r="O39" s="211"/>
      <c r="P39" s="211">
        <f t="shared" si="2"/>
        <v>0</v>
      </c>
      <c r="Q39" s="211"/>
      <c r="R39" s="19">
        <f t="shared" si="3"/>
        <v>0</v>
      </c>
      <c r="S39" s="211">
        <f t="shared" si="4"/>
        <v>0</v>
      </c>
      <c r="T39" s="20">
        <v>3</v>
      </c>
      <c r="U39" s="20"/>
      <c r="V39" s="216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09">
        <v>300415</v>
      </c>
      <c r="B40" s="206">
        <v>3002</v>
      </c>
      <c r="C40" s="230" t="s">
        <v>296</v>
      </c>
      <c r="D40" s="231"/>
      <c r="E40" s="213" t="s">
        <v>295</v>
      </c>
      <c r="F40" s="212"/>
      <c r="G40" s="133"/>
      <c r="H40" s="133"/>
      <c r="I40" s="133"/>
      <c r="J40" s="133"/>
      <c r="K40" s="211">
        <f t="shared" si="0"/>
        <v>0</v>
      </c>
      <c r="L40" s="211">
        <f t="shared" si="1"/>
        <v>0</v>
      </c>
      <c r="M40" s="211">
        <v>528.79999999999995</v>
      </c>
      <c r="N40" s="211">
        <f>+M40*1000/(31*10*13*60)*T40</f>
        <v>6.5607940446650126</v>
      </c>
      <c r="O40" s="211"/>
      <c r="P40" s="211">
        <f t="shared" si="2"/>
        <v>0</v>
      </c>
      <c r="Q40" s="211"/>
      <c r="R40" s="19">
        <f t="shared" si="3"/>
        <v>0</v>
      </c>
      <c r="S40" s="211">
        <f t="shared" si="4"/>
        <v>0</v>
      </c>
      <c r="T40" s="20">
        <v>3</v>
      </c>
      <c r="U40" s="20"/>
      <c r="V40" s="216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09">
        <v>300035</v>
      </c>
      <c r="B41" s="206" t="s">
        <v>60</v>
      </c>
      <c r="C41" s="219" t="s">
        <v>61</v>
      </c>
      <c r="D41" s="219" t="s">
        <v>62</v>
      </c>
      <c r="E41" s="213" t="s">
        <v>35</v>
      </c>
      <c r="F41" s="212"/>
      <c r="G41" s="133"/>
      <c r="H41" s="133"/>
      <c r="I41" s="133"/>
      <c r="J41" s="133"/>
      <c r="K41" s="211">
        <f t="shared" si="0"/>
        <v>0</v>
      </c>
      <c r="L41" s="211">
        <f t="shared" si="1"/>
        <v>0</v>
      </c>
      <c r="M41" s="211">
        <v>366.93</v>
      </c>
      <c r="N41" s="211">
        <f>+M41*1000/(35.8*10*13*60)*T41</f>
        <v>2.6280618822518265</v>
      </c>
      <c r="O41" s="211"/>
      <c r="P41" s="211">
        <f t="shared" si="2"/>
        <v>0</v>
      </c>
      <c r="Q41" s="211"/>
      <c r="R41" s="19">
        <f t="shared" si="3"/>
        <v>0</v>
      </c>
      <c r="S41" s="211">
        <f t="shared" si="4"/>
        <v>0</v>
      </c>
      <c r="T41" s="20">
        <v>2</v>
      </c>
      <c r="U41" s="20"/>
      <c r="V41" s="216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09">
        <v>300036</v>
      </c>
      <c r="B42" s="206" t="s">
        <v>60</v>
      </c>
      <c r="C42" s="219" t="s">
        <v>61</v>
      </c>
      <c r="D42" s="219" t="s">
        <v>62</v>
      </c>
      <c r="E42" s="213" t="s">
        <v>63</v>
      </c>
      <c r="F42" s="212"/>
      <c r="G42" s="133"/>
      <c r="H42" s="133"/>
      <c r="I42" s="133"/>
      <c r="J42" s="133"/>
      <c r="K42" s="211">
        <f t="shared" si="0"/>
        <v>0</v>
      </c>
      <c r="L42" s="211">
        <f t="shared" si="1"/>
        <v>0</v>
      </c>
      <c r="M42" s="211">
        <v>366.93</v>
      </c>
      <c r="N42" s="211">
        <f>+M42*1000/(35.8*10*13*60)*T42</f>
        <v>2.6280618822518265</v>
      </c>
      <c r="O42" s="211"/>
      <c r="P42" s="211">
        <f t="shared" si="2"/>
        <v>0</v>
      </c>
      <c r="Q42" s="211"/>
      <c r="R42" s="19">
        <f t="shared" si="3"/>
        <v>0</v>
      </c>
      <c r="S42" s="211">
        <f t="shared" si="4"/>
        <v>0</v>
      </c>
      <c r="T42" s="20">
        <v>2</v>
      </c>
      <c r="U42" s="20"/>
      <c r="V42" s="216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09">
        <v>300037</v>
      </c>
      <c r="B43" s="206" t="s">
        <v>60</v>
      </c>
      <c r="C43" s="219" t="s">
        <v>61</v>
      </c>
      <c r="D43" s="219" t="s">
        <v>62</v>
      </c>
      <c r="E43" s="213" t="s">
        <v>37</v>
      </c>
      <c r="F43" s="212"/>
      <c r="G43" s="133"/>
      <c r="H43" s="133"/>
      <c r="I43" s="133"/>
      <c r="J43" s="133"/>
      <c r="K43" s="211">
        <f t="shared" si="0"/>
        <v>0</v>
      </c>
      <c r="L43" s="211">
        <f t="shared" si="1"/>
        <v>0</v>
      </c>
      <c r="M43" s="211">
        <v>366.93</v>
      </c>
      <c r="N43" s="211">
        <f>+M43*1000/(35.8*10*13*60)*T43</f>
        <v>2.6280618822518265</v>
      </c>
      <c r="O43" s="211"/>
      <c r="P43" s="211">
        <f t="shared" si="2"/>
        <v>0</v>
      </c>
      <c r="Q43" s="211"/>
      <c r="R43" s="19">
        <f t="shared" si="3"/>
        <v>0</v>
      </c>
      <c r="S43" s="211">
        <f t="shared" si="4"/>
        <v>0</v>
      </c>
      <c r="T43" s="20">
        <v>2</v>
      </c>
      <c r="U43" s="20"/>
      <c r="V43" s="216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09">
        <v>300038</v>
      </c>
      <c r="B44" s="206" t="s">
        <v>60</v>
      </c>
      <c r="C44" s="219" t="s">
        <v>64</v>
      </c>
      <c r="D44" s="219" t="s">
        <v>65</v>
      </c>
      <c r="E44" s="213" t="s">
        <v>35</v>
      </c>
      <c r="F44" s="212"/>
      <c r="G44" s="133"/>
      <c r="H44" s="133"/>
      <c r="I44" s="133"/>
      <c r="J44" s="133"/>
      <c r="K44" s="211">
        <f t="shared" si="0"/>
        <v>0</v>
      </c>
      <c r="L44" s="211">
        <f t="shared" si="1"/>
        <v>0</v>
      </c>
      <c r="M44" s="211">
        <v>301.14</v>
      </c>
      <c r="N44" s="211">
        <f>+M44*1000/(35.8*10*13*60)*T44</f>
        <v>5.3921357971637294</v>
      </c>
      <c r="O44" s="211"/>
      <c r="P44" s="211">
        <f t="shared" si="2"/>
        <v>0</v>
      </c>
      <c r="Q44" s="211"/>
      <c r="R44" s="19">
        <f t="shared" si="3"/>
        <v>0</v>
      </c>
      <c r="S44" s="211">
        <f t="shared" si="4"/>
        <v>0</v>
      </c>
      <c r="T44" s="20">
        <v>5</v>
      </c>
      <c r="U44" s="20"/>
      <c r="V44" s="216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09">
        <v>300039</v>
      </c>
      <c r="B45" s="206" t="s">
        <v>60</v>
      </c>
      <c r="C45" s="219" t="s">
        <v>64</v>
      </c>
      <c r="D45" s="219" t="s">
        <v>65</v>
      </c>
      <c r="E45" s="213" t="s">
        <v>66</v>
      </c>
      <c r="F45" s="212"/>
      <c r="G45" s="133"/>
      <c r="H45" s="133"/>
      <c r="I45" s="133"/>
      <c r="J45" s="133"/>
      <c r="K45" s="211">
        <f t="shared" si="0"/>
        <v>0</v>
      </c>
      <c r="L45" s="211">
        <f t="shared" si="1"/>
        <v>0</v>
      </c>
      <c r="M45" s="211">
        <v>310.39999999999998</v>
      </c>
      <c r="N45" s="211">
        <f>+M45*1000/(35.8*10*13*60)*T45</f>
        <v>5.557942988110586</v>
      </c>
      <c r="O45" s="211"/>
      <c r="P45" s="211">
        <f t="shared" si="2"/>
        <v>0</v>
      </c>
      <c r="Q45" s="211"/>
      <c r="R45" s="19">
        <f t="shared" si="3"/>
        <v>0</v>
      </c>
      <c r="S45" s="211">
        <f t="shared" si="4"/>
        <v>0</v>
      </c>
      <c r="T45" s="20">
        <v>5</v>
      </c>
      <c r="U45" s="20"/>
      <c r="V45" s="216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09">
        <v>300416</v>
      </c>
      <c r="B46" s="206" t="s">
        <v>67</v>
      </c>
      <c r="C46" s="230" t="s">
        <v>68</v>
      </c>
      <c r="D46" s="231"/>
      <c r="E46" s="213" t="s">
        <v>69</v>
      </c>
      <c r="F46" s="212"/>
      <c r="G46" s="133"/>
      <c r="H46" s="133"/>
      <c r="I46" s="133"/>
      <c r="J46" s="133"/>
      <c r="K46" s="211">
        <f t="shared" si="0"/>
        <v>0</v>
      </c>
      <c r="L46" s="211">
        <f t="shared" si="1"/>
        <v>0</v>
      </c>
      <c r="M46" s="211">
        <v>385.6</v>
      </c>
      <c r="N46" s="211">
        <f>+M46*1000/(25.4*20*15*60)*T46</f>
        <v>2.5301837270341205</v>
      </c>
      <c r="O46" s="211"/>
      <c r="P46" s="211">
        <f t="shared" si="2"/>
        <v>0</v>
      </c>
      <c r="Q46" s="211"/>
      <c r="R46" s="19">
        <f t="shared" si="3"/>
        <v>0</v>
      </c>
      <c r="S46" s="211">
        <f t="shared" si="4"/>
        <v>0</v>
      </c>
      <c r="T46" s="20">
        <v>3</v>
      </c>
      <c r="U46" s="20"/>
      <c r="V46" s="216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209">
        <v>300417</v>
      </c>
      <c r="B47" s="206">
        <v>4503</v>
      </c>
      <c r="C47" s="230" t="s">
        <v>68</v>
      </c>
      <c r="D47" s="231"/>
      <c r="E47" s="213" t="s">
        <v>70</v>
      </c>
      <c r="F47" s="212">
        <v>2140</v>
      </c>
      <c r="G47" s="133">
        <v>2</v>
      </c>
      <c r="H47" s="133"/>
      <c r="I47" s="133">
        <v>2</v>
      </c>
      <c r="J47" s="133"/>
      <c r="K47" s="211">
        <f t="shared" si="0"/>
        <v>771.2</v>
      </c>
      <c r="L47" s="211">
        <f t="shared" si="1"/>
        <v>771.2</v>
      </c>
      <c r="M47" s="211">
        <v>385.6</v>
      </c>
      <c r="N47" s="211">
        <f>+M47*1000/(25.4*20*15*60)*T47</f>
        <v>2.5301837270341205</v>
      </c>
      <c r="O47" s="211">
        <v>0.5</v>
      </c>
      <c r="P47" s="211">
        <f t="shared" si="2"/>
        <v>6.0603674540682411</v>
      </c>
      <c r="Q47" s="211">
        <v>1.5</v>
      </c>
      <c r="R47" s="19">
        <f t="shared" si="3"/>
        <v>3</v>
      </c>
      <c r="S47" s="211">
        <f t="shared" si="4"/>
        <v>-3.0603674540682411</v>
      </c>
      <c r="T47" s="20">
        <v>3</v>
      </c>
      <c r="U47" s="20">
        <v>2</v>
      </c>
      <c r="V47" s="216">
        <f t="array" ref="V47">IF(ISERROR(L47/K47),"",L47/K47)</f>
        <v>1</v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09">
        <v>300418</v>
      </c>
      <c r="B48" s="206" t="s">
        <v>67</v>
      </c>
      <c r="C48" s="230" t="s">
        <v>68</v>
      </c>
      <c r="D48" s="231"/>
      <c r="E48" s="213" t="s">
        <v>71</v>
      </c>
      <c r="F48" s="212"/>
      <c r="G48" s="133"/>
      <c r="H48" s="133"/>
      <c r="I48" s="133"/>
      <c r="J48" s="133"/>
      <c r="K48" s="211">
        <f t="shared" si="0"/>
        <v>0</v>
      </c>
      <c r="L48" s="211">
        <f t="shared" si="1"/>
        <v>0</v>
      </c>
      <c r="M48" s="211">
        <v>385.6</v>
      </c>
      <c r="N48" s="211">
        <f>+M48*1000/(25.4*20*15*60)*T48</f>
        <v>2.5301837270341205</v>
      </c>
      <c r="O48" s="211"/>
      <c r="P48" s="211">
        <f t="shared" si="2"/>
        <v>0</v>
      </c>
      <c r="Q48" s="211"/>
      <c r="R48" s="19">
        <f t="shared" si="3"/>
        <v>0</v>
      </c>
      <c r="S48" s="211">
        <f t="shared" si="4"/>
        <v>0</v>
      </c>
      <c r="T48" s="20">
        <v>3</v>
      </c>
      <c r="U48" s="20"/>
      <c r="V48" s="216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209">
        <v>300419</v>
      </c>
      <c r="B49" s="206">
        <v>4503</v>
      </c>
      <c r="C49" s="230" t="s">
        <v>68</v>
      </c>
      <c r="D49" s="231"/>
      <c r="E49" s="213" t="s">
        <v>72</v>
      </c>
      <c r="F49" s="212">
        <v>2139</v>
      </c>
      <c r="G49" s="133">
        <v>7.29</v>
      </c>
      <c r="H49" s="133">
        <v>0.2857142857142857</v>
      </c>
      <c r="I49" s="133">
        <f>7+H49</f>
        <v>7.2857142857142856</v>
      </c>
      <c r="J49" s="133"/>
      <c r="K49" s="211">
        <f t="shared" si="0"/>
        <v>2811.0240000000003</v>
      </c>
      <c r="L49" s="211">
        <f t="shared" si="1"/>
        <v>2809.3714285714286</v>
      </c>
      <c r="M49" s="211">
        <v>385.6</v>
      </c>
      <c r="N49" s="211">
        <f>+M49*1000/(25.4*20*15*60)*T49</f>
        <v>2.5301837270341205</v>
      </c>
      <c r="O49" s="211"/>
      <c r="P49" s="211">
        <f t="shared" si="2"/>
        <v>18.434195725534305</v>
      </c>
      <c r="Q49" s="211">
        <v>9.5</v>
      </c>
      <c r="R49" s="19">
        <f t="shared" si="3"/>
        <v>19</v>
      </c>
      <c r="S49" s="211">
        <f t="shared" si="4"/>
        <v>0.56580427446569459</v>
      </c>
      <c r="T49" s="20">
        <v>3</v>
      </c>
      <c r="U49" s="20">
        <v>2</v>
      </c>
      <c r="V49" s="216">
        <f t="array" ref="V49">IF(ISERROR(L49/K49),"",L49/K49)</f>
        <v>0.99941211052322154</v>
      </c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09">
        <v>300260</v>
      </c>
      <c r="B50" s="206" t="s">
        <v>67</v>
      </c>
      <c r="C50" s="219" t="s">
        <v>73</v>
      </c>
      <c r="D50" s="219"/>
      <c r="E50" s="213" t="s">
        <v>74</v>
      </c>
      <c r="F50" s="212"/>
      <c r="G50" s="133"/>
      <c r="H50" s="133"/>
      <c r="I50" s="133"/>
      <c r="J50" s="133"/>
      <c r="K50" s="211">
        <f t="shared" si="0"/>
        <v>0</v>
      </c>
      <c r="L50" s="211">
        <f t="shared" si="1"/>
        <v>0</v>
      </c>
      <c r="M50" s="211">
        <v>434.33</v>
      </c>
      <c r="N50" s="211">
        <f>+M50*1000/(42.7*10*15*60)*T50</f>
        <v>2.2603695029924538</v>
      </c>
      <c r="O50" s="211"/>
      <c r="P50" s="211">
        <f t="shared" si="2"/>
        <v>0</v>
      </c>
      <c r="Q50" s="211"/>
      <c r="R50" s="19">
        <f t="shared" si="3"/>
        <v>0</v>
      </c>
      <c r="S50" s="211">
        <f t="shared" si="4"/>
        <v>0</v>
      </c>
      <c r="T50" s="20">
        <v>2</v>
      </c>
      <c r="U50" s="20"/>
      <c r="V50" s="216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09">
        <v>300261</v>
      </c>
      <c r="B51" s="206" t="s">
        <v>67</v>
      </c>
      <c r="C51" s="219" t="s">
        <v>73</v>
      </c>
      <c r="D51" s="219"/>
      <c r="E51" s="213" t="s">
        <v>41</v>
      </c>
      <c r="F51" s="212"/>
      <c r="G51" s="133"/>
      <c r="H51" s="133"/>
      <c r="I51" s="133"/>
      <c r="J51" s="133"/>
      <c r="K51" s="211">
        <f t="shared" si="0"/>
        <v>0</v>
      </c>
      <c r="L51" s="211">
        <f t="shared" si="1"/>
        <v>0</v>
      </c>
      <c r="M51" s="211">
        <v>434.33</v>
      </c>
      <c r="N51" s="211">
        <f>+M51*1000/(42.7*10*15*60)*T51</f>
        <v>2.2603695029924538</v>
      </c>
      <c r="O51" s="211"/>
      <c r="P51" s="211">
        <f t="shared" si="2"/>
        <v>0</v>
      </c>
      <c r="Q51" s="211"/>
      <c r="R51" s="19">
        <f t="shared" si="3"/>
        <v>0</v>
      </c>
      <c r="S51" s="211">
        <f t="shared" si="4"/>
        <v>0</v>
      </c>
      <c r="T51" s="20">
        <v>2</v>
      </c>
      <c r="U51" s="20"/>
      <c r="V51" s="216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09">
        <v>300262</v>
      </c>
      <c r="B52" s="206" t="s">
        <v>67</v>
      </c>
      <c r="C52" s="219" t="s">
        <v>73</v>
      </c>
      <c r="D52" s="219"/>
      <c r="E52" s="213" t="s">
        <v>39</v>
      </c>
      <c r="F52" s="212"/>
      <c r="G52" s="133"/>
      <c r="H52" s="133"/>
      <c r="I52" s="133"/>
      <c r="J52" s="133"/>
      <c r="K52" s="211">
        <f t="shared" si="0"/>
        <v>0</v>
      </c>
      <c r="L52" s="211">
        <f t="shared" si="1"/>
        <v>0</v>
      </c>
      <c r="M52" s="211">
        <v>434.33</v>
      </c>
      <c r="N52" s="211">
        <f>+M52*1000/(42.7*10*15*60)*T52</f>
        <v>2.2603695029924538</v>
      </c>
      <c r="O52" s="211"/>
      <c r="P52" s="211">
        <f t="shared" si="2"/>
        <v>0</v>
      </c>
      <c r="Q52" s="211"/>
      <c r="R52" s="19">
        <f t="shared" si="3"/>
        <v>0</v>
      </c>
      <c r="S52" s="211">
        <f t="shared" si="4"/>
        <v>0</v>
      </c>
      <c r="T52" s="20">
        <v>2</v>
      </c>
      <c r="U52" s="20"/>
      <c r="V52" s="216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09">
        <v>300263</v>
      </c>
      <c r="B53" s="206" t="s">
        <v>67</v>
      </c>
      <c r="C53" s="219" t="s">
        <v>73</v>
      </c>
      <c r="D53" s="219"/>
      <c r="E53" s="213" t="s">
        <v>54</v>
      </c>
      <c r="F53" s="212"/>
      <c r="G53" s="133"/>
      <c r="H53" s="133"/>
      <c r="I53" s="133"/>
      <c r="J53" s="133"/>
      <c r="K53" s="211">
        <f t="shared" si="0"/>
        <v>0</v>
      </c>
      <c r="L53" s="211">
        <f t="shared" si="1"/>
        <v>0</v>
      </c>
      <c r="M53" s="211">
        <v>434.33</v>
      </c>
      <c r="N53" s="211">
        <f>+M53*1000/(42.7*10*15*60)*T53</f>
        <v>2.2603695029924538</v>
      </c>
      <c r="O53" s="211"/>
      <c r="P53" s="211">
        <f t="shared" si="2"/>
        <v>0</v>
      </c>
      <c r="Q53" s="211"/>
      <c r="R53" s="19">
        <f t="shared" si="3"/>
        <v>0</v>
      </c>
      <c r="S53" s="211">
        <f t="shared" si="4"/>
        <v>0</v>
      </c>
      <c r="T53" s="20">
        <v>2</v>
      </c>
      <c r="U53" s="20"/>
      <c r="V53" s="216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09">
        <v>300051</v>
      </c>
      <c r="B54" s="206" t="s">
        <v>67</v>
      </c>
      <c r="C54" s="219" t="s">
        <v>75</v>
      </c>
      <c r="D54" s="219" t="s">
        <v>76</v>
      </c>
      <c r="E54" s="213" t="s">
        <v>40</v>
      </c>
      <c r="F54" s="212"/>
      <c r="G54" s="133"/>
      <c r="H54" s="133"/>
      <c r="I54" s="133"/>
      <c r="J54" s="133"/>
      <c r="K54" s="211">
        <f t="shared" si="0"/>
        <v>0</v>
      </c>
      <c r="L54" s="211">
        <f t="shared" si="1"/>
        <v>0</v>
      </c>
      <c r="M54" s="211">
        <v>545.9</v>
      </c>
      <c r="N54" s="211">
        <f>+M54*1000/(41.5*10*16*60)*T54</f>
        <v>2.7404618473895583</v>
      </c>
      <c r="O54" s="211"/>
      <c r="P54" s="211">
        <f t="shared" si="2"/>
        <v>0</v>
      </c>
      <c r="Q54" s="211"/>
      <c r="R54" s="19">
        <f t="shared" si="3"/>
        <v>0</v>
      </c>
      <c r="S54" s="211">
        <f t="shared" si="4"/>
        <v>0</v>
      </c>
      <c r="T54" s="22">
        <v>2</v>
      </c>
      <c r="U54" s="20"/>
      <c r="V54" s="216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209">
        <v>300052</v>
      </c>
      <c r="B55" s="206" t="s">
        <v>67</v>
      </c>
      <c r="C55" s="219" t="s">
        <v>75</v>
      </c>
      <c r="D55" s="219" t="s">
        <v>76</v>
      </c>
      <c r="E55" s="213" t="s">
        <v>39</v>
      </c>
      <c r="F55" s="212"/>
      <c r="G55" s="133"/>
      <c r="H55" s="133"/>
      <c r="I55" s="133"/>
      <c r="J55" s="133"/>
      <c r="K55" s="211">
        <f t="shared" si="0"/>
        <v>0</v>
      </c>
      <c r="L55" s="211">
        <f t="shared" si="1"/>
        <v>0</v>
      </c>
      <c r="M55" s="211">
        <v>545.9</v>
      </c>
      <c r="N55" s="211">
        <f>+M55*1000/(41.5*10*16*60)*T55</f>
        <v>2.7404618473895583</v>
      </c>
      <c r="O55" s="211"/>
      <c r="P55" s="211">
        <f t="shared" si="2"/>
        <v>0</v>
      </c>
      <c r="Q55" s="211"/>
      <c r="R55" s="19">
        <f t="shared" si="3"/>
        <v>0</v>
      </c>
      <c r="S55" s="211">
        <f t="shared" si="4"/>
        <v>0</v>
      </c>
      <c r="T55" s="20">
        <v>2</v>
      </c>
      <c r="U55" s="20"/>
      <c r="V55" s="216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09">
        <v>300054</v>
      </c>
      <c r="B56" s="206" t="s">
        <v>67</v>
      </c>
      <c r="C56" s="219" t="s">
        <v>75</v>
      </c>
      <c r="D56" s="219" t="s">
        <v>76</v>
      </c>
      <c r="E56" s="213" t="s">
        <v>38</v>
      </c>
      <c r="F56" s="212"/>
      <c r="G56" s="133"/>
      <c r="H56" s="133"/>
      <c r="I56" s="133"/>
      <c r="J56" s="133"/>
      <c r="K56" s="211">
        <f t="shared" si="0"/>
        <v>0</v>
      </c>
      <c r="L56" s="211">
        <f t="shared" si="1"/>
        <v>0</v>
      </c>
      <c r="M56" s="211">
        <v>545.9</v>
      </c>
      <c r="N56" s="211">
        <f>+M56*1000/(41.5*10*16*60)*T56</f>
        <v>2.7404618473895583</v>
      </c>
      <c r="O56" s="211"/>
      <c r="P56" s="211">
        <f t="shared" si="2"/>
        <v>0</v>
      </c>
      <c r="Q56" s="211"/>
      <c r="R56" s="19">
        <f t="shared" si="3"/>
        <v>0</v>
      </c>
      <c r="S56" s="211">
        <f t="shared" si="4"/>
        <v>0</v>
      </c>
      <c r="T56" s="20">
        <v>2</v>
      </c>
      <c r="U56" s="20"/>
      <c r="V56" s="216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209">
        <v>300436</v>
      </c>
      <c r="B57" s="206" t="s">
        <v>67</v>
      </c>
      <c r="C57" s="219" t="s">
        <v>75</v>
      </c>
      <c r="D57" s="219" t="s">
        <v>76</v>
      </c>
      <c r="E57" s="213" t="s">
        <v>301</v>
      </c>
      <c r="F57" s="212"/>
      <c r="G57" s="133"/>
      <c r="H57" s="133"/>
      <c r="I57" s="133"/>
      <c r="J57" s="133"/>
      <c r="K57" s="211">
        <f t="shared" si="0"/>
        <v>0</v>
      </c>
      <c r="L57" s="211">
        <f t="shared" si="1"/>
        <v>0</v>
      </c>
      <c r="M57" s="211">
        <v>545.9</v>
      </c>
      <c r="N57" s="211">
        <f>+M57*1000/(41.5*10*16*60)*T57</f>
        <v>2.7404618473895583</v>
      </c>
      <c r="O57" s="211"/>
      <c r="P57" s="211">
        <f t="shared" si="2"/>
        <v>0</v>
      </c>
      <c r="Q57" s="211"/>
      <c r="R57" s="19">
        <f t="shared" si="3"/>
        <v>0</v>
      </c>
      <c r="S57" s="211">
        <f t="shared" si="4"/>
        <v>0</v>
      </c>
      <c r="T57" s="20">
        <v>2</v>
      </c>
      <c r="U57" s="20"/>
      <c r="V57" s="216" t="str">
        <f t="array" ref="V57">IF(ISERROR(L57/K57),"",L57/K57)</f>
        <v/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09">
        <v>300050</v>
      </c>
      <c r="B58" s="206" t="s">
        <v>67</v>
      </c>
      <c r="C58" s="219" t="s">
        <v>77</v>
      </c>
      <c r="D58" s="219" t="s">
        <v>78</v>
      </c>
      <c r="E58" s="213" t="s">
        <v>79</v>
      </c>
      <c r="F58" s="212"/>
      <c r="G58" s="133"/>
      <c r="H58" s="133"/>
      <c r="I58" s="133"/>
      <c r="J58" s="133"/>
      <c r="K58" s="211">
        <f t="shared" si="0"/>
        <v>0</v>
      </c>
      <c r="L58" s="211">
        <f t="shared" si="1"/>
        <v>0</v>
      </c>
      <c r="M58" s="211">
        <v>427.5</v>
      </c>
      <c r="N58" s="211">
        <f>+M58*1000/(45*10*14*60)*T58</f>
        <v>5.6547619047619051</v>
      </c>
      <c r="O58" s="211"/>
      <c r="P58" s="211">
        <f t="shared" si="2"/>
        <v>0</v>
      </c>
      <c r="Q58" s="211"/>
      <c r="R58" s="19">
        <f t="shared" si="3"/>
        <v>0</v>
      </c>
      <c r="S58" s="211">
        <f t="shared" si="4"/>
        <v>0</v>
      </c>
      <c r="T58" s="20">
        <v>5</v>
      </c>
      <c r="U58" s="20"/>
      <c r="V58" s="216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09">
        <v>300045</v>
      </c>
      <c r="B59" s="206" t="s">
        <v>67</v>
      </c>
      <c r="C59" s="219" t="s">
        <v>77</v>
      </c>
      <c r="D59" s="219" t="s">
        <v>78</v>
      </c>
      <c r="E59" s="213" t="s">
        <v>35</v>
      </c>
      <c r="F59" s="212"/>
      <c r="G59" s="133"/>
      <c r="H59" s="133"/>
      <c r="I59" s="133"/>
      <c r="J59" s="133"/>
      <c r="K59" s="211">
        <f t="shared" si="0"/>
        <v>0</v>
      </c>
      <c r="L59" s="211">
        <f t="shared" si="1"/>
        <v>0</v>
      </c>
      <c r="M59" s="211">
        <v>406.6</v>
      </c>
      <c r="N59" s="211">
        <f>+M59*1000/(45*10*13*60)*T59</f>
        <v>5.7920227920227916</v>
      </c>
      <c r="O59" s="211"/>
      <c r="P59" s="211">
        <f t="shared" si="2"/>
        <v>0</v>
      </c>
      <c r="Q59" s="211"/>
      <c r="R59" s="19">
        <f t="shared" si="3"/>
        <v>0</v>
      </c>
      <c r="S59" s="211">
        <f t="shared" si="4"/>
        <v>0</v>
      </c>
      <c r="T59" s="20">
        <v>5</v>
      </c>
      <c r="U59" s="20"/>
      <c r="V59" s="216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09">
        <v>300422</v>
      </c>
      <c r="B60" s="206" t="s">
        <v>67</v>
      </c>
      <c r="C60" s="230" t="s">
        <v>293</v>
      </c>
      <c r="D60" s="231"/>
      <c r="E60" s="213" t="s">
        <v>54</v>
      </c>
      <c r="F60" s="212"/>
      <c r="G60" s="133"/>
      <c r="H60" s="133"/>
      <c r="I60" s="133"/>
      <c r="J60" s="133"/>
      <c r="K60" s="211">
        <f t="shared" si="0"/>
        <v>0</v>
      </c>
      <c r="L60" s="211">
        <f t="shared" si="1"/>
        <v>0</v>
      </c>
      <c r="M60" s="211">
        <v>429.8</v>
      </c>
      <c r="N60" s="211">
        <f>+M60*1000/(45*10*13*60)*T60</f>
        <v>3.6735042735042738</v>
      </c>
      <c r="O60" s="211"/>
      <c r="P60" s="211">
        <f t="shared" si="2"/>
        <v>0</v>
      </c>
      <c r="Q60" s="211"/>
      <c r="R60" s="19">
        <f t="shared" si="3"/>
        <v>0</v>
      </c>
      <c r="S60" s="211">
        <f t="shared" si="4"/>
        <v>0</v>
      </c>
      <c r="T60" s="20">
        <v>3</v>
      </c>
      <c r="U60" s="20"/>
      <c r="V60" s="216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09">
        <v>300421</v>
      </c>
      <c r="B61" s="206" t="s">
        <v>67</v>
      </c>
      <c r="C61" s="230" t="s">
        <v>293</v>
      </c>
      <c r="D61" s="231"/>
      <c r="E61" s="213" t="s">
        <v>80</v>
      </c>
      <c r="F61" s="212"/>
      <c r="G61" s="133"/>
      <c r="H61" s="133"/>
      <c r="I61" s="133"/>
      <c r="J61" s="133"/>
      <c r="K61" s="211">
        <f t="shared" si="0"/>
        <v>0</v>
      </c>
      <c r="L61" s="211">
        <f t="shared" si="1"/>
        <v>0</v>
      </c>
      <c r="M61" s="211">
        <v>429.8</v>
      </c>
      <c r="N61" s="211">
        <f>+M61*1000/(45*10*13*60)*T61</f>
        <v>3.6735042735042738</v>
      </c>
      <c r="O61" s="211"/>
      <c r="P61" s="211">
        <f t="shared" si="2"/>
        <v>0</v>
      </c>
      <c r="Q61" s="211"/>
      <c r="R61" s="19">
        <f t="shared" si="3"/>
        <v>0</v>
      </c>
      <c r="S61" s="211">
        <f t="shared" si="4"/>
        <v>0</v>
      </c>
      <c r="T61" s="20">
        <v>3</v>
      </c>
      <c r="U61" s="20"/>
      <c r="V61" s="216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09">
        <v>300149</v>
      </c>
      <c r="B62" s="206" t="s">
        <v>67</v>
      </c>
      <c r="C62" s="219" t="s">
        <v>81</v>
      </c>
      <c r="D62" s="219" t="s">
        <v>82</v>
      </c>
      <c r="E62" s="213" t="s">
        <v>80</v>
      </c>
      <c r="F62" s="212"/>
      <c r="G62" s="133"/>
      <c r="H62" s="133"/>
      <c r="I62" s="133"/>
      <c r="J62" s="133"/>
      <c r="K62" s="211">
        <f t="shared" si="0"/>
        <v>0</v>
      </c>
      <c r="L62" s="211">
        <f t="shared" si="1"/>
        <v>0</v>
      </c>
      <c r="M62" s="211">
        <v>589.1</v>
      </c>
      <c r="N62" s="211">
        <f>+M62*1000/(67.1*10*13*60)*T62</f>
        <v>3.3767052619511633</v>
      </c>
      <c r="O62" s="211"/>
      <c r="P62" s="211">
        <f t="shared" si="2"/>
        <v>0</v>
      </c>
      <c r="Q62" s="211"/>
      <c r="R62" s="19">
        <f t="shared" si="3"/>
        <v>0</v>
      </c>
      <c r="S62" s="211">
        <f t="shared" si="4"/>
        <v>0</v>
      </c>
      <c r="T62" s="20">
        <v>3</v>
      </c>
      <c r="U62" s="20"/>
      <c r="V62" s="216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09">
        <v>300150</v>
      </c>
      <c r="B63" s="206" t="s">
        <v>67</v>
      </c>
      <c r="C63" s="219" t="s">
        <v>81</v>
      </c>
      <c r="D63" s="219" t="s">
        <v>82</v>
      </c>
      <c r="E63" s="213" t="s">
        <v>54</v>
      </c>
      <c r="F63" s="212"/>
      <c r="G63" s="133"/>
      <c r="H63" s="133"/>
      <c r="I63" s="133"/>
      <c r="J63" s="133"/>
      <c r="K63" s="211">
        <f t="shared" si="0"/>
        <v>0</v>
      </c>
      <c r="L63" s="211">
        <f t="shared" si="1"/>
        <v>0</v>
      </c>
      <c r="M63" s="211">
        <v>589.1</v>
      </c>
      <c r="N63" s="211">
        <f>+M63*1000/(67.1*10*13*60)*T63</f>
        <v>3.3767052619511633</v>
      </c>
      <c r="O63" s="211"/>
      <c r="P63" s="211">
        <f t="shared" si="2"/>
        <v>0</v>
      </c>
      <c r="Q63" s="211"/>
      <c r="R63" s="19">
        <f t="shared" si="3"/>
        <v>0</v>
      </c>
      <c r="S63" s="211">
        <f t="shared" si="4"/>
        <v>0</v>
      </c>
      <c r="T63" s="20">
        <v>3</v>
      </c>
      <c r="U63" s="20"/>
      <c r="V63" s="216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09">
        <v>300330</v>
      </c>
      <c r="B64" s="206" t="s">
        <v>67</v>
      </c>
      <c r="C64" s="230" t="s">
        <v>83</v>
      </c>
      <c r="D64" s="231"/>
      <c r="E64" s="213" t="s">
        <v>84</v>
      </c>
      <c r="F64" s="212"/>
      <c r="G64" s="133"/>
      <c r="H64" s="133"/>
      <c r="I64" s="133"/>
      <c r="J64" s="133"/>
      <c r="K64" s="211">
        <f t="shared" si="0"/>
        <v>0</v>
      </c>
      <c r="L64" s="211">
        <f t="shared" si="1"/>
        <v>0</v>
      </c>
      <c r="M64" s="211">
        <v>416.3</v>
      </c>
      <c r="N64" s="211">
        <f t="shared" ref="N64:N70" si="6">+M64*1000/(45*10*18*60)*T64</f>
        <v>1.7131687242798355</v>
      </c>
      <c r="O64" s="211"/>
      <c r="P64" s="211">
        <f t="shared" si="2"/>
        <v>0</v>
      </c>
      <c r="Q64" s="211"/>
      <c r="R64" s="19">
        <f t="shared" si="3"/>
        <v>0</v>
      </c>
      <c r="S64" s="211">
        <f t="shared" si="4"/>
        <v>0</v>
      </c>
      <c r="T64" s="20">
        <v>2</v>
      </c>
      <c r="U64" s="20"/>
      <c r="V64" s="216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09">
        <v>300331</v>
      </c>
      <c r="B65" s="206" t="s">
        <v>67</v>
      </c>
      <c r="C65" s="230" t="s">
        <v>83</v>
      </c>
      <c r="D65" s="231"/>
      <c r="E65" s="213" t="s">
        <v>49</v>
      </c>
      <c r="F65" s="212"/>
      <c r="G65" s="133"/>
      <c r="H65" s="133"/>
      <c r="I65" s="133"/>
      <c r="J65" s="133"/>
      <c r="K65" s="211">
        <f t="shared" si="0"/>
        <v>0</v>
      </c>
      <c r="L65" s="211">
        <f t="shared" si="1"/>
        <v>0</v>
      </c>
      <c r="M65" s="211">
        <v>416.3</v>
      </c>
      <c r="N65" s="211">
        <f t="shared" si="6"/>
        <v>1.7131687242798355</v>
      </c>
      <c r="O65" s="211"/>
      <c r="P65" s="211">
        <f t="shared" si="2"/>
        <v>0</v>
      </c>
      <c r="Q65" s="211"/>
      <c r="R65" s="19">
        <f t="shared" si="3"/>
        <v>0</v>
      </c>
      <c r="S65" s="211">
        <f t="shared" si="4"/>
        <v>0</v>
      </c>
      <c r="T65" s="20">
        <v>2</v>
      </c>
      <c r="U65" s="20"/>
      <c r="V65" s="216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09">
        <v>300332</v>
      </c>
      <c r="B66" s="206" t="s">
        <v>67</v>
      </c>
      <c r="C66" s="230" t="s">
        <v>83</v>
      </c>
      <c r="D66" s="231"/>
      <c r="E66" s="213" t="s">
        <v>85</v>
      </c>
      <c r="F66" s="212"/>
      <c r="G66" s="133"/>
      <c r="H66" s="133"/>
      <c r="I66" s="133"/>
      <c r="J66" s="133"/>
      <c r="K66" s="211">
        <f t="shared" si="0"/>
        <v>0</v>
      </c>
      <c r="L66" s="211">
        <f t="shared" si="1"/>
        <v>0</v>
      </c>
      <c r="M66" s="211">
        <v>416.3</v>
      </c>
      <c r="N66" s="211">
        <f t="shared" si="6"/>
        <v>1.7131687242798355</v>
      </c>
      <c r="O66" s="211"/>
      <c r="P66" s="211">
        <f t="shared" si="2"/>
        <v>0</v>
      </c>
      <c r="Q66" s="211"/>
      <c r="R66" s="19">
        <f t="shared" si="3"/>
        <v>0</v>
      </c>
      <c r="S66" s="211">
        <f t="shared" si="4"/>
        <v>0</v>
      </c>
      <c r="T66" s="20">
        <v>2</v>
      </c>
      <c r="U66" s="20"/>
      <c r="V66" s="216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09">
        <v>300333</v>
      </c>
      <c r="B67" s="206" t="s">
        <v>67</v>
      </c>
      <c r="C67" s="230" t="s">
        <v>86</v>
      </c>
      <c r="D67" s="231"/>
      <c r="E67" s="213" t="s">
        <v>84</v>
      </c>
      <c r="F67" s="212"/>
      <c r="G67" s="133"/>
      <c r="H67" s="133"/>
      <c r="I67" s="133"/>
      <c r="J67" s="133"/>
      <c r="K67" s="211">
        <f t="shared" si="0"/>
        <v>0</v>
      </c>
      <c r="L67" s="211">
        <f t="shared" si="1"/>
        <v>0</v>
      </c>
      <c r="M67" s="211">
        <v>416.3</v>
      </c>
      <c r="N67" s="211">
        <f t="shared" si="6"/>
        <v>1.7131687242798355</v>
      </c>
      <c r="O67" s="211"/>
      <c r="P67" s="211">
        <f t="shared" si="2"/>
        <v>0</v>
      </c>
      <c r="Q67" s="211"/>
      <c r="R67" s="19">
        <f t="shared" si="3"/>
        <v>0</v>
      </c>
      <c r="S67" s="211">
        <f t="shared" si="4"/>
        <v>0</v>
      </c>
      <c r="T67" s="20">
        <v>2</v>
      </c>
      <c r="U67" s="20"/>
      <c r="V67" s="216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09">
        <v>300334</v>
      </c>
      <c r="B68" s="206" t="s">
        <v>67</v>
      </c>
      <c r="C68" s="230" t="s">
        <v>86</v>
      </c>
      <c r="D68" s="231"/>
      <c r="E68" s="213" t="s">
        <v>85</v>
      </c>
      <c r="F68" s="212"/>
      <c r="G68" s="133"/>
      <c r="H68" s="133"/>
      <c r="I68" s="133"/>
      <c r="J68" s="133"/>
      <c r="K68" s="211">
        <f t="shared" si="0"/>
        <v>0</v>
      </c>
      <c r="L68" s="211">
        <f t="shared" si="1"/>
        <v>0</v>
      </c>
      <c r="M68" s="211">
        <v>416.3</v>
      </c>
      <c r="N68" s="211">
        <f t="shared" si="6"/>
        <v>1.7131687242798355</v>
      </c>
      <c r="O68" s="211"/>
      <c r="P68" s="211">
        <f t="shared" si="2"/>
        <v>0</v>
      </c>
      <c r="Q68" s="211"/>
      <c r="R68" s="19">
        <f t="shared" si="3"/>
        <v>0</v>
      </c>
      <c r="S68" s="211">
        <f t="shared" si="4"/>
        <v>0</v>
      </c>
      <c r="T68" s="20">
        <v>2</v>
      </c>
      <c r="U68" s="20"/>
      <c r="V68" s="216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09">
        <v>300335</v>
      </c>
      <c r="B69" s="206" t="s">
        <v>67</v>
      </c>
      <c r="C69" s="230" t="s">
        <v>86</v>
      </c>
      <c r="D69" s="231"/>
      <c r="E69" s="213" t="s">
        <v>49</v>
      </c>
      <c r="F69" s="212"/>
      <c r="G69" s="133"/>
      <c r="H69" s="133"/>
      <c r="I69" s="133"/>
      <c r="J69" s="133"/>
      <c r="K69" s="211">
        <f t="shared" si="0"/>
        <v>0</v>
      </c>
      <c r="L69" s="211">
        <f t="shared" si="1"/>
        <v>0</v>
      </c>
      <c r="M69" s="211">
        <v>416.3</v>
      </c>
      <c r="N69" s="211">
        <f t="shared" si="6"/>
        <v>1.7131687242798355</v>
      </c>
      <c r="O69" s="211"/>
      <c r="P69" s="211">
        <f t="shared" si="2"/>
        <v>0</v>
      </c>
      <c r="Q69" s="211"/>
      <c r="R69" s="19">
        <f t="shared" si="3"/>
        <v>0</v>
      </c>
      <c r="S69" s="211">
        <f t="shared" si="4"/>
        <v>0</v>
      </c>
      <c r="T69" s="20">
        <v>2</v>
      </c>
      <c r="U69" s="20"/>
      <c r="V69" s="216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09">
        <v>300291</v>
      </c>
      <c r="B70" s="206" t="s">
        <v>87</v>
      </c>
      <c r="C70" s="219" t="s">
        <v>88</v>
      </c>
      <c r="D70" s="219" t="s">
        <v>89</v>
      </c>
      <c r="E70" s="213" t="s">
        <v>42</v>
      </c>
      <c r="F70" s="212"/>
      <c r="G70" s="133"/>
      <c r="H70" s="133"/>
      <c r="I70" s="133"/>
      <c r="J70" s="133"/>
      <c r="K70" s="211">
        <f t="shared" si="0"/>
        <v>0</v>
      </c>
      <c r="L70" s="211">
        <f t="shared" si="1"/>
        <v>0</v>
      </c>
      <c r="M70" s="211">
        <v>517.79999999999995</v>
      </c>
      <c r="N70" s="211">
        <f t="shared" si="6"/>
        <v>4.261728395061728</v>
      </c>
      <c r="O70" s="211"/>
      <c r="P70" s="211">
        <f t="shared" si="2"/>
        <v>0</v>
      </c>
      <c r="Q70" s="211"/>
      <c r="R70" s="19">
        <f t="shared" si="3"/>
        <v>0</v>
      </c>
      <c r="S70" s="211">
        <f t="shared" si="4"/>
        <v>0</v>
      </c>
      <c r="T70" s="20">
        <v>4</v>
      </c>
      <c r="U70" s="20"/>
      <c r="V70" s="216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09">
        <v>300292</v>
      </c>
      <c r="B71" s="206" t="s">
        <v>87</v>
      </c>
      <c r="C71" s="219" t="s">
        <v>88</v>
      </c>
      <c r="D71" s="219" t="s">
        <v>89</v>
      </c>
      <c r="E71" s="213" t="s">
        <v>41</v>
      </c>
      <c r="F71" s="212"/>
      <c r="G71" s="133"/>
      <c r="H71" s="133"/>
      <c r="I71" s="133"/>
      <c r="J71" s="133"/>
      <c r="K71" s="211">
        <f t="shared" si="0"/>
        <v>0</v>
      </c>
      <c r="L71" s="211">
        <f t="shared" si="1"/>
        <v>0</v>
      </c>
      <c r="M71" s="211">
        <v>517.79999999999995</v>
      </c>
      <c r="N71" s="211">
        <f>+M71*1000/(66.8*1*110*60)*T71</f>
        <v>4.6978769733260748</v>
      </c>
      <c r="O71" s="211"/>
      <c r="P71" s="211">
        <f t="shared" si="2"/>
        <v>0</v>
      </c>
      <c r="Q71" s="211"/>
      <c r="R71" s="19">
        <f t="shared" si="3"/>
        <v>0</v>
      </c>
      <c r="S71" s="211">
        <f t="shared" si="4"/>
        <v>0</v>
      </c>
      <c r="T71" s="20">
        <v>4</v>
      </c>
      <c r="U71" s="20"/>
      <c r="V71" s="216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09">
        <v>300293</v>
      </c>
      <c r="B72" s="206" t="s">
        <v>87</v>
      </c>
      <c r="C72" s="219" t="s">
        <v>88</v>
      </c>
      <c r="D72" s="219" t="s">
        <v>89</v>
      </c>
      <c r="E72" s="213" t="s">
        <v>57</v>
      </c>
      <c r="F72" s="212"/>
      <c r="G72" s="133"/>
      <c r="H72" s="133"/>
      <c r="I72" s="133"/>
      <c r="J72" s="133"/>
      <c r="K72" s="211">
        <f t="shared" si="0"/>
        <v>0</v>
      </c>
      <c r="L72" s="211">
        <f t="shared" si="1"/>
        <v>0</v>
      </c>
      <c r="M72" s="211">
        <v>517.9</v>
      </c>
      <c r="N72" s="211">
        <f>+M72*1000/(67.1*1*110*60)*T72</f>
        <v>4.6777762724111467</v>
      </c>
      <c r="O72" s="211"/>
      <c r="P72" s="211">
        <f t="shared" si="2"/>
        <v>0</v>
      </c>
      <c r="Q72" s="211"/>
      <c r="R72" s="19">
        <f t="shared" si="3"/>
        <v>0</v>
      </c>
      <c r="S72" s="211">
        <f t="shared" si="4"/>
        <v>0</v>
      </c>
      <c r="T72" s="20">
        <v>4</v>
      </c>
      <c r="U72" s="20"/>
      <c r="V72" s="216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09">
        <v>300290</v>
      </c>
      <c r="B73" s="206" t="s">
        <v>87</v>
      </c>
      <c r="C73" s="219" t="s">
        <v>88</v>
      </c>
      <c r="D73" s="219" t="s">
        <v>89</v>
      </c>
      <c r="E73" s="213" t="s">
        <v>35</v>
      </c>
      <c r="F73" s="212"/>
      <c r="G73" s="133"/>
      <c r="H73" s="133"/>
      <c r="I73" s="133"/>
      <c r="J73" s="133"/>
      <c r="K73" s="211">
        <f t="shared" si="0"/>
        <v>0</v>
      </c>
      <c r="L73" s="211">
        <f t="shared" si="1"/>
        <v>0</v>
      </c>
      <c r="M73" s="211">
        <v>520</v>
      </c>
      <c r="N73" s="211">
        <f>+M73*1000/(67.5*1*110*60)*T73</f>
        <v>4.6689113355780023</v>
      </c>
      <c r="O73" s="211"/>
      <c r="P73" s="211">
        <f t="shared" si="2"/>
        <v>0</v>
      </c>
      <c r="Q73" s="211"/>
      <c r="R73" s="19">
        <f t="shared" si="3"/>
        <v>0</v>
      </c>
      <c r="S73" s="211">
        <f t="shared" si="4"/>
        <v>0</v>
      </c>
      <c r="T73" s="20">
        <v>4</v>
      </c>
      <c r="U73" s="20"/>
      <c r="V73" s="216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09">
        <v>300389</v>
      </c>
      <c r="B74" s="206" t="s">
        <v>87</v>
      </c>
      <c r="C74" s="219" t="s">
        <v>308</v>
      </c>
      <c r="D74" s="219" t="s">
        <v>89</v>
      </c>
      <c r="E74" s="213" t="s">
        <v>35</v>
      </c>
      <c r="F74" s="212"/>
      <c r="G74" s="133"/>
      <c r="H74" s="133"/>
      <c r="I74" s="133"/>
      <c r="J74" s="133"/>
      <c r="K74" s="211">
        <f t="shared" si="0"/>
        <v>0</v>
      </c>
      <c r="L74" s="211">
        <f t="shared" si="1"/>
        <v>0</v>
      </c>
      <c r="M74" s="211">
        <v>429.4</v>
      </c>
      <c r="N74" s="211">
        <f>+M74*1000/(47*1*110*60)*T74</f>
        <v>5.5370728562217923</v>
      </c>
      <c r="O74" s="211"/>
      <c r="P74" s="211">
        <f t="shared" si="2"/>
        <v>0</v>
      </c>
      <c r="Q74" s="211"/>
      <c r="R74" s="19">
        <f t="shared" si="3"/>
        <v>0</v>
      </c>
      <c r="S74" s="211">
        <f t="shared" si="4"/>
        <v>0</v>
      </c>
      <c r="T74" s="20">
        <v>4</v>
      </c>
      <c r="U74" s="20"/>
      <c r="V74" s="216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09">
        <v>300058</v>
      </c>
      <c r="B75" s="206" t="s">
        <v>87</v>
      </c>
      <c r="C75" s="219" t="s">
        <v>308</v>
      </c>
      <c r="D75" s="219" t="s">
        <v>89</v>
      </c>
      <c r="E75" s="213" t="s">
        <v>42</v>
      </c>
      <c r="F75" s="212"/>
      <c r="G75" s="133"/>
      <c r="H75" s="133"/>
      <c r="I75" s="133"/>
      <c r="J75" s="133"/>
      <c r="K75" s="211">
        <f t="shared" si="0"/>
        <v>0</v>
      </c>
      <c r="L75" s="211">
        <f t="shared" si="1"/>
        <v>0</v>
      </c>
      <c r="M75" s="211">
        <v>419.2</v>
      </c>
      <c r="N75" s="211">
        <f>+M75*1000/(51.5*1*110*60)*T75</f>
        <v>4.9332156516622536</v>
      </c>
      <c r="O75" s="211"/>
      <c r="P75" s="211">
        <f t="shared" si="2"/>
        <v>0</v>
      </c>
      <c r="Q75" s="211"/>
      <c r="R75" s="19">
        <f t="shared" si="3"/>
        <v>0</v>
      </c>
      <c r="S75" s="211">
        <f t="shared" si="4"/>
        <v>0</v>
      </c>
      <c r="T75" s="20">
        <v>4</v>
      </c>
      <c r="U75" s="20"/>
      <c r="V75" s="216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09">
        <v>300061</v>
      </c>
      <c r="B76" s="206" t="s">
        <v>90</v>
      </c>
      <c r="C76" s="219" t="s">
        <v>309</v>
      </c>
      <c r="D76" s="219" t="s">
        <v>91</v>
      </c>
      <c r="E76" s="213" t="s">
        <v>41</v>
      </c>
      <c r="F76" s="212"/>
      <c r="G76" s="133"/>
      <c r="H76" s="133"/>
      <c r="I76" s="133"/>
      <c r="J76" s="133"/>
      <c r="K76" s="211">
        <f t="shared" si="0"/>
        <v>0</v>
      </c>
      <c r="L76" s="211">
        <f t="shared" si="1"/>
        <v>0</v>
      </c>
      <c r="M76" s="211">
        <v>418.4</v>
      </c>
      <c r="N76" s="211">
        <f>+M76*1000/(51*1*110*60)*T76</f>
        <v>4.9720736779560308</v>
      </c>
      <c r="O76" s="211"/>
      <c r="P76" s="211">
        <f t="shared" si="2"/>
        <v>0</v>
      </c>
      <c r="Q76" s="211"/>
      <c r="R76" s="19">
        <f t="shared" si="3"/>
        <v>0</v>
      </c>
      <c r="S76" s="211">
        <f t="shared" si="4"/>
        <v>0</v>
      </c>
      <c r="T76" s="20">
        <v>4</v>
      </c>
      <c r="U76" s="20"/>
      <c r="V76" s="216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09">
        <v>300064</v>
      </c>
      <c r="B77" s="206">
        <v>5002</v>
      </c>
      <c r="C77" s="219" t="s">
        <v>309</v>
      </c>
      <c r="D77" s="219" t="s">
        <v>91</v>
      </c>
      <c r="E77" s="213" t="s">
        <v>35</v>
      </c>
      <c r="F77" s="212"/>
      <c r="G77" s="133"/>
      <c r="H77" s="133"/>
      <c r="I77" s="133"/>
      <c r="J77" s="133"/>
      <c r="K77" s="211">
        <f t="shared" ref="K77:K153" si="7">G77*M77</f>
        <v>0</v>
      </c>
      <c r="L77" s="211">
        <f t="shared" ref="L77:L153" si="8">I77*M77</f>
        <v>0</v>
      </c>
      <c r="M77" s="211">
        <v>419.2</v>
      </c>
      <c r="N77" s="211">
        <f>+M77*1000/(51.9*1*110*60)*T77</f>
        <v>4.8951947217843168</v>
      </c>
      <c r="O77" s="211"/>
      <c r="P77" s="211">
        <f t="shared" ref="P77:P153" si="9">N77*I77+O77*U77</f>
        <v>0</v>
      </c>
      <c r="Q77" s="211"/>
      <c r="R77" s="19">
        <f t="shared" ref="R77:R153" si="10">Q77*U77</f>
        <v>0</v>
      </c>
      <c r="S77" s="211">
        <f t="shared" ref="S77:S153" si="11">R77-P77</f>
        <v>0</v>
      </c>
      <c r="T77" s="20">
        <v>4</v>
      </c>
      <c r="U77" s="20"/>
      <c r="V77" s="216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customHeight="1">
      <c r="A78" s="209">
        <v>300060</v>
      </c>
      <c r="B78" s="206">
        <v>5001</v>
      </c>
      <c r="C78" s="219" t="s">
        <v>309</v>
      </c>
      <c r="D78" s="219" t="s">
        <v>91</v>
      </c>
      <c r="E78" s="213" t="s">
        <v>57</v>
      </c>
      <c r="F78" s="212">
        <v>2116</v>
      </c>
      <c r="G78" s="133">
        <v>6</v>
      </c>
      <c r="H78" s="133">
        <v>1</v>
      </c>
      <c r="I78" s="133">
        <f>5+H78</f>
        <v>6</v>
      </c>
      <c r="J78" s="133"/>
      <c r="K78" s="211">
        <f t="shared" si="7"/>
        <v>2501.3999999999996</v>
      </c>
      <c r="L78" s="211">
        <f t="shared" si="8"/>
        <v>2501.3999999999996</v>
      </c>
      <c r="M78" s="211">
        <v>416.9</v>
      </c>
      <c r="N78" s="211">
        <f>+M78*1000/(51*1*110*60)*T78</f>
        <v>4.9542483660130721</v>
      </c>
      <c r="O78" s="211"/>
      <c r="P78" s="211">
        <f t="shared" si="9"/>
        <v>29.725490196078432</v>
      </c>
      <c r="Q78" s="211">
        <v>6.5</v>
      </c>
      <c r="R78" s="19">
        <f t="shared" si="10"/>
        <v>39</v>
      </c>
      <c r="S78" s="211">
        <f t="shared" si="11"/>
        <v>9.2745098039215677</v>
      </c>
      <c r="T78" s="20">
        <v>4</v>
      </c>
      <c r="U78" s="20">
        <v>6</v>
      </c>
      <c r="V78" s="216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09">
        <v>300068</v>
      </c>
      <c r="B79" s="206" t="s">
        <v>87</v>
      </c>
      <c r="C79" s="219" t="s">
        <v>92</v>
      </c>
      <c r="D79" s="219" t="s">
        <v>93</v>
      </c>
      <c r="E79" s="213" t="s">
        <v>37</v>
      </c>
      <c r="F79" s="212"/>
      <c r="G79" s="133"/>
      <c r="H79" s="133"/>
      <c r="I79" s="133"/>
      <c r="J79" s="133"/>
      <c r="K79" s="211">
        <f t="shared" si="7"/>
        <v>0</v>
      </c>
      <c r="L79" s="211">
        <f t="shared" si="8"/>
        <v>0</v>
      </c>
      <c r="M79" s="211">
        <v>438.4</v>
      </c>
      <c r="N79" s="211">
        <f>+M79*1000/(50*1*120*60)*T79</f>
        <v>4.8711111111111114</v>
      </c>
      <c r="O79" s="211"/>
      <c r="P79" s="211">
        <f t="shared" si="9"/>
        <v>0</v>
      </c>
      <c r="Q79" s="211"/>
      <c r="R79" s="19">
        <f t="shared" si="10"/>
        <v>0</v>
      </c>
      <c r="S79" s="211">
        <f t="shared" si="11"/>
        <v>0</v>
      </c>
      <c r="T79" s="20">
        <v>4</v>
      </c>
      <c r="U79" s="20"/>
      <c r="V79" s="216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09">
        <v>300065</v>
      </c>
      <c r="B80" s="206" t="s">
        <v>87</v>
      </c>
      <c r="C80" s="219" t="s">
        <v>92</v>
      </c>
      <c r="D80" s="219" t="s">
        <v>93</v>
      </c>
      <c r="E80" s="213" t="s">
        <v>35</v>
      </c>
      <c r="F80" s="212"/>
      <c r="G80" s="133"/>
      <c r="H80" s="133"/>
      <c r="I80" s="133"/>
      <c r="J80" s="133"/>
      <c r="K80" s="211">
        <f t="shared" si="7"/>
        <v>0</v>
      </c>
      <c r="L80" s="211">
        <f t="shared" si="8"/>
        <v>0</v>
      </c>
      <c r="M80" s="211">
        <v>438.8</v>
      </c>
      <c r="N80" s="211">
        <f>+M80*1000/(50*1*120*60)*T80</f>
        <v>4.8755555555555556</v>
      </c>
      <c r="O80" s="211"/>
      <c r="P80" s="211">
        <f t="shared" si="9"/>
        <v>0</v>
      </c>
      <c r="Q80" s="211"/>
      <c r="R80" s="19">
        <f t="shared" si="10"/>
        <v>0</v>
      </c>
      <c r="S80" s="211">
        <f t="shared" si="11"/>
        <v>0</v>
      </c>
      <c r="T80" s="20">
        <v>4</v>
      </c>
      <c r="U80" s="209"/>
      <c r="V80" s="216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09">
        <v>300066</v>
      </c>
      <c r="B81" s="206" t="s">
        <v>87</v>
      </c>
      <c r="C81" s="219" t="s">
        <v>92</v>
      </c>
      <c r="D81" s="219" t="s">
        <v>93</v>
      </c>
      <c r="E81" s="213" t="s">
        <v>66</v>
      </c>
      <c r="F81" s="212"/>
      <c r="G81" s="133"/>
      <c r="H81" s="133"/>
      <c r="I81" s="133"/>
      <c r="J81" s="133"/>
      <c r="K81" s="211">
        <f t="shared" si="7"/>
        <v>0</v>
      </c>
      <c r="L81" s="211">
        <f t="shared" si="8"/>
        <v>0</v>
      </c>
      <c r="M81" s="211">
        <v>438.4</v>
      </c>
      <c r="N81" s="211">
        <f>+M81*1000/(50*1*120*60)*T81</f>
        <v>4.8711111111111114</v>
      </c>
      <c r="O81" s="211"/>
      <c r="P81" s="211">
        <f t="shared" si="9"/>
        <v>0</v>
      </c>
      <c r="Q81" s="211"/>
      <c r="R81" s="19">
        <f t="shared" si="10"/>
        <v>0</v>
      </c>
      <c r="S81" s="211">
        <f t="shared" si="11"/>
        <v>0</v>
      </c>
      <c r="T81" s="20">
        <v>4</v>
      </c>
      <c r="U81" s="209"/>
      <c r="V81" s="216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09">
        <v>300067</v>
      </c>
      <c r="B82" s="206" t="s">
        <v>87</v>
      </c>
      <c r="C82" s="219" t="s">
        <v>92</v>
      </c>
      <c r="D82" s="219" t="s">
        <v>93</v>
      </c>
      <c r="E82" s="213" t="s">
        <v>41</v>
      </c>
      <c r="F82" s="212"/>
      <c r="G82" s="133"/>
      <c r="H82" s="133"/>
      <c r="I82" s="133"/>
      <c r="J82" s="133"/>
      <c r="K82" s="211">
        <f t="shared" si="7"/>
        <v>0</v>
      </c>
      <c r="L82" s="211">
        <f t="shared" si="8"/>
        <v>0</v>
      </c>
      <c r="M82" s="211">
        <v>438.8</v>
      </c>
      <c r="N82" s="211">
        <f>+M82*1000/(50*1*120*60)*T82</f>
        <v>4.8755555555555556</v>
      </c>
      <c r="O82" s="211"/>
      <c r="P82" s="211">
        <f t="shared" si="9"/>
        <v>0</v>
      </c>
      <c r="Q82" s="211"/>
      <c r="R82" s="19">
        <f t="shared" si="10"/>
        <v>0</v>
      </c>
      <c r="S82" s="211">
        <f t="shared" si="11"/>
        <v>0</v>
      </c>
      <c r="T82" s="20">
        <v>4</v>
      </c>
      <c r="U82" s="20"/>
      <c r="V82" s="216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09">
        <v>300437</v>
      </c>
      <c r="B83" s="206" t="s">
        <v>87</v>
      </c>
      <c r="C83" s="219" t="s">
        <v>92</v>
      </c>
      <c r="D83" s="219" t="s">
        <v>93</v>
      </c>
      <c r="E83" s="213" t="s">
        <v>302</v>
      </c>
      <c r="F83" s="212"/>
      <c r="G83" s="133"/>
      <c r="H83" s="133"/>
      <c r="I83" s="133"/>
      <c r="J83" s="133"/>
      <c r="K83" s="211">
        <f t="shared" si="7"/>
        <v>0</v>
      </c>
      <c r="L83" s="211">
        <f t="shared" si="8"/>
        <v>0</v>
      </c>
      <c r="M83" s="211">
        <v>438.8</v>
      </c>
      <c r="N83" s="211">
        <f>+M83*1000/(50*1*120*60)*T83</f>
        <v>4.8755555555555556</v>
      </c>
      <c r="O83" s="211"/>
      <c r="P83" s="211">
        <f t="shared" si="9"/>
        <v>0</v>
      </c>
      <c r="Q83" s="211"/>
      <c r="R83" s="19">
        <f t="shared" si="10"/>
        <v>0</v>
      </c>
      <c r="S83" s="211">
        <f t="shared" si="11"/>
        <v>0</v>
      </c>
      <c r="T83" s="20">
        <v>4</v>
      </c>
      <c r="U83" s="20"/>
      <c r="V83" s="216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09">
        <v>300384</v>
      </c>
      <c r="B84" s="206" t="s">
        <v>87</v>
      </c>
      <c r="C84" s="219" t="s">
        <v>94</v>
      </c>
      <c r="D84" s="219" t="s">
        <v>95</v>
      </c>
      <c r="E84" s="213" t="s">
        <v>35</v>
      </c>
      <c r="F84" s="212"/>
      <c r="G84" s="133"/>
      <c r="H84" s="133"/>
      <c r="I84" s="133"/>
      <c r="J84" s="133"/>
      <c r="K84" s="211">
        <f t="shared" si="7"/>
        <v>0</v>
      </c>
      <c r="L84" s="211">
        <f t="shared" si="8"/>
        <v>0</v>
      </c>
      <c r="M84" s="211">
        <v>415.5</v>
      </c>
      <c r="N84" s="211">
        <f>+M84*1000/(51*1*110*60)*T84</f>
        <v>8.6408199643493759</v>
      </c>
      <c r="O84" s="211"/>
      <c r="P84" s="211">
        <f t="shared" si="9"/>
        <v>0</v>
      </c>
      <c r="Q84" s="211"/>
      <c r="R84" s="19">
        <f t="shared" si="10"/>
        <v>0</v>
      </c>
      <c r="S84" s="211">
        <f t="shared" si="11"/>
        <v>0</v>
      </c>
      <c r="T84" s="20">
        <v>7</v>
      </c>
      <c r="U84" s="20"/>
      <c r="V84" s="216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09">
        <v>300383</v>
      </c>
      <c r="B85" s="206" t="s">
        <v>87</v>
      </c>
      <c r="C85" s="219" t="s">
        <v>94</v>
      </c>
      <c r="D85" s="219" t="s">
        <v>96</v>
      </c>
      <c r="E85" s="213" t="s">
        <v>41</v>
      </c>
      <c r="F85" s="212"/>
      <c r="G85" s="133"/>
      <c r="H85" s="133"/>
      <c r="I85" s="133"/>
      <c r="J85" s="133"/>
      <c r="K85" s="211">
        <f t="shared" si="7"/>
        <v>0</v>
      </c>
      <c r="L85" s="211">
        <f t="shared" si="8"/>
        <v>0</v>
      </c>
      <c r="M85" s="211">
        <v>415.5</v>
      </c>
      <c r="N85" s="211">
        <f>+M85*1000/(51*1*110*60)*T85</f>
        <v>8.6408199643493759</v>
      </c>
      <c r="O85" s="211"/>
      <c r="P85" s="211">
        <f t="shared" si="9"/>
        <v>0</v>
      </c>
      <c r="Q85" s="211"/>
      <c r="R85" s="19">
        <f t="shared" si="10"/>
        <v>0</v>
      </c>
      <c r="S85" s="211">
        <f t="shared" si="11"/>
        <v>0</v>
      </c>
      <c r="T85" s="20">
        <v>7</v>
      </c>
      <c r="U85" s="20"/>
      <c r="V85" s="216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09">
        <v>300386</v>
      </c>
      <c r="B86" s="206" t="s">
        <v>87</v>
      </c>
      <c r="C86" s="219" t="s">
        <v>94</v>
      </c>
      <c r="D86" s="219" t="s">
        <v>97</v>
      </c>
      <c r="E86" s="213" t="s">
        <v>66</v>
      </c>
      <c r="F86" s="212"/>
      <c r="G86" s="133"/>
      <c r="H86" s="133"/>
      <c r="I86" s="133"/>
      <c r="J86" s="133"/>
      <c r="K86" s="211">
        <f t="shared" si="7"/>
        <v>0</v>
      </c>
      <c r="L86" s="211">
        <f t="shared" si="8"/>
        <v>0</v>
      </c>
      <c r="M86" s="211">
        <v>415.5</v>
      </c>
      <c r="N86" s="211">
        <f>+M86*1000/(51*1*110*60)*T86</f>
        <v>8.6408199643493759</v>
      </c>
      <c r="O86" s="211"/>
      <c r="P86" s="211">
        <f t="shared" si="9"/>
        <v>0</v>
      </c>
      <c r="Q86" s="211"/>
      <c r="R86" s="19">
        <f t="shared" si="10"/>
        <v>0</v>
      </c>
      <c r="S86" s="211">
        <f t="shared" si="11"/>
        <v>0</v>
      </c>
      <c r="T86" s="20">
        <v>7</v>
      </c>
      <c r="U86" s="20"/>
      <c r="V86" s="216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09">
        <v>300385</v>
      </c>
      <c r="B87" s="206" t="s">
        <v>87</v>
      </c>
      <c r="C87" s="219" t="s">
        <v>94</v>
      </c>
      <c r="D87" s="219" t="s">
        <v>98</v>
      </c>
      <c r="E87" s="213" t="s">
        <v>99</v>
      </c>
      <c r="F87" s="212"/>
      <c r="G87" s="133"/>
      <c r="H87" s="133"/>
      <c r="I87" s="133"/>
      <c r="J87" s="133"/>
      <c r="K87" s="211">
        <f t="shared" si="7"/>
        <v>0</v>
      </c>
      <c r="L87" s="211">
        <f t="shared" si="8"/>
        <v>0</v>
      </c>
      <c r="M87" s="211">
        <v>415.5</v>
      </c>
      <c r="N87" s="211">
        <f>+M87*1000/(51*1*110*60)*T87</f>
        <v>8.6408199643493759</v>
      </c>
      <c r="O87" s="211"/>
      <c r="P87" s="211">
        <f t="shared" si="9"/>
        <v>0</v>
      </c>
      <c r="Q87" s="211"/>
      <c r="R87" s="19">
        <f t="shared" si="10"/>
        <v>0</v>
      </c>
      <c r="S87" s="211">
        <f t="shared" si="11"/>
        <v>0</v>
      </c>
      <c r="T87" s="20">
        <v>7</v>
      </c>
      <c r="U87" s="20"/>
      <c r="V87" s="216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09">
        <v>300352</v>
      </c>
      <c r="B88" s="206" t="s">
        <v>87</v>
      </c>
      <c r="C88" s="219" t="s">
        <v>100</v>
      </c>
      <c r="D88" s="219" t="s">
        <v>95</v>
      </c>
      <c r="E88" s="213" t="s">
        <v>35</v>
      </c>
      <c r="F88" s="212"/>
      <c r="G88" s="133"/>
      <c r="H88" s="133"/>
      <c r="I88" s="133"/>
      <c r="J88" s="133"/>
      <c r="K88" s="211">
        <f t="shared" si="7"/>
        <v>0</v>
      </c>
      <c r="L88" s="211">
        <f t="shared" si="8"/>
        <v>0</v>
      </c>
      <c r="M88" s="211">
        <v>515.9</v>
      </c>
      <c r="N88" s="211">
        <f>+M88*1000/(80*1*110*60)*T88</f>
        <v>6.8395833333333336</v>
      </c>
      <c r="O88" s="211"/>
      <c r="P88" s="211">
        <f t="shared" si="9"/>
        <v>0</v>
      </c>
      <c r="Q88" s="211"/>
      <c r="R88" s="19">
        <f t="shared" si="10"/>
        <v>0</v>
      </c>
      <c r="S88" s="211">
        <f t="shared" si="11"/>
        <v>0</v>
      </c>
      <c r="T88" s="20">
        <v>7</v>
      </c>
      <c r="U88" s="20"/>
      <c r="V88" s="216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09">
        <v>300353</v>
      </c>
      <c r="B89" s="206" t="s">
        <v>87</v>
      </c>
      <c r="C89" s="219" t="s">
        <v>100</v>
      </c>
      <c r="D89" s="219" t="s">
        <v>95</v>
      </c>
      <c r="E89" s="213" t="s">
        <v>99</v>
      </c>
      <c r="F89" s="212"/>
      <c r="G89" s="133"/>
      <c r="H89" s="133"/>
      <c r="I89" s="133"/>
      <c r="J89" s="133"/>
      <c r="K89" s="211">
        <f t="shared" si="7"/>
        <v>0</v>
      </c>
      <c r="L89" s="211">
        <f t="shared" si="8"/>
        <v>0</v>
      </c>
      <c r="M89" s="211">
        <v>515.9</v>
      </c>
      <c r="N89" s="211">
        <f>+M89*1000/(80*1*110*60)*T89</f>
        <v>6.8395833333333336</v>
      </c>
      <c r="O89" s="211"/>
      <c r="P89" s="211">
        <f t="shared" si="9"/>
        <v>0</v>
      </c>
      <c r="Q89" s="211"/>
      <c r="R89" s="19">
        <f t="shared" si="10"/>
        <v>0</v>
      </c>
      <c r="S89" s="211">
        <f t="shared" si="11"/>
        <v>0</v>
      </c>
      <c r="T89" s="20">
        <v>7</v>
      </c>
      <c r="U89" s="20"/>
      <c r="V89" s="216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09">
        <v>300351</v>
      </c>
      <c r="B90" s="206" t="s">
        <v>87</v>
      </c>
      <c r="C90" s="219" t="s">
        <v>100</v>
      </c>
      <c r="D90" s="219" t="s">
        <v>95</v>
      </c>
      <c r="E90" s="213" t="s">
        <v>41</v>
      </c>
      <c r="F90" s="212"/>
      <c r="G90" s="133"/>
      <c r="H90" s="133"/>
      <c r="I90" s="133"/>
      <c r="J90" s="133"/>
      <c r="K90" s="211">
        <f t="shared" si="7"/>
        <v>0</v>
      </c>
      <c r="L90" s="211">
        <f t="shared" si="8"/>
        <v>0</v>
      </c>
      <c r="M90" s="211">
        <v>515.9</v>
      </c>
      <c r="N90" s="211">
        <f>+M90*1000/(80*1*110*60)*T90</f>
        <v>6.8395833333333336</v>
      </c>
      <c r="O90" s="211"/>
      <c r="P90" s="211">
        <f t="shared" si="9"/>
        <v>0</v>
      </c>
      <c r="Q90" s="211"/>
      <c r="R90" s="19">
        <f t="shared" si="10"/>
        <v>0</v>
      </c>
      <c r="S90" s="211">
        <f t="shared" si="11"/>
        <v>0</v>
      </c>
      <c r="T90" s="20">
        <v>7</v>
      </c>
      <c r="U90" s="20"/>
      <c r="V90" s="216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09">
        <v>300354</v>
      </c>
      <c r="B91" s="206" t="s">
        <v>87</v>
      </c>
      <c r="C91" s="219" t="s">
        <v>100</v>
      </c>
      <c r="D91" s="219" t="s">
        <v>95</v>
      </c>
      <c r="E91" s="213" t="s">
        <v>66</v>
      </c>
      <c r="F91" s="212"/>
      <c r="G91" s="133"/>
      <c r="H91" s="133"/>
      <c r="I91" s="133"/>
      <c r="J91" s="133"/>
      <c r="K91" s="211">
        <f t="shared" si="7"/>
        <v>0</v>
      </c>
      <c r="L91" s="211">
        <f t="shared" si="8"/>
        <v>0</v>
      </c>
      <c r="M91" s="211">
        <v>515.9</v>
      </c>
      <c r="N91" s="211">
        <f>+M91*1000/(80*1*110*60)*T91</f>
        <v>6.8395833333333336</v>
      </c>
      <c r="O91" s="211"/>
      <c r="P91" s="211">
        <f t="shared" si="9"/>
        <v>0</v>
      </c>
      <c r="Q91" s="211"/>
      <c r="R91" s="19">
        <f t="shared" si="10"/>
        <v>0</v>
      </c>
      <c r="S91" s="211">
        <f t="shared" si="11"/>
        <v>0</v>
      </c>
      <c r="T91" s="20">
        <v>7</v>
      </c>
      <c r="U91" s="20"/>
      <c r="V91" s="216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09">
        <v>300250</v>
      </c>
      <c r="B92" s="206" t="s">
        <v>87</v>
      </c>
      <c r="C92" s="219" t="s">
        <v>101</v>
      </c>
      <c r="D92" s="219" t="s">
        <v>95</v>
      </c>
      <c r="E92" s="213" t="s">
        <v>35</v>
      </c>
      <c r="F92" s="212"/>
      <c r="G92" s="133"/>
      <c r="H92" s="133"/>
      <c r="I92" s="133"/>
      <c r="J92" s="133"/>
      <c r="K92" s="211">
        <f t="shared" si="7"/>
        <v>0</v>
      </c>
      <c r="L92" s="211">
        <f t="shared" si="8"/>
        <v>0</v>
      </c>
      <c r="M92" s="211">
        <v>412.5</v>
      </c>
      <c r="N92" s="211">
        <f>+M92*1000/(84*1*110*60)*T92</f>
        <v>5.2083333333333339</v>
      </c>
      <c r="O92" s="211"/>
      <c r="P92" s="211">
        <f t="shared" si="9"/>
        <v>0</v>
      </c>
      <c r="Q92" s="211"/>
      <c r="R92" s="19">
        <f t="shared" si="10"/>
        <v>0</v>
      </c>
      <c r="S92" s="211">
        <f t="shared" si="11"/>
        <v>0</v>
      </c>
      <c r="T92" s="20">
        <v>7</v>
      </c>
      <c r="U92" s="20"/>
      <c r="V92" s="216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09">
        <v>300251</v>
      </c>
      <c r="B93" s="206" t="s">
        <v>87</v>
      </c>
      <c r="C93" s="219" t="s">
        <v>101</v>
      </c>
      <c r="D93" s="219" t="s">
        <v>95</v>
      </c>
      <c r="E93" s="213" t="s">
        <v>99</v>
      </c>
      <c r="F93" s="212"/>
      <c r="G93" s="133"/>
      <c r="H93" s="133"/>
      <c r="I93" s="133"/>
      <c r="J93" s="133"/>
      <c r="K93" s="211">
        <f t="shared" si="7"/>
        <v>0</v>
      </c>
      <c r="L93" s="211">
        <f t="shared" si="8"/>
        <v>0</v>
      </c>
      <c r="M93" s="211">
        <v>412.5</v>
      </c>
      <c r="N93" s="211">
        <f>+M93*1000/(84*1*110*60)*T93</f>
        <v>5.2083333333333339</v>
      </c>
      <c r="O93" s="211"/>
      <c r="P93" s="211">
        <f t="shared" si="9"/>
        <v>0</v>
      </c>
      <c r="Q93" s="211"/>
      <c r="R93" s="19">
        <f t="shared" si="10"/>
        <v>0</v>
      </c>
      <c r="S93" s="211">
        <f t="shared" si="11"/>
        <v>0</v>
      </c>
      <c r="T93" s="20">
        <v>7</v>
      </c>
      <c r="U93" s="20"/>
      <c r="V93" s="216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09">
        <v>300254</v>
      </c>
      <c r="B94" s="206" t="s">
        <v>87</v>
      </c>
      <c r="C94" s="219" t="s">
        <v>101</v>
      </c>
      <c r="D94" s="219" t="s">
        <v>95</v>
      </c>
      <c r="E94" s="213" t="s">
        <v>41</v>
      </c>
      <c r="F94" s="212"/>
      <c r="G94" s="133"/>
      <c r="H94" s="133"/>
      <c r="I94" s="133"/>
      <c r="J94" s="133"/>
      <c r="K94" s="211">
        <f t="shared" si="7"/>
        <v>0</v>
      </c>
      <c r="L94" s="211">
        <f t="shared" si="8"/>
        <v>0</v>
      </c>
      <c r="M94" s="211">
        <v>412.5</v>
      </c>
      <c r="N94" s="211">
        <f>+M94*1000/(84*1*110*60)*T94</f>
        <v>5.2083333333333339</v>
      </c>
      <c r="O94" s="211"/>
      <c r="P94" s="211">
        <f t="shared" si="9"/>
        <v>0</v>
      </c>
      <c r="Q94" s="211"/>
      <c r="R94" s="19">
        <f t="shared" si="10"/>
        <v>0</v>
      </c>
      <c r="S94" s="211">
        <f t="shared" si="11"/>
        <v>0</v>
      </c>
      <c r="T94" s="20">
        <v>7</v>
      </c>
      <c r="U94" s="20"/>
      <c r="V94" s="216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09">
        <v>300253</v>
      </c>
      <c r="B95" s="206" t="s">
        <v>87</v>
      </c>
      <c r="C95" s="219" t="s">
        <v>101</v>
      </c>
      <c r="D95" s="219" t="s">
        <v>95</v>
      </c>
      <c r="E95" s="213" t="s">
        <v>66</v>
      </c>
      <c r="F95" s="212"/>
      <c r="G95" s="133"/>
      <c r="H95" s="133"/>
      <c r="I95" s="133"/>
      <c r="J95" s="133"/>
      <c r="K95" s="211">
        <f t="shared" si="7"/>
        <v>0</v>
      </c>
      <c r="L95" s="211">
        <f t="shared" si="8"/>
        <v>0</v>
      </c>
      <c r="M95" s="211">
        <v>412.5</v>
      </c>
      <c r="N95" s="211">
        <f>+M95*1000/(84*1*110*60)*T95</f>
        <v>5.2083333333333339</v>
      </c>
      <c r="O95" s="211"/>
      <c r="P95" s="211">
        <f t="shared" si="9"/>
        <v>0</v>
      </c>
      <c r="Q95" s="211"/>
      <c r="R95" s="19">
        <f t="shared" si="10"/>
        <v>0</v>
      </c>
      <c r="S95" s="211">
        <f t="shared" si="11"/>
        <v>0</v>
      </c>
      <c r="T95" s="20">
        <v>7</v>
      </c>
      <c r="U95" s="20"/>
      <c r="V95" s="216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09">
        <v>300255</v>
      </c>
      <c r="B96" s="206" t="s">
        <v>87</v>
      </c>
      <c r="C96" s="219" t="s">
        <v>101</v>
      </c>
      <c r="D96" s="219" t="s">
        <v>95</v>
      </c>
      <c r="E96" s="213" t="s">
        <v>102</v>
      </c>
      <c r="F96" s="212"/>
      <c r="G96" s="133"/>
      <c r="H96" s="133"/>
      <c r="I96" s="133"/>
      <c r="J96" s="133"/>
      <c r="K96" s="211">
        <f t="shared" si="7"/>
        <v>0</v>
      </c>
      <c r="L96" s="211">
        <f t="shared" si="8"/>
        <v>0</v>
      </c>
      <c r="M96" s="211">
        <v>412.5</v>
      </c>
      <c r="N96" s="211">
        <f>+M96*1000/(84*1*110*60)*T96</f>
        <v>5.2083333333333339</v>
      </c>
      <c r="O96" s="211"/>
      <c r="P96" s="211">
        <f t="shared" si="9"/>
        <v>0</v>
      </c>
      <c r="Q96" s="211"/>
      <c r="R96" s="19">
        <f t="shared" si="10"/>
        <v>0</v>
      </c>
      <c r="S96" s="211">
        <f t="shared" si="11"/>
        <v>0</v>
      </c>
      <c r="T96" s="20">
        <v>7</v>
      </c>
      <c r="U96" s="20"/>
      <c r="V96" s="216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09">
        <v>300392</v>
      </c>
      <c r="B97" s="206" t="s">
        <v>87</v>
      </c>
      <c r="C97" s="230" t="s">
        <v>103</v>
      </c>
      <c r="D97" s="231"/>
      <c r="E97" s="213" t="s">
        <v>99</v>
      </c>
      <c r="F97" s="209"/>
      <c r="G97" s="133"/>
      <c r="H97" s="133"/>
      <c r="I97" s="133"/>
      <c r="J97" s="133"/>
      <c r="K97" s="211">
        <f t="shared" si="7"/>
        <v>0</v>
      </c>
      <c r="L97" s="211">
        <f t="shared" si="8"/>
        <v>0</v>
      </c>
      <c r="M97" s="211">
        <v>523</v>
      </c>
      <c r="N97" s="211">
        <f>+M97*1000/(98*1*80*60)*T97</f>
        <v>7.7827380952380958</v>
      </c>
      <c r="O97" s="211"/>
      <c r="P97" s="211">
        <f t="shared" si="9"/>
        <v>0</v>
      </c>
      <c r="Q97" s="211"/>
      <c r="R97" s="19">
        <f t="shared" si="10"/>
        <v>0</v>
      </c>
      <c r="S97" s="211">
        <f t="shared" si="11"/>
        <v>0</v>
      </c>
      <c r="T97" s="20">
        <v>7</v>
      </c>
      <c r="U97" s="20"/>
      <c r="V97" s="216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209">
        <v>300088</v>
      </c>
      <c r="B98" s="206" t="s">
        <v>87</v>
      </c>
      <c r="C98" s="219" t="s">
        <v>310</v>
      </c>
      <c r="D98" s="219" t="s">
        <v>91</v>
      </c>
      <c r="E98" s="213" t="s">
        <v>39</v>
      </c>
      <c r="F98" s="212"/>
      <c r="G98" s="133"/>
      <c r="H98" s="133"/>
      <c r="I98" s="133"/>
      <c r="J98" s="133"/>
      <c r="K98" s="211">
        <f t="shared" si="7"/>
        <v>0</v>
      </c>
      <c r="L98" s="211">
        <f t="shared" si="8"/>
        <v>0</v>
      </c>
      <c r="M98" s="211">
        <v>617.79999999999995</v>
      </c>
      <c r="N98" s="211">
        <f>+M98*1000/(123*1*80*60)*T98</f>
        <v>3.1392276422764223</v>
      </c>
      <c r="O98" s="211"/>
      <c r="P98" s="211">
        <f t="shared" si="9"/>
        <v>0</v>
      </c>
      <c r="Q98" s="211"/>
      <c r="R98" s="19">
        <f t="shared" si="10"/>
        <v>0</v>
      </c>
      <c r="S98" s="211">
        <f t="shared" si="11"/>
        <v>0</v>
      </c>
      <c r="T98" s="20">
        <v>3</v>
      </c>
      <c r="U98" s="20"/>
      <c r="V98" s="216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209">
        <v>300089</v>
      </c>
      <c r="B99" s="206" t="s">
        <v>87</v>
      </c>
      <c r="C99" s="219" t="s">
        <v>310</v>
      </c>
      <c r="D99" s="219" t="s">
        <v>91</v>
      </c>
      <c r="E99" s="213" t="s">
        <v>42</v>
      </c>
      <c r="F99" s="212"/>
      <c r="G99" s="133"/>
      <c r="H99" s="133"/>
      <c r="I99" s="133"/>
      <c r="J99" s="133"/>
      <c r="K99" s="211">
        <f t="shared" si="7"/>
        <v>0</v>
      </c>
      <c r="L99" s="211">
        <f t="shared" si="8"/>
        <v>0</v>
      </c>
      <c r="M99" s="211">
        <v>618.6</v>
      </c>
      <c r="N99" s="211">
        <f>+M99*1000/(124*1*80*60)*T99</f>
        <v>3.117943548387097</v>
      </c>
      <c r="O99" s="211"/>
      <c r="P99" s="211">
        <f t="shared" si="9"/>
        <v>0</v>
      </c>
      <c r="Q99" s="211"/>
      <c r="R99" s="19">
        <f t="shared" si="10"/>
        <v>0</v>
      </c>
      <c r="S99" s="211">
        <f t="shared" si="11"/>
        <v>0</v>
      </c>
      <c r="T99" s="20">
        <v>3</v>
      </c>
      <c r="U99" s="20"/>
      <c r="V99" s="216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209">
        <v>300128</v>
      </c>
      <c r="B100" s="206" t="s">
        <v>87</v>
      </c>
      <c r="C100" s="219" t="s">
        <v>104</v>
      </c>
      <c r="D100" s="219" t="s">
        <v>105</v>
      </c>
      <c r="E100" s="213" t="s">
        <v>35</v>
      </c>
      <c r="F100" s="212"/>
      <c r="G100" s="133"/>
      <c r="H100" s="133"/>
      <c r="I100" s="133"/>
      <c r="J100" s="133"/>
      <c r="K100" s="211">
        <f t="shared" si="7"/>
        <v>0</v>
      </c>
      <c r="L100" s="211">
        <f t="shared" si="8"/>
        <v>0</v>
      </c>
      <c r="M100" s="211">
        <v>621.29999999999995</v>
      </c>
      <c r="N100" s="211">
        <f t="shared" ref="N100:N105" si="12">+M100*1000/(130.5*1*80*60)*T100</f>
        <v>3.9674329501915708</v>
      </c>
      <c r="O100" s="211"/>
      <c r="P100" s="211">
        <f t="shared" si="9"/>
        <v>0</v>
      </c>
      <c r="Q100" s="211"/>
      <c r="R100" s="19">
        <f t="shared" si="10"/>
        <v>0</v>
      </c>
      <c r="S100" s="211">
        <f t="shared" si="11"/>
        <v>0</v>
      </c>
      <c r="T100" s="20">
        <v>4</v>
      </c>
      <c r="U100" s="20"/>
      <c r="V100" s="216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209">
        <v>300129</v>
      </c>
      <c r="B101" s="206" t="s">
        <v>87</v>
      </c>
      <c r="C101" s="219" t="s">
        <v>104</v>
      </c>
      <c r="D101" s="219" t="s">
        <v>105</v>
      </c>
      <c r="E101" s="213" t="s">
        <v>41</v>
      </c>
      <c r="F101" s="212"/>
      <c r="G101" s="133"/>
      <c r="H101" s="133"/>
      <c r="I101" s="133"/>
      <c r="J101" s="133"/>
      <c r="K101" s="211">
        <f t="shared" si="7"/>
        <v>0</v>
      </c>
      <c r="L101" s="211">
        <f t="shared" si="8"/>
        <v>0</v>
      </c>
      <c r="M101" s="211">
        <v>621.29999999999995</v>
      </c>
      <c r="N101" s="211">
        <f t="shared" si="12"/>
        <v>3.9674329501915708</v>
      </c>
      <c r="O101" s="211"/>
      <c r="P101" s="211">
        <f t="shared" si="9"/>
        <v>0</v>
      </c>
      <c r="Q101" s="211"/>
      <c r="R101" s="19">
        <f t="shared" si="10"/>
        <v>0</v>
      </c>
      <c r="S101" s="211">
        <f t="shared" si="11"/>
        <v>0</v>
      </c>
      <c r="T101" s="20">
        <v>4</v>
      </c>
      <c r="U101" s="20"/>
      <c r="V101" s="216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209">
        <v>300130</v>
      </c>
      <c r="B102" s="206" t="s">
        <v>87</v>
      </c>
      <c r="C102" s="219" t="s">
        <v>104</v>
      </c>
      <c r="D102" s="219" t="s">
        <v>105</v>
      </c>
      <c r="E102" s="213" t="s">
        <v>37</v>
      </c>
      <c r="F102" s="212"/>
      <c r="G102" s="133"/>
      <c r="H102" s="133"/>
      <c r="I102" s="133"/>
      <c r="J102" s="133"/>
      <c r="K102" s="211">
        <f t="shared" si="7"/>
        <v>0</v>
      </c>
      <c r="L102" s="211">
        <f t="shared" si="8"/>
        <v>0</v>
      </c>
      <c r="M102" s="211">
        <v>621.29999999999995</v>
      </c>
      <c r="N102" s="211">
        <f t="shared" si="12"/>
        <v>3.9674329501915708</v>
      </c>
      <c r="O102" s="211"/>
      <c r="P102" s="211">
        <f t="shared" si="9"/>
        <v>0</v>
      </c>
      <c r="Q102" s="211"/>
      <c r="R102" s="19">
        <f t="shared" si="10"/>
        <v>0</v>
      </c>
      <c r="S102" s="211">
        <f t="shared" si="11"/>
        <v>0</v>
      </c>
      <c r="T102" s="20">
        <v>4</v>
      </c>
      <c r="U102" s="20"/>
      <c r="V102" s="216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209">
        <v>300423</v>
      </c>
      <c r="B103" s="206" t="s">
        <v>292</v>
      </c>
      <c r="C103" s="230" t="s">
        <v>288</v>
      </c>
      <c r="D103" s="231"/>
      <c r="E103" s="213" t="s">
        <v>289</v>
      </c>
      <c r="F103" s="212"/>
      <c r="G103" s="133"/>
      <c r="H103" s="133"/>
      <c r="I103" s="133"/>
      <c r="J103" s="133"/>
      <c r="K103" s="211">
        <f t="shared" si="7"/>
        <v>0</v>
      </c>
      <c r="L103" s="211">
        <f t="shared" si="8"/>
        <v>0</v>
      </c>
      <c r="M103" s="211">
        <v>524.1</v>
      </c>
      <c r="N103" s="211">
        <f t="shared" si="12"/>
        <v>3.3467432950191571</v>
      </c>
      <c r="O103" s="211"/>
      <c r="P103" s="211">
        <f t="shared" si="9"/>
        <v>0</v>
      </c>
      <c r="Q103" s="211"/>
      <c r="R103" s="19">
        <f t="shared" si="10"/>
        <v>0</v>
      </c>
      <c r="S103" s="211">
        <f t="shared" si="11"/>
        <v>0</v>
      </c>
      <c r="T103" s="20">
        <v>4</v>
      </c>
      <c r="U103" s="20"/>
      <c r="V103" s="216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209">
        <v>300424</v>
      </c>
      <c r="B104" s="206" t="s">
        <v>292</v>
      </c>
      <c r="C104" s="230" t="s">
        <v>288</v>
      </c>
      <c r="D104" s="231"/>
      <c r="E104" s="213" t="s">
        <v>290</v>
      </c>
      <c r="F104" s="212"/>
      <c r="G104" s="133"/>
      <c r="H104" s="133"/>
      <c r="I104" s="133"/>
      <c r="J104" s="133"/>
      <c r="K104" s="211">
        <f t="shared" si="7"/>
        <v>0</v>
      </c>
      <c r="L104" s="211">
        <f t="shared" si="8"/>
        <v>0</v>
      </c>
      <c r="M104" s="211">
        <v>524.1</v>
      </c>
      <c r="N104" s="211">
        <f t="shared" si="12"/>
        <v>3.3467432950191571</v>
      </c>
      <c r="O104" s="211"/>
      <c r="P104" s="211">
        <f t="shared" si="9"/>
        <v>0</v>
      </c>
      <c r="Q104" s="211"/>
      <c r="R104" s="19">
        <f t="shared" si="10"/>
        <v>0</v>
      </c>
      <c r="S104" s="211">
        <f t="shared" si="11"/>
        <v>0</v>
      </c>
      <c r="T104" s="20">
        <v>4</v>
      </c>
      <c r="U104" s="20"/>
      <c r="V104" s="216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209">
        <v>300425</v>
      </c>
      <c r="B105" s="206" t="s">
        <v>292</v>
      </c>
      <c r="C105" s="230" t="s">
        <v>288</v>
      </c>
      <c r="D105" s="231"/>
      <c r="E105" s="213" t="s">
        <v>291</v>
      </c>
      <c r="F105" s="212"/>
      <c r="G105" s="133"/>
      <c r="H105" s="133"/>
      <c r="I105" s="133"/>
      <c r="J105" s="133"/>
      <c r="K105" s="211">
        <f t="shared" si="7"/>
        <v>0</v>
      </c>
      <c r="L105" s="211">
        <f t="shared" si="8"/>
        <v>0</v>
      </c>
      <c r="M105" s="211">
        <v>524.1</v>
      </c>
      <c r="N105" s="211">
        <f t="shared" si="12"/>
        <v>3.3467432950191571</v>
      </c>
      <c r="O105" s="211"/>
      <c r="P105" s="211">
        <f t="shared" si="9"/>
        <v>0</v>
      </c>
      <c r="Q105" s="211"/>
      <c r="R105" s="19">
        <f t="shared" si="10"/>
        <v>0</v>
      </c>
      <c r="S105" s="211">
        <f t="shared" si="11"/>
        <v>0</v>
      </c>
      <c r="T105" s="20">
        <v>4</v>
      </c>
      <c r="U105" s="20"/>
      <c r="V105" s="216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209">
        <v>300390</v>
      </c>
      <c r="B106" s="206" t="s">
        <v>292</v>
      </c>
      <c r="C106" s="230" t="s">
        <v>106</v>
      </c>
      <c r="D106" s="231"/>
      <c r="E106" s="213" t="s">
        <v>107</v>
      </c>
      <c r="F106" s="212"/>
      <c r="G106" s="133"/>
      <c r="H106" s="133"/>
      <c r="I106" s="133"/>
      <c r="J106" s="133"/>
      <c r="K106" s="211">
        <f t="shared" si="7"/>
        <v>0</v>
      </c>
      <c r="L106" s="211">
        <f t="shared" si="8"/>
        <v>0</v>
      </c>
      <c r="M106" s="211">
        <v>417.4</v>
      </c>
      <c r="N106" s="211">
        <f>+M106*1000/(87*1*80*60)*T106</f>
        <v>3.9980842911877397</v>
      </c>
      <c r="O106" s="211"/>
      <c r="P106" s="211">
        <f t="shared" si="9"/>
        <v>0</v>
      </c>
      <c r="Q106" s="211"/>
      <c r="R106" s="19">
        <f t="shared" si="10"/>
        <v>0</v>
      </c>
      <c r="S106" s="211">
        <f t="shared" si="11"/>
        <v>0</v>
      </c>
      <c r="T106" s="20">
        <v>4</v>
      </c>
      <c r="U106" s="20"/>
      <c r="V106" s="216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customHeight="1">
      <c r="A107" s="209">
        <v>300391</v>
      </c>
      <c r="B107" s="206">
        <v>5001</v>
      </c>
      <c r="C107" s="230" t="s">
        <v>106</v>
      </c>
      <c r="D107" s="231"/>
      <c r="E107" s="213" t="s">
        <v>109</v>
      </c>
      <c r="F107" s="212">
        <v>2089</v>
      </c>
      <c r="G107" s="133">
        <v>6</v>
      </c>
      <c r="H107" s="133"/>
      <c r="I107" s="133">
        <f>6-J107/400</f>
        <v>5.875</v>
      </c>
      <c r="J107" s="133">
        <v>50</v>
      </c>
      <c r="K107" s="211">
        <f t="shared" si="7"/>
        <v>2504.3999999999996</v>
      </c>
      <c r="L107" s="211">
        <f t="shared" si="8"/>
        <v>2452.2249999999999</v>
      </c>
      <c r="M107" s="211">
        <v>417.4</v>
      </c>
      <c r="N107" s="211">
        <f>+M107*1000/(87*1*80*60)*T107</f>
        <v>3.9980842911877397</v>
      </c>
      <c r="O107" s="211">
        <v>0.5</v>
      </c>
      <c r="P107" s="211">
        <f t="shared" si="9"/>
        <v>26.48874521072797</v>
      </c>
      <c r="Q107" s="211">
        <v>4.5</v>
      </c>
      <c r="R107" s="19">
        <f t="shared" si="10"/>
        <v>27</v>
      </c>
      <c r="S107" s="211">
        <f t="shared" si="11"/>
        <v>0.51125478927203005</v>
      </c>
      <c r="T107" s="20">
        <v>4</v>
      </c>
      <c r="U107" s="20">
        <v>6</v>
      </c>
      <c r="V107" s="216">
        <f t="array" ref="V107">IF(ISERROR(L107/K107),"",L107/K107)</f>
        <v>0.97916666666666674</v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hidden="1" customHeight="1">
      <c r="A108" s="209">
        <v>300431</v>
      </c>
      <c r="B108" s="206" t="s">
        <v>292</v>
      </c>
      <c r="C108" s="230" t="s">
        <v>297</v>
      </c>
      <c r="D108" s="231"/>
      <c r="E108" s="213" t="s">
        <v>298</v>
      </c>
      <c r="F108" s="212"/>
      <c r="G108" s="133"/>
      <c r="H108" s="133"/>
      <c r="I108" s="133"/>
      <c r="J108" s="133"/>
      <c r="K108" s="211">
        <f t="shared" si="7"/>
        <v>0</v>
      </c>
      <c r="L108" s="211">
        <f t="shared" si="8"/>
        <v>0</v>
      </c>
      <c r="M108" s="211">
        <v>628.79999999999995</v>
      </c>
      <c r="N108" s="211">
        <f>+M108*1000/(87*1*80*60)*T108</f>
        <v>6.0229885057471266</v>
      </c>
      <c r="O108" s="211"/>
      <c r="P108" s="211">
        <f t="shared" si="9"/>
        <v>0</v>
      </c>
      <c r="Q108" s="211"/>
      <c r="R108" s="19">
        <f t="shared" si="10"/>
        <v>0</v>
      </c>
      <c r="S108" s="211">
        <f t="shared" si="11"/>
        <v>0</v>
      </c>
      <c r="T108" s="20">
        <v>4</v>
      </c>
      <c r="U108" s="20"/>
      <c r="V108" s="216" t="str">
        <f t="array" ref="V108">IF(ISERROR(L108/K108),"",L108/K108)</f>
        <v/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hidden="1" customHeight="1">
      <c r="A109" s="209">
        <v>300432</v>
      </c>
      <c r="B109" s="206" t="s">
        <v>292</v>
      </c>
      <c r="C109" s="230" t="s">
        <v>297</v>
      </c>
      <c r="D109" s="231"/>
      <c r="E109" s="213" t="s">
        <v>299</v>
      </c>
      <c r="F109" s="212"/>
      <c r="G109" s="133"/>
      <c r="H109" s="133"/>
      <c r="I109" s="133"/>
      <c r="J109" s="133"/>
      <c r="K109" s="211">
        <f t="shared" si="7"/>
        <v>0</v>
      </c>
      <c r="L109" s="211">
        <f t="shared" si="8"/>
        <v>0</v>
      </c>
      <c r="M109" s="211">
        <v>628.79999999999995</v>
      </c>
      <c r="N109" s="211">
        <f>+M109*1000/(87*1*80*60)*T109</f>
        <v>6.0229885057471266</v>
      </c>
      <c r="O109" s="211"/>
      <c r="P109" s="211">
        <f t="shared" si="9"/>
        <v>0</v>
      </c>
      <c r="Q109" s="211"/>
      <c r="R109" s="19">
        <f t="shared" si="10"/>
        <v>0</v>
      </c>
      <c r="S109" s="211">
        <f t="shared" si="11"/>
        <v>0</v>
      </c>
      <c r="T109" s="20">
        <v>4</v>
      </c>
      <c r="U109" s="20"/>
      <c r="V109" s="216" t="str">
        <f t="array" ref="V109">IF(ISERROR(L109/K109),"",L109/K109)</f>
        <v/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hidden="1" customHeight="1">
      <c r="A110" s="209">
        <v>300433</v>
      </c>
      <c r="B110" s="206" t="s">
        <v>292</v>
      </c>
      <c r="C110" s="230" t="s">
        <v>297</v>
      </c>
      <c r="D110" s="231"/>
      <c r="E110" s="134" t="s">
        <v>300</v>
      </c>
      <c r="F110" s="212"/>
      <c r="G110" s="133"/>
      <c r="H110" s="133"/>
      <c r="I110" s="133"/>
      <c r="J110" s="133"/>
      <c r="K110" s="211">
        <f t="shared" si="7"/>
        <v>0</v>
      </c>
      <c r="L110" s="211">
        <f t="shared" si="8"/>
        <v>0</v>
      </c>
      <c r="M110" s="211">
        <v>628.79999999999995</v>
      </c>
      <c r="N110" s="211">
        <f>+M110*1000/(87*1*80*60)*T110</f>
        <v>6.0229885057471266</v>
      </c>
      <c r="O110" s="211"/>
      <c r="P110" s="211">
        <f t="shared" si="9"/>
        <v>0</v>
      </c>
      <c r="Q110" s="211"/>
      <c r="R110" s="19">
        <f t="shared" si="10"/>
        <v>0</v>
      </c>
      <c r="S110" s="211">
        <f t="shared" si="11"/>
        <v>0</v>
      </c>
      <c r="T110" s="20">
        <v>4</v>
      </c>
      <c r="U110" s="20"/>
      <c r="V110" s="216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hidden="1" customHeight="1">
      <c r="A111" s="209">
        <v>300074</v>
      </c>
      <c r="B111" s="206" t="s">
        <v>110</v>
      </c>
      <c r="C111" s="219" t="s">
        <v>111</v>
      </c>
      <c r="D111" s="219" t="s">
        <v>112</v>
      </c>
      <c r="E111" s="213" t="s">
        <v>54</v>
      </c>
      <c r="F111" s="212"/>
      <c r="G111" s="133"/>
      <c r="H111" s="133"/>
      <c r="I111" s="133"/>
      <c r="J111" s="133"/>
      <c r="K111" s="211">
        <f t="shared" si="7"/>
        <v>0</v>
      </c>
      <c r="L111" s="211">
        <f t="shared" si="8"/>
        <v>0</v>
      </c>
      <c r="M111" s="211">
        <v>290.8</v>
      </c>
      <c r="N111" s="211">
        <f>+M111*1000/(88*4*13*60)*T111</f>
        <v>3.1774475524475525</v>
      </c>
      <c r="O111" s="211"/>
      <c r="P111" s="211">
        <f t="shared" si="9"/>
        <v>0</v>
      </c>
      <c r="Q111" s="211"/>
      <c r="R111" s="19">
        <f t="shared" si="10"/>
        <v>0</v>
      </c>
      <c r="S111" s="211">
        <f t="shared" si="11"/>
        <v>0</v>
      </c>
      <c r="T111" s="20">
        <v>3</v>
      </c>
      <c r="U111" s="20"/>
      <c r="V111" s="216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customHeight="1">
      <c r="A112" s="209">
        <v>300076</v>
      </c>
      <c r="B112" s="206">
        <v>6502</v>
      </c>
      <c r="C112" s="219" t="s">
        <v>111</v>
      </c>
      <c r="D112" s="219" t="s">
        <v>112</v>
      </c>
      <c r="E112" s="213" t="s">
        <v>35</v>
      </c>
      <c r="F112" s="212">
        <v>2155</v>
      </c>
      <c r="G112" s="133">
        <v>11</v>
      </c>
      <c r="H112" s="133">
        <v>0.4</v>
      </c>
      <c r="I112" s="133">
        <f>11+H112-J112/200</f>
        <v>10.9</v>
      </c>
      <c r="J112" s="133">
        <v>100</v>
      </c>
      <c r="K112" s="211">
        <f t="shared" si="7"/>
        <v>3334.1000000000004</v>
      </c>
      <c r="L112" s="211">
        <f t="shared" si="8"/>
        <v>3303.7900000000004</v>
      </c>
      <c r="M112" s="211">
        <v>303.10000000000002</v>
      </c>
      <c r="N112" s="211">
        <f>+M112*1000/(88*4*12*60)*T112</f>
        <v>4.7837752525252526</v>
      </c>
      <c r="O112" s="211"/>
      <c r="P112" s="211">
        <f t="shared" si="9"/>
        <v>52.143150252525253</v>
      </c>
      <c r="Q112" s="211">
        <v>11</v>
      </c>
      <c r="R112" s="19">
        <f t="shared" si="10"/>
        <v>44</v>
      </c>
      <c r="S112" s="211">
        <f t="shared" si="11"/>
        <v>-8.1431502525252526</v>
      </c>
      <c r="T112" s="20">
        <v>4</v>
      </c>
      <c r="U112" s="20">
        <v>4</v>
      </c>
      <c r="V112" s="216">
        <f t="array" ref="V112">IF(ISERROR(L112/K112),"",L112/K112)</f>
        <v>0.99090909090909096</v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hidden="1" customHeight="1">
      <c r="A113" s="209">
        <v>300096</v>
      </c>
      <c r="B113" s="206" t="s">
        <v>110</v>
      </c>
      <c r="C113" s="219" t="s">
        <v>113</v>
      </c>
      <c r="D113" s="219" t="s">
        <v>114</v>
      </c>
      <c r="E113" s="213" t="s">
        <v>37</v>
      </c>
      <c r="F113" s="212"/>
      <c r="G113" s="133"/>
      <c r="H113" s="133"/>
      <c r="I113" s="133"/>
      <c r="J113" s="133"/>
      <c r="K113" s="211">
        <f t="shared" si="7"/>
        <v>0</v>
      </c>
      <c r="L113" s="211">
        <f t="shared" si="8"/>
        <v>0</v>
      </c>
      <c r="M113" s="211">
        <v>480.13</v>
      </c>
      <c r="N113" s="211">
        <f>+M113*1000/(126.5*4*12*60)*T113</f>
        <v>2.6357597716293371</v>
      </c>
      <c r="O113" s="211"/>
      <c r="P113" s="211">
        <f t="shared" si="9"/>
        <v>0</v>
      </c>
      <c r="Q113" s="211"/>
      <c r="R113" s="19">
        <f t="shared" si="10"/>
        <v>0</v>
      </c>
      <c r="S113" s="211">
        <f t="shared" si="11"/>
        <v>0</v>
      </c>
      <c r="T113" s="20">
        <v>2</v>
      </c>
      <c r="U113" s="20"/>
      <c r="V113" s="216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209"/>
      <c r="B114" s="206" t="s">
        <v>110</v>
      </c>
      <c r="C114" s="219" t="s">
        <v>113</v>
      </c>
      <c r="D114" s="219" t="s">
        <v>114</v>
      </c>
      <c r="E114" s="213" t="s">
        <v>35</v>
      </c>
      <c r="F114" s="212"/>
      <c r="G114" s="133"/>
      <c r="H114" s="133"/>
      <c r="I114" s="133"/>
      <c r="J114" s="133"/>
      <c r="K114" s="211">
        <f t="shared" si="7"/>
        <v>0</v>
      </c>
      <c r="L114" s="211">
        <f t="shared" si="8"/>
        <v>0</v>
      </c>
      <c r="M114" s="211">
        <v>480.13</v>
      </c>
      <c r="N114" s="211">
        <f>+M114*1000/(126.5*4*12*60)*T114</f>
        <v>2.6357597716293371</v>
      </c>
      <c r="O114" s="211"/>
      <c r="P114" s="211">
        <f t="shared" si="9"/>
        <v>0</v>
      </c>
      <c r="Q114" s="211"/>
      <c r="R114" s="19">
        <f t="shared" si="10"/>
        <v>0</v>
      </c>
      <c r="S114" s="211">
        <f t="shared" si="11"/>
        <v>0</v>
      </c>
      <c r="T114" s="20">
        <v>2</v>
      </c>
      <c r="U114" s="20"/>
      <c r="V114" s="216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2.5" hidden="1" customHeight="1">
      <c r="A115" s="209">
        <v>300097</v>
      </c>
      <c r="B115" s="206" t="s">
        <v>110</v>
      </c>
      <c r="C115" s="219" t="s">
        <v>113</v>
      </c>
      <c r="D115" s="219" t="s">
        <v>114</v>
      </c>
      <c r="E115" s="213" t="s">
        <v>63</v>
      </c>
      <c r="F115" s="212"/>
      <c r="G115" s="133"/>
      <c r="H115" s="133"/>
      <c r="I115" s="133"/>
      <c r="J115" s="133"/>
      <c r="K115" s="211">
        <f t="shared" si="7"/>
        <v>0</v>
      </c>
      <c r="L115" s="211">
        <f t="shared" si="8"/>
        <v>0</v>
      </c>
      <c r="M115" s="211">
        <v>480.13</v>
      </c>
      <c r="N115" s="211">
        <f>+M115*1000/(126.5*4*12*60)*T115</f>
        <v>2.6357597716293371</v>
      </c>
      <c r="O115" s="211"/>
      <c r="P115" s="211">
        <f t="shared" si="9"/>
        <v>0</v>
      </c>
      <c r="Q115" s="211"/>
      <c r="R115" s="19">
        <f t="shared" si="10"/>
        <v>0</v>
      </c>
      <c r="S115" s="211">
        <f t="shared" si="11"/>
        <v>0</v>
      </c>
      <c r="T115" s="20">
        <v>2</v>
      </c>
      <c r="U115" s="20"/>
      <c r="V115" s="216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206">
        <v>300294</v>
      </c>
      <c r="B116" s="206" t="s">
        <v>110</v>
      </c>
      <c r="C116" s="219" t="s">
        <v>115</v>
      </c>
      <c r="D116" s="219"/>
      <c r="E116" s="213" t="s">
        <v>41</v>
      </c>
      <c r="F116" s="212"/>
      <c r="G116" s="133"/>
      <c r="H116" s="133"/>
      <c r="I116" s="133"/>
      <c r="J116" s="133"/>
      <c r="K116" s="211">
        <f t="shared" si="7"/>
        <v>0</v>
      </c>
      <c r="L116" s="211">
        <f t="shared" si="8"/>
        <v>0</v>
      </c>
      <c r="M116" s="211">
        <v>373.14</v>
      </c>
      <c r="N116" s="211">
        <f t="shared" ref="N116:N125" si="13">+M116*1000/(90*4*14*60)*T116</f>
        <v>3.7017857142857142</v>
      </c>
      <c r="O116" s="211"/>
      <c r="P116" s="211">
        <f t="shared" si="9"/>
        <v>0</v>
      </c>
      <c r="Q116" s="211"/>
      <c r="R116" s="19">
        <f t="shared" si="10"/>
        <v>0</v>
      </c>
      <c r="S116" s="211">
        <f t="shared" si="11"/>
        <v>0</v>
      </c>
      <c r="T116" s="20">
        <v>3</v>
      </c>
      <c r="U116" s="20"/>
      <c r="V116" s="216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06">
        <v>300295</v>
      </c>
      <c r="B117" s="206" t="s">
        <v>116</v>
      </c>
      <c r="C117" s="219" t="s">
        <v>117</v>
      </c>
      <c r="D117" s="219"/>
      <c r="E117" s="213" t="s">
        <v>118</v>
      </c>
      <c r="F117" s="212"/>
      <c r="G117" s="133"/>
      <c r="H117" s="133"/>
      <c r="I117" s="133"/>
      <c r="J117" s="133"/>
      <c r="K117" s="211">
        <f t="shared" si="7"/>
        <v>0</v>
      </c>
      <c r="L117" s="211">
        <f t="shared" si="8"/>
        <v>0</v>
      </c>
      <c r="M117" s="211">
        <v>373.14</v>
      </c>
      <c r="N117" s="211">
        <f t="shared" si="13"/>
        <v>3.7017857142857142</v>
      </c>
      <c r="O117" s="211"/>
      <c r="P117" s="211">
        <f t="shared" si="9"/>
        <v>0</v>
      </c>
      <c r="Q117" s="211"/>
      <c r="R117" s="19">
        <f t="shared" si="10"/>
        <v>0</v>
      </c>
      <c r="S117" s="211">
        <f t="shared" si="11"/>
        <v>0</v>
      </c>
      <c r="T117" s="20">
        <v>3</v>
      </c>
      <c r="U117" s="20"/>
      <c r="V117" s="216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06">
        <v>300258</v>
      </c>
      <c r="B118" s="206" t="s">
        <v>110</v>
      </c>
      <c r="C118" s="219" t="s">
        <v>115</v>
      </c>
      <c r="D118" s="219"/>
      <c r="E118" s="213" t="s">
        <v>42</v>
      </c>
      <c r="F118" s="212"/>
      <c r="G118" s="133"/>
      <c r="H118" s="133"/>
      <c r="I118" s="133"/>
      <c r="J118" s="133"/>
      <c r="K118" s="211">
        <f t="shared" si="7"/>
        <v>0</v>
      </c>
      <c r="L118" s="211">
        <f t="shared" si="8"/>
        <v>0</v>
      </c>
      <c r="M118" s="211">
        <v>373.14</v>
      </c>
      <c r="N118" s="211">
        <f t="shared" si="13"/>
        <v>3.7017857142857142</v>
      </c>
      <c r="O118" s="211"/>
      <c r="P118" s="211">
        <f t="shared" si="9"/>
        <v>0</v>
      </c>
      <c r="Q118" s="211"/>
      <c r="R118" s="19">
        <f t="shared" si="10"/>
        <v>0</v>
      </c>
      <c r="S118" s="211">
        <f t="shared" si="11"/>
        <v>0</v>
      </c>
      <c r="T118" s="20">
        <v>3</v>
      </c>
      <c r="U118" s="20"/>
      <c r="V118" s="216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06">
        <v>300256</v>
      </c>
      <c r="B119" s="206" t="s">
        <v>110</v>
      </c>
      <c r="C119" s="219" t="s">
        <v>115</v>
      </c>
      <c r="D119" s="219"/>
      <c r="E119" s="213" t="s">
        <v>74</v>
      </c>
      <c r="F119" s="212"/>
      <c r="G119" s="133"/>
      <c r="H119" s="133"/>
      <c r="I119" s="133"/>
      <c r="J119" s="133"/>
      <c r="K119" s="211">
        <f t="shared" si="7"/>
        <v>0</v>
      </c>
      <c r="L119" s="211">
        <f t="shared" si="8"/>
        <v>0</v>
      </c>
      <c r="M119" s="211">
        <v>373.14</v>
      </c>
      <c r="N119" s="211">
        <f t="shared" si="13"/>
        <v>3.7017857142857142</v>
      </c>
      <c r="O119" s="211"/>
      <c r="P119" s="211">
        <f t="shared" si="9"/>
        <v>0</v>
      </c>
      <c r="Q119" s="211"/>
      <c r="R119" s="19">
        <f t="shared" si="10"/>
        <v>0</v>
      </c>
      <c r="S119" s="211">
        <f t="shared" si="11"/>
        <v>0</v>
      </c>
      <c r="T119" s="20">
        <v>3</v>
      </c>
      <c r="U119" s="20"/>
      <c r="V119" s="216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06">
        <v>300259</v>
      </c>
      <c r="B120" s="206" t="s">
        <v>110</v>
      </c>
      <c r="C120" s="219" t="s">
        <v>115</v>
      </c>
      <c r="D120" s="219"/>
      <c r="E120" s="213" t="s">
        <v>40</v>
      </c>
      <c r="F120" s="212"/>
      <c r="G120" s="133"/>
      <c r="H120" s="133"/>
      <c r="I120" s="133"/>
      <c r="J120" s="133"/>
      <c r="K120" s="211">
        <f t="shared" si="7"/>
        <v>0</v>
      </c>
      <c r="L120" s="211">
        <f t="shared" si="8"/>
        <v>0</v>
      </c>
      <c r="M120" s="211">
        <v>373.14</v>
      </c>
      <c r="N120" s="211">
        <f t="shared" si="13"/>
        <v>3.7017857142857142</v>
      </c>
      <c r="O120" s="211"/>
      <c r="P120" s="211">
        <f t="shared" si="9"/>
        <v>0</v>
      </c>
      <c r="Q120" s="211"/>
      <c r="R120" s="19">
        <f t="shared" si="10"/>
        <v>0</v>
      </c>
      <c r="S120" s="211">
        <f t="shared" si="11"/>
        <v>0</v>
      </c>
      <c r="T120" s="20">
        <v>3</v>
      </c>
      <c r="U120" s="20"/>
      <c r="V120" s="216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06">
        <v>300345</v>
      </c>
      <c r="B121" s="206" t="s">
        <v>110</v>
      </c>
      <c r="C121" s="219" t="s">
        <v>119</v>
      </c>
      <c r="D121" s="219"/>
      <c r="E121" s="213" t="s">
        <v>74</v>
      </c>
      <c r="F121" s="212"/>
      <c r="G121" s="133"/>
      <c r="H121" s="133"/>
      <c r="I121" s="133"/>
      <c r="J121" s="133"/>
      <c r="K121" s="211">
        <f t="shared" si="7"/>
        <v>0</v>
      </c>
      <c r="L121" s="211">
        <f t="shared" si="8"/>
        <v>0</v>
      </c>
      <c r="M121" s="211">
        <v>373.14</v>
      </c>
      <c r="N121" s="211">
        <f t="shared" si="13"/>
        <v>3.7017857142857142</v>
      </c>
      <c r="O121" s="41"/>
      <c r="P121" s="211">
        <f t="shared" si="9"/>
        <v>0</v>
      </c>
      <c r="Q121" s="41"/>
      <c r="R121" s="19">
        <f t="shared" si="10"/>
        <v>0</v>
      </c>
      <c r="S121" s="211">
        <f t="shared" si="11"/>
        <v>0</v>
      </c>
      <c r="T121" s="20">
        <v>3</v>
      </c>
      <c r="U121" s="41"/>
      <c r="V121" s="216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06">
        <v>300346</v>
      </c>
      <c r="B122" s="206" t="s">
        <v>110</v>
      </c>
      <c r="C122" s="219" t="s">
        <v>119</v>
      </c>
      <c r="D122" s="219"/>
      <c r="E122" s="213" t="s">
        <v>42</v>
      </c>
      <c r="F122" s="212"/>
      <c r="G122" s="133"/>
      <c r="H122" s="133"/>
      <c r="I122" s="133"/>
      <c r="J122" s="133"/>
      <c r="K122" s="211">
        <f t="shared" si="7"/>
        <v>0</v>
      </c>
      <c r="L122" s="211">
        <f t="shared" si="8"/>
        <v>0</v>
      </c>
      <c r="M122" s="211">
        <v>373.14</v>
      </c>
      <c r="N122" s="211">
        <f t="shared" si="13"/>
        <v>3.7017857142857142</v>
      </c>
      <c r="O122" s="41"/>
      <c r="P122" s="211">
        <f t="shared" si="9"/>
        <v>0</v>
      </c>
      <c r="Q122" s="41"/>
      <c r="R122" s="19">
        <f t="shared" si="10"/>
        <v>0</v>
      </c>
      <c r="S122" s="211">
        <f t="shared" si="11"/>
        <v>0</v>
      </c>
      <c r="T122" s="20">
        <v>3</v>
      </c>
      <c r="U122" s="41"/>
      <c r="V122" s="216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06">
        <v>300347</v>
      </c>
      <c r="B123" s="206" t="s">
        <v>110</v>
      </c>
      <c r="C123" s="219" t="s">
        <v>119</v>
      </c>
      <c r="D123" s="219"/>
      <c r="E123" s="213" t="s">
        <v>41</v>
      </c>
      <c r="F123" s="212"/>
      <c r="G123" s="133"/>
      <c r="H123" s="133"/>
      <c r="I123" s="133"/>
      <c r="J123" s="133"/>
      <c r="K123" s="211">
        <f t="shared" si="7"/>
        <v>0</v>
      </c>
      <c r="L123" s="211">
        <f t="shared" si="8"/>
        <v>0</v>
      </c>
      <c r="M123" s="211">
        <v>373.14</v>
      </c>
      <c r="N123" s="211">
        <f t="shared" si="13"/>
        <v>3.7017857142857142</v>
      </c>
      <c r="O123" s="41"/>
      <c r="P123" s="211">
        <f t="shared" si="9"/>
        <v>0</v>
      </c>
      <c r="Q123" s="41"/>
      <c r="R123" s="19">
        <f t="shared" si="10"/>
        <v>0</v>
      </c>
      <c r="S123" s="211">
        <f t="shared" si="11"/>
        <v>0</v>
      </c>
      <c r="T123" s="20">
        <v>3</v>
      </c>
      <c r="U123" s="41"/>
      <c r="V123" s="216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06">
        <v>300348</v>
      </c>
      <c r="B124" s="206" t="s">
        <v>110</v>
      </c>
      <c r="C124" s="219" t="s">
        <v>119</v>
      </c>
      <c r="D124" s="219"/>
      <c r="E124" s="213" t="s">
        <v>118</v>
      </c>
      <c r="F124" s="212"/>
      <c r="G124" s="133"/>
      <c r="H124" s="133"/>
      <c r="I124" s="133"/>
      <c r="J124" s="133"/>
      <c r="K124" s="211">
        <f t="shared" si="7"/>
        <v>0</v>
      </c>
      <c r="L124" s="211">
        <f t="shared" si="8"/>
        <v>0</v>
      </c>
      <c r="M124" s="211">
        <v>373.14</v>
      </c>
      <c r="N124" s="211">
        <f t="shared" si="13"/>
        <v>3.7017857142857142</v>
      </c>
      <c r="O124" s="41"/>
      <c r="P124" s="211">
        <f t="shared" si="9"/>
        <v>0</v>
      </c>
      <c r="Q124" s="41"/>
      <c r="R124" s="19">
        <f t="shared" si="10"/>
        <v>0</v>
      </c>
      <c r="S124" s="211">
        <f t="shared" si="11"/>
        <v>0</v>
      </c>
      <c r="T124" s="20">
        <v>3</v>
      </c>
      <c r="U124" s="41"/>
      <c r="V124" s="216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06">
        <v>300349</v>
      </c>
      <c r="B125" s="206" t="s">
        <v>110</v>
      </c>
      <c r="C125" s="219" t="s">
        <v>119</v>
      </c>
      <c r="D125" s="219"/>
      <c r="E125" s="213" t="s">
        <v>40</v>
      </c>
      <c r="F125" s="212"/>
      <c r="G125" s="133"/>
      <c r="H125" s="133"/>
      <c r="I125" s="133"/>
      <c r="J125" s="133"/>
      <c r="K125" s="211">
        <f t="shared" si="7"/>
        <v>0</v>
      </c>
      <c r="L125" s="211">
        <f t="shared" si="8"/>
        <v>0</v>
      </c>
      <c r="M125" s="211">
        <v>373.14</v>
      </c>
      <c r="N125" s="211">
        <f t="shared" si="13"/>
        <v>3.7017857142857142</v>
      </c>
      <c r="O125" s="41"/>
      <c r="P125" s="211">
        <f t="shared" si="9"/>
        <v>0</v>
      </c>
      <c r="Q125" s="41"/>
      <c r="R125" s="19">
        <f t="shared" si="10"/>
        <v>0</v>
      </c>
      <c r="S125" s="211">
        <f t="shared" si="11"/>
        <v>0</v>
      </c>
      <c r="T125" s="20">
        <v>3</v>
      </c>
      <c r="U125" s="41"/>
      <c r="V125" s="216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06">
        <v>300298</v>
      </c>
      <c r="B126" s="206" t="s">
        <v>110</v>
      </c>
      <c r="C126" s="219" t="s">
        <v>120</v>
      </c>
      <c r="D126" s="219"/>
      <c r="E126" s="213" t="s">
        <v>54</v>
      </c>
      <c r="F126" s="212"/>
      <c r="G126" s="133"/>
      <c r="H126" s="133"/>
      <c r="I126" s="133"/>
      <c r="J126" s="133"/>
      <c r="K126" s="211">
        <f t="shared" si="7"/>
        <v>0</v>
      </c>
      <c r="L126" s="211">
        <f t="shared" si="8"/>
        <v>0</v>
      </c>
      <c r="M126" s="211">
        <v>380.63</v>
      </c>
      <c r="N126" s="211">
        <f t="shared" ref="N126:N131" si="14">+M126*1000/(94.7*4*15*60)*T126</f>
        <v>4.4659157573624313</v>
      </c>
      <c r="O126" s="211"/>
      <c r="P126" s="211">
        <f t="shared" si="9"/>
        <v>0</v>
      </c>
      <c r="Q126" s="211"/>
      <c r="R126" s="19">
        <f t="shared" si="10"/>
        <v>0</v>
      </c>
      <c r="S126" s="211">
        <f t="shared" si="11"/>
        <v>0</v>
      </c>
      <c r="T126" s="20">
        <v>4</v>
      </c>
      <c r="U126" s="20"/>
      <c r="V126" s="216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06">
        <v>300299</v>
      </c>
      <c r="B127" s="206" t="s">
        <v>110</v>
      </c>
      <c r="C127" s="219" t="s">
        <v>120</v>
      </c>
      <c r="D127" s="219"/>
      <c r="E127" s="213" t="s">
        <v>39</v>
      </c>
      <c r="F127" s="212"/>
      <c r="G127" s="133"/>
      <c r="H127" s="133"/>
      <c r="I127" s="133"/>
      <c r="J127" s="133"/>
      <c r="K127" s="211">
        <f t="shared" si="7"/>
        <v>0</v>
      </c>
      <c r="L127" s="211">
        <f t="shared" si="8"/>
        <v>0</v>
      </c>
      <c r="M127" s="211">
        <v>380.63</v>
      </c>
      <c r="N127" s="211">
        <f t="shared" si="14"/>
        <v>4.4659157573624313</v>
      </c>
      <c r="O127" s="211"/>
      <c r="P127" s="211">
        <f t="shared" si="9"/>
        <v>0</v>
      </c>
      <c r="Q127" s="211"/>
      <c r="R127" s="19">
        <f t="shared" si="10"/>
        <v>0</v>
      </c>
      <c r="S127" s="211">
        <f t="shared" si="11"/>
        <v>0</v>
      </c>
      <c r="T127" s="20">
        <v>4</v>
      </c>
      <c r="U127" s="20"/>
      <c r="V127" s="216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06">
        <v>300296</v>
      </c>
      <c r="B128" s="206" t="s">
        <v>110</v>
      </c>
      <c r="C128" s="219" t="s">
        <v>120</v>
      </c>
      <c r="D128" s="219"/>
      <c r="E128" s="213" t="s">
        <v>41</v>
      </c>
      <c r="F128" s="212"/>
      <c r="G128" s="133"/>
      <c r="H128" s="133"/>
      <c r="I128" s="133"/>
      <c r="J128" s="133"/>
      <c r="K128" s="211">
        <f t="shared" si="7"/>
        <v>0</v>
      </c>
      <c r="L128" s="211">
        <f t="shared" si="8"/>
        <v>0</v>
      </c>
      <c r="M128" s="211">
        <v>380.63</v>
      </c>
      <c r="N128" s="211">
        <f t="shared" si="14"/>
        <v>4.4659157573624313</v>
      </c>
      <c r="O128" s="211"/>
      <c r="P128" s="211">
        <f t="shared" si="9"/>
        <v>0</v>
      </c>
      <c r="Q128" s="211"/>
      <c r="R128" s="19">
        <f t="shared" si="10"/>
        <v>0</v>
      </c>
      <c r="S128" s="211">
        <f t="shared" si="11"/>
        <v>0</v>
      </c>
      <c r="T128" s="20">
        <v>4</v>
      </c>
      <c r="U128" s="20"/>
      <c r="V128" s="216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06">
        <v>300297</v>
      </c>
      <c r="B129" s="206" t="s">
        <v>110</v>
      </c>
      <c r="C129" s="219" t="s">
        <v>120</v>
      </c>
      <c r="D129" s="219"/>
      <c r="E129" s="213" t="s">
        <v>37</v>
      </c>
      <c r="F129" s="212"/>
      <c r="G129" s="133"/>
      <c r="H129" s="133"/>
      <c r="I129" s="133"/>
      <c r="J129" s="133"/>
      <c r="K129" s="211">
        <f t="shared" si="7"/>
        <v>0</v>
      </c>
      <c r="L129" s="211">
        <f t="shared" si="8"/>
        <v>0</v>
      </c>
      <c r="M129" s="211">
        <v>380.63</v>
      </c>
      <c r="N129" s="211">
        <f t="shared" si="14"/>
        <v>4.4659157573624313</v>
      </c>
      <c r="O129" s="211"/>
      <c r="P129" s="211">
        <f t="shared" si="9"/>
        <v>0</v>
      </c>
      <c r="Q129" s="211"/>
      <c r="R129" s="19">
        <f t="shared" si="10"/>
        <v>0</v>
      </c>
      <c r="S129" s="211">
        <f t="shared" si="11"/>
        <v>0</v>
      </c>
      <c r="T129" s="20">
        <v>4</v>
      </c>
      <c r="U129" s="20"/>
      <c r="V129" s="216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06">
        <v>300340</v>
      </c>
      <c r="B130" s="206" t="s">
        <v>110</v>
      </c>
      <c r="C130" s="230" t="s">
        <v>121</v>
      </c>
      <c r="D130" s="231"/>
      <c r="E130" s="213" t="s">
        <v>41</v>
      </c>
      <c r="F130" s="212"/>
      <c r="G130" s="133"/>
      <c r="H130" s="133"/>
      <c r="I130" s="133"/>
      <c r="J130" s="133"/>
      <c r="K130" s="211">
        <f t="shared" si="7"/>
        <v>0</v>
      </c>
      <c r="L130" s="211">
        <f t="shared" si="8"/>
        <v>0</v>
      </c>
      <c r="M130" s="211">
        <v>325.60000000000002</v>
      </c>
      <c r="N130" s="211">
        <f t="shared" si="14"/>
        <v>3.8202510852986036</v>
      </c>
      <c r="O130" s="211"/>
      <c r="P130" s="211">
        <f t="shared" si="9"/>
        <v>0</v>
      </c>
      <c r="Q130" s="211"/>
      <c r="R130" s="19">
        <f t="shared" si="10"/>
        <v>0</v>
      </c>
      <c r="S130" s="211">
        <f t="shared" si="11"/>
        <v>0</v>
      </c>
      <c r="T130" s="20">
        <v>4</v>
      </c>
      <c r="U130" s="20"/>
      <c r="V130" s="216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06">
        <v>300339</v>
      </c>
      <c r="B131" s="206" t="s">
        <v>110</v>
      </c>
      <c r="C131" s="230" t="s">
        <v>121</v>
      </c>
      <c r="D131" s="231"/>
      <c r="E131" s="213" t="s">
        <v>39</v>
      </c>
      <c r="F131" s="212"/>
      <c r="G131" s="133"/>
      <c r="H131" s="133"/>
      <c r="I131" s="133"/>
      <c r="J131" s="133"/>
      <c r="K131" s="211">
        <f t="shared" si="7"/>
        <v>0</v>
      </c>
      <c r="L131" s="211">
        <f t="shared" si="8"/>
        <v>0</v>
      </c>
      <c r="M131" s="211">
        <v>325.60000000000002</v>
      </c>
      <c r="N131" s="211">
        <f t="shared" si="14"/>
        <v>3.8202510852986036</v>
      </c>
      <c r="O131" s="211"/>
      <c r="P131" s="211">
        <f t="shared" si="9"/>
        <v>0</v>
      </c>
      <c r="Q131" s="211"/>
      <c r="R131" s="19">
        <f t="shared" si="10"/>
        <v>0</v>
      </c>
      <c r="S131" s="211">
        <f t="shared" si="11"/>
        <v>0</v>
      </c>
      <c r="T131" s="20">
        <v>4</v>
      </c>
      <c r="U131" s="20"/>
      <c r="V131" s="216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06">
        <v>300303</v>
      </c>
      <c r="B132" s="206" t="s">
        <v>110</v>
      </c>
      <c r="C132" s="219" t="s">
        <v>122</v>
      </c>
      <c r="D132" s="219" t="s">
        <v>123</v>
      </c>
      <c r="E132" s="213" t="s">
        <v>57</v>
      </c>
      <c r="F132" s="212"/>
      <c r="G132" s="133"/>
      <c r="H132" s="133"/>
      <c r="I132" s="133"/>
      <c r="J132" s="133"/>
      <c r="K132" s="211">
        <f t="shared" si="7"/>
        <v>0</v>
      </c>
      <c r="L132" s="211">
        <f t="shared" si="8"/>
        <v>0</v>
      </c>
      <c r="M132" s="211">
        <v>396.92</v>
      </c>
      <c r="N132" s="211">
        <f>+M132*1000/(113.8*4*15*60)*T132</f>
        <v>4.8442686975200155</v>
      </c>
      <c r="O132" s="211"/>
      <c r="P132" s="211">
        <f t="shared" si="9"/>
        <v>0</v>
      </c>
      <c r="Q132" s="211"/>
      <c r="R132" s="19">
        <f t="shared" si="10"/>
        <v>0</v>
      </c>
      <c r="S132" s="211">
        <f t="shared" si="11"/>
        <v>0</v>
      </c>
      <c r="T132" s="20">
        <v>5</v>
      </c>
      <c r="U132" s="20"/>
      <c r="V132" s="216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06">
        <v>300302</v>
      </c>
      <c r="B133" s="206" t="s">
        <v>110</v>
      </c>
      <c r="C133" s="219" t="s">
        <v>122</v>
      </c>
      <c r="D133" s="219" t="s">
        <v>123</v>
      </c>
      <c r="E133" s="213" t="s">
        <v>109</v>
      </c>
      <c r="F133" s="212"/>
      <c r="G133" s="133"/>
      <c r="H133" s="133"/>
      <c r="I133" s="133"/>
      <c r="J133" s="133"/>
      <c r="K133" s="211">
        <f t="shared" si="7"/>
        <v>0</v>
      </c>
      <c r="L133" s="211">
        <f t="shared" si="8"/>
        <v>0</v>
      </c>
      <c r="M133" s="211">
        <v>396.06</v>
      </c>
      <c r="N133" s="211">
        <f>+M133*1000/(113.8*4*15*60)*T133</f>
        <v>4.8337727006444053</v>
      </c>
      <c r="O133" s="211"/>
      <c r="P133" s="211">
        <f t="shared" si="9"/>
        <v>0</v>
      </c>
      <c r="Q133" s="211"/>
      <c r="R133" s="19">
        <f t="shared" si="10"/>
        <v>0</v>
      </c>
      <c r="S133" s="211">
        <f t="shared" si="11"/>
        <v>0</v>
      </c>
      <c r="T133" s="20">
        <v>5</v>
      </c>
      <c r="U133" s="20"/>
      <c r="V133" s="216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06">
        <v>300301</v>
      </c>
      <c r="B134" s="206" t="s">
        <v>110</v>
      </c>
      <c r="C134" s="219" t="s">
        <v>122</v>
      </c>
      <c r="D134" s="219" t="s">
        <v>123</v>
      </c>
      <c r="E134" s="213" t="s">
        <v>124</v>
      </c>
      <c r="F134" s="212"/>
      <c r="G134" s="133"/>
      <c r="H134" s="133"/>
      <c r="I134" s="133"/>
      <c r="J134" s="133"/>
      <c r="K134" s="211">
        <f t="shared" si="7"/>
        <v>0</v>
      </c>
      <c r="L134" s="211">
        <f t="shared" si="8"/>
        <v>0</v>
      </c>
      <c r="M134" s="211">
        <v>401.25</v>
      </c>
      <c r="N134" s="211">
        <f>+M134*1000/(113.8*4*15*60)*T134</f>
        <v>4.8971148213239601</v>
      </c>
      <c r="O134" s="211"/>
      <c r="P134" s="211">
        <f t="shared" si="9"/>
        <v>0</v>
      </c>
      <c r="Q134" s="211"/>
      <c r="R134" s="19">
        <f t="shared" si="10"/>
        <v>0</v>
      </c>
      <c r="S134" s="211">
        <f t="shared" si="11"/>
        <v>0</v>
      </c>
      <c r="T134" s="20">
        <v>5</v>
      </c>
      <c r="U134" s="20"/>
      <c r="V134" s="216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09">
        <v>300304</v>
      </c>
      <c r="B135" s="206" t="s">
        <v>110</v>
      </c>
      <c r="C135" s="219" t="s">
        <v>122</v>
      </c>
      <c r="D135" s="219"/>
      <c r="E135" s="213" t="s">
        <v>125</v>
      </c>
      <c r="F135" s="212"/>
      <c r="G135" s="133"/>
      <c r="H135" s="133"/>
      <c r="I135" s="133"/>
      <c r="J135" s="133"/>
      <c r="K135" s="211">
        <f t="shared" si="7"/>
        <v>0</v>
      </c>
      <c r="L135" s="211">
        <f t="shared" si="8"/>
        <v>0</v>
      </c>
      <c r="M135" s="211">
        <v>401.25</v>
      </c>
      <c r="N135" s="211">
        <f>+M135*1000/(113.8*4*15*60)*T135</f>
        <v>4.8971148213239601</v>
      </c>
      <c r="O135" s="211"/>
      <c r="P135" s="211">
        <f t="shared" si="9"/>
        <v>0</v>
      </c>
      <c r="Q135" s="211"/>
      <c r="R135" s="19">
        <f t="shared" si="10"/>
        <v>0</v>
      </c>
      <c r="S135" s="211">
        <f t="shared" si="11"/>
        <v>0</v>
      </c>
      <c r="T135" s="20">
        <v>5</v>
      </c>
      <c r="U135" s="20"/>
      <c r="V135" s="216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09">
        <v>300300</v>
      </c>
      <c r="B136" s="206" t="s">
        <v>110</v>
      </c>
      <c r="C136" s="219" t="s">
        <v>122</v>
      </c>
      <c r="D136" s="219" t="s">
        <v>123</v>
      </c>
      <c r="E136" s="213" t="s">
        <v>54</v>
      </c>
      <c r="F136" s="212"/>
      <c r="G136" s="133"/>
      <c r="H136" s="133"/>
      <c r="I136" s="133"/>
      <c r="J136" s="133"/>
      <c r="K136" s="211">
        <f t="shared" si="7"/>
        <v>0</v>
      </c>
      <c r="L136" s="211">
        <f t="shared" si="8"/>
        <v>0</v>
      </c>
      <c r="M136" s="211">
        <v>399.07</v>
      </c>
      <c r="N136" s="211">
        <f>+M136*1000/(113.8*4*15*60)*T136</f>
        <v>4.8705086897090411</v>
      </c>
      <c r="O136" s="211"/>
      <c r="P136" s="211">
        <f t="shared" si="9"/>
        <v>0</v>
      </c>
      <c r="Q136" s="211"/>
      <c r="R136" s="19">
        <f t="shared" si="10"/>
        <v>0</v>
      </c>
      <c r="S136" s="211">
        <f t="shared" si="11"/>
        <v>0</v>
      </c>
      <c r="T136" s="20">
        <v>5</v>
      </c>
      <c r="U136" s="20"/>
      <c r="V136" s="216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209">
        <v>300085</v>
      </c>
      <c r="B137" s="206">
        <v>6503</v>
      </c>
      <c r="C137" s="219" t="s">
        <v>126</v>
      </c>
      <c r="D137" s="219" t="s">
        <v>123</v>
      </c>
      <c r="E137" s="213" t="s">
        <v>127</v>
      </c>
      <c r="F137" s="212">
        <v>2164</v>
      </c>
      <c r="G137" s="133">
        <v>8</v>
      </c>
      <c r="H137" s="133"/>
      <c r="I137" s="133">
        <f>8-J137/300</f>
        <v>7.333333333333333</v>
      </c>
      <c r="J137" s="133">
        <v>200</v>
      </c>
      <c r="K137" s="211">
        <f t="shared" si="7"/>
        <v>3154.4</v>
      </c>
      <c r="L137" s="211">
        <f t="shared" si="8"/>
        <v>2891.5333333333333</v>
      </c>
      <c r="M137" s="211">
        <v>394.3</v>
      </c>
      <c r="N137" s="211">
        <f>+M137*1000/(104.2*4*15*60)*T137</f>
        <v>6.3067818298144598</v>
      </c>
      <c r="O137" s="211"/>
      <c r="P137" s="211">
        <f t="shared" si="9"/>
        <v>46.249733418639373</v>
      </c>
      <c r="Q137" s="211">
        <v>6</v>
      </c>
      <c r="R137" s="19">
        <f t="shared" si="10"/>
        <v>36</v>
      </c>
      <c r="S137" s="211">
        <f t="shared" si="11"/>
        <v>-10.249733418639373</v>
      </c>
      <c r="T137" s="20">
        <v>6</v>
      </c>
      <c r="U137" s="20">
        <v>6</v>
      </c>
      <c r="V137" s="216">
        <f t="array" ref="V137">IF(ISERROR(L137/K137),"",L137/K137)</f>
        <v>0.91666666666666663</v>
      </c>
      <c r="W137" s="20"/>
      <c r="X137" s="20"/>
      <c r="Y137" s="20"/>
      <c r="Z137" s="20"/>
      <c r="AA137" s="20">
        <v>2</v>
      </c>
      <c r="AB137" s="20"/>
      <c r="AC137" s="20"/>
    </row>
    <row r="138" spans="1:29" s="2" customFormat="1" ht="21.95" hidden="1" customHeight="1">
      <c r="A138" s="209">
        <v>300087</v>
      </c>
      <c r="B138" s="206" t="s">
        <v>110</v>
      </c>
      <c r="C138" s="219" t="s">
        <v>126</v>
      </c>
      <c r="D138" s="219" t="s">
        <v>123</v>
      </c>
      <c r="E138" s="213" t="s">
        <v>80</v>
      </c>
      <c r="F138" s="212"/>
      <c r="G138" s="133"/>
      <c r="H138" s="133"/>
      <c r="I138" s="133"/>
      <c r="J138" s="133"/>
      <c r="K138" s="211">
        <f t="shared" si="7"/>
        <v>0</v>
      </c>
      <c r="L138" s="211">
        <f t="shared" si="8"/>
        <v>0</v>
      </c>
      <c r="M138" s="211">
        <v>380.1</v>
      </c>
      <c r="N138" s="211">
        <f>+M138*1000/(104.2*4*16*60)*T138</f>
        <v>4.7497300863723604</v>
      </c>
      <c r="O138" s="211"/>
      <c r="P138" s="211">
        <f t="shared" si="9"/>
        <v>0</v>
      </c>
      <c r="Q138" s="211"/>
      <c r="R138" s="19">
        <f t="shared" si="10"/>
        <v>0</v>
      </c>
      <c r="S138" s="211">
        <f t="shared" si="11"/>
        <v>0</v>
      </c>
      <c r="T138" s="20">
        <v>5</v>
      </c>
      <c r="U138" s="20"/>
      <c r="V138" s="216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209">
        <v>300387</v>
      </c>
      <c r="B139" s="206" t="s">
        <v>128</v>
      </c>
      <c r="C139" s="230" t="s">
        <v>129</v>
      </c>
      <c r="D139" s="231"/>
      <c r="E139" s="213" t="s">
        <v>57</v>
      </c>
      <c r="F139" s="212"/>
      <c r="G139" s="133"/>
      <c r="H139" s="133"/>
      <c r="I139" s="133"/>
      <c r="J139" s="133"/>
      <c r="K139" s="211">
        <f t="shared" si="7"/>
        <v>0</v>
      </c>
      <c r="L139" s="211">
        <f t="shared" si="8"/>
        <v>0</v>
      </c>
      <c r="M139" s="211">
        <v>352.29</v>
      </c>
      <c r="N139" s="211">
        <f>+M139*1000/(104.2*4*16*60)*T139</f>
        <v>4.4022162907869484</v>
      </c>
      <c r="O139" s="211"/>
      <c r="P139" s="211">
        <f t="shared" si="9"/>
        <v>0</v>
      </c>
      <c r="Q139" s="211"/>
      <c r="R139" s="19">
        <f t="shared" si="10"/>
        <v>0</v>
      </c>
      <c r="S139" s="211">
        <f t="shared" si="11"/>
        <v>0</v>
      </c>
      <c r="T139" s="20">
        <v>5</v>
      </c>
      <c r="U139" s="20"/>
      <c r="V139" s="216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209">
        <v>300388</v>
      </c>
      <c r="B140" s="206" t="s">
        <v>130</v>
      </c>
      <c r="C140" s="230" t="s">
        <v>129</v>
      </c>
      <c r="D140" s="231"/>
      <c r="E140" s="213" t="s">
        <v>109</v>
      </c>
      <c r="F140" s="212"/>
      <c r="G140" s="133"/>
      <c r="H140" s="133"/>
      <c r="I140" s="133"/>
      <c r="J140" s="133"/>
      <c r="K140" s="211">
        <f t="shared" si="7"/>
        <v>0</v>
      </c>
      <c r="L140" s="211">
        <f t="shared" si="8"/>
        <v>0</v>
      </c>
      <c r="M140" s="211">
        <v>352.29</v>
      </c>
      <c r="N140" s="211">
        <f>+M140*1000/(104.2*4*16*60)*T140</f>
        <v>4.4022162907869484</v>
      </c>
      <c r="O140" s="211"/>
      <c r="P140" s="211">
        <f t="shared" si="9"/>
        <v>0</v>
      </c>
      <c r="Q140" s="211"/>
      <c r="R140" s="19">
        <f t="shared" si="10"/>
        <v>0</v>
      </c>
      <c r="S140" s="211">
        <f t="shared" si="11"/>
        <v>0</v>
      </c>
      <c r="T140" s="20">
        <v>5</v>
      </c>
      <c r="U140" s="20"/>
      <c r="V140" s="216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209">
        <v>300123</v>
      </c>
      <c r="B141" s="206" t="s">
        <v>110</v>
      </c>
      <c r="C141" s="219" t="s">
        <v>131</v>
      </c>
      <c r="D141" s="219" t="s">
        <v>132</v>
      </c>
      <c r="E141" s="213" t="s">
        <v>127</v>
      </c>
      <c r="F141" s="212"/>
      <c r="G141" s="133"/>
      <c r="H141" s="133"/>
      <c r="I141" s="133"/>
      <c r="J141" s="133"/>
      <c r="K141" s="211">
        <f t="shared" si="7"/>
        <v>0</v>
      </c>
      <c r="L141" s="211">
        <f t="shared" si="8"/>
        <v>0</v>
      </c>
      <c r="M141" s="211">
        <v>557</v>
      </c>
      <c r="N141" s="211">
        <f>+M141*1000/(126.5*4*15*60)*T141</f>
        <v>6.1155028546332888</v>
      </c>
      <c r="O141" s="211"/>
      <c r="P141" s="211">
        <f t="shared" si="9"/>
        <v>0</v>
      </c>
      <c r="Q141" s="211"/>
      <c r="R141" s="19">
        <f t="shared" si="10"/>
        <v>0</v>
      </c>
      <c r="S141" s="211">
        <f t="shared" si="11"/>
        <v>0</v>
      </c>
      <c r="T141" s="20">
        <v>5</v>
      </c>
      <c r="U141" s="20"/>
      <c r="V141" s="216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209">
        <v>300270</v>
      </c>
      <c r="B142" s="206" t="s">
        <v>110</v>
      </c>
      <c r="C142" s="219" t="s">
        <v>133</v>
      </c>
      <c r="D142" s="219"/>
      <c r="E142" s="213" t="s">
        <v>134</v>
      </c>
      <c r="F142" s="212"/>
      <c r="G142" s="133"/>
      <c r="H142" s="133"/>
      <c r="I142" s="133"/>
      <c r="J142" s="133"/>
      <c r="K142" s="211">
        <f t="shared" si="7"/>
        <v>0</v>
      </c>
      <c r="L142" s="211">
        <f t="shared" si="8"/>
        <v>0</v>
      </c>
      <c r="M142" s="211">
        <v>485.7</v>
      </c>
      <c r="N142" s="211">
        <f>+M142*1000/(126.5*4*15*60)*T142</f>
        <v>4.2661396574440049</v>
      </c>
      <c r="O142" s="211"/>
      <c r="P142" s="211">
        <f t="shared" si="9"/>
        <v>0</v>
      </c>
      <c r="Q142" s="211"/>
      <c r="R142" s="19">
        <f t="shared" si="10"/>
        <v>0</v>
      </c>
      <c r="S142" s="211">
        <f t="shared" si="11"/>
        <v>0</v>
      </c>
      <c r="T142" s="20">
        <v>4</v>
      </c>
      <c r="U142" s="20"/>
      <c r="V142" s="216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209">
        <v>300336</v>
      </c>
      <c r="B143" s="206" t="s">
        <v>128</v>
      </c>
      <c r="C143" s="219" t="s">
        <v>135</v>
      </c>
      <c r="D143" s="219"/>
      <c r="E143" s="213" t="s">
        <v>84</v>
      </c>
      <c r="F143" s="212"/>
      <c r="G143" s="133"/>
      <c r="H143" s="133"/>
      <c r="I143" s="133"/>
      <c r="J143" s="133"/>
      <c r="K143" s="211">
        <f t="shared" si="7"/>
        <v>0</v>
      </c>
      <c r="L143" s="211">
        <f t="shared" si="8"/>
        <v>0</v>
      </c>
      <c r="M143" s="211">
        <v>411.4</v>
      </c>
      <c r="N143" s="211">
        <f>+M143*1000/(104.2*4*16*60)*T143</f>
        <v>2.0563419705694179</v>
      </c>
      <c r="O143" s="211"/>
      <c r="P143" s="211">
        <f t="shared" si="9"/>
        <v>0</v>
      </c>
      <c r="Q143" s="211"/>
      <c r="R143" s="19">
        <f t="shared" si="10"/>
        <v>0</v>
      </c>
      <c r="S143" s="211">
        <f t="shared" si="11"/>
        <v>0</v>
      </c>
      <c r="T143" s="20">
        <v>2</v>
      </c>
      <c r="U143" s="20"/>
      <c r="V143" s="216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209">
        <v>300337</v>
      </c>
      <c r="B144" s="206" t="s">
        <v>130</v>
      </c>
      <c r="C144" s="219" t="s">
        <v>135</v>
      </c>
      <c r="D144" s="219"/>
      <c r="E144" s="213" t="s">
        <v>49</v>
      </c>
      <c r="F144" s="212"/>
      <c r="G144" s="133"/>
      <c r="H144" s="133"/>
      <c r="I144" s="133"/>
      <c r="J144" s="133"/>
      <c r="K144" s="211">
        <f t="shared" si="7"/>
        <v>0</v>
      </c>
      <c r="L144" s="211">
        <f t="shared" si="8"/>
        <v>0</v>
      </c>
      <c r="M144" s="211">
        <v>411.4</v>
      </c>
      <c r="N144" s="211">
        <f>+M144*1000/(104.2*4*16*60)*T144</f>
        <v>2.0563419705694179</v>
      </c>
      <c r="O144" s="211"/>
      <c r="P144" s="211">
        <f t="shared" si="9"/>
        <v>0</v>
      </c>
      <c r="Q144" s="211"/>
      <c r="R144" s="19">
        <f t="shared" si="10"/>
        <v>0</v>
      </c>
      <c r="S144" s="211">
        <f t="shared" si="11"/>
        <v>0</v>
      </c>
      <c r="T144" s="20">
        <v>2</v>
      </c>
      <c r="U144" s="20"/>
      <c r="V144" s="216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209">
        <v>300338</v>
      </c>
      <c r="B145" s="206" t="s">
        <v>136</v>
      </c>
      <c r="C145" s="219" t="s">
        <v>135</v>
      </c>
      <c r="D145" s="219"/>
      <c r="E145" s="213" t="s">
        <v>85</v>
      </c>
      <c r="F145" s="212"/>
      <c r="G145" s="133"/>
      <c r="H145" s="133"/>
      <c r="I145" s="133"/>
      <c r="J145" s="133"/>
      <c r="K145" s="211">
        <f t="shared" si="7"/>
        <v>0</v>
      </c>
      <c r="L145" s="211">
        <f t="shared" si="8"/>
        <v>0</v>
      </c>
      <c r="M145" s="211">
        <v>411.4</v>
      </c>
      <c r="N145" s="211">
        <f>+M145*1000/(104.2*4*16*60)*T145</f>
        <v>2.0563419705694179</v>
      </c>
      <c r="O145" s="211"/>
      <c r="P145" s="211">
        <f t="shared" si="9"/>
        <v>0</v>
      </c>
      <c r="Q145" s="211"/>
      <c r="R145" s="19">
        <f t="shared" si="10"/>
        <v>0</v>
      </c>
      <c r="S145" s="211">
        <f t="shared" si="11"/>
        <v>0</v>
      </c>
      <c r="T145" s="20">
        <v>2</v>
      </c>
      <c r="U145" s="20"/>
      <c r="V145" s="216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209">
        <v>300309</v>
      </c>
      <c r="B146" s="206">
        <v>6504</v>
      </c>
      <c r="C146" s="219" t="s">
        <v>137</v>
      </c>
      <c r="D146" s="219"/>
      <c r="E146" s="213" t="s">
        <v>47</v>
      </c>
      <c r="F146" s="212"/>
      <c r="G146" s="133"/>
      <c r="H146" s="133"/>
      <c r="I146" s="133"/>
      <c r="J146" s="133"/>
      <c r="K146" s="211">
        <f t="shared" si="7"/>
        <v>0</v>
      </c>
      <c r="L146" s="211">
        <f t="shared" si="8"/>
        <v>0</v>
      </c>
      <c r="M146" s="211">
        <v>316.88</v>
      </c>
      <c r="N146" s="211">
        <f>+M146*1000/(75.2*4*16*60)*T146</f>
        <v>6.5841090425531918</v>
      </c>
      <c r="O146" s="211"/>
      <c r="P146" s="211">
        <f t="shared" si="9"/>
        <v>0</v>
      </c>
      <c r="Q146" s="211"/>
      <c r="R146" s="19">
        <f t="shared" si="10"/>
        <v>0</v>
      </c>
      <c r="S146" s="211">
        <f t="shared" si="11"/>
        <v>0</v>
      </c>
      <c r="T146" s="20">
        <v>6</v>
      </c>
      <c r="U146" s="20"/>
      <c r="V146" s="216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209">
        <v>300310</v>
      </c>
      <c r="B147" s="206">
        <v>6504</v>
      </c>
      <c r="C147" s="219" t="s">
        <v>137</v>
      </c>
      <c r="D147" s="219"/>
      <c r="E147" s="213" t="s">
        <v>138</v>
      </c>
      <c r="F147" s="212"/>
      <c r="G147" s="133"/>
      <c r="H147" s="133"/>
      <c r="I147" s="133"/>
      <c r="J147" s="133"/>
      <c r="K147" s="211">
        <f t="shared" si="7"/>
        <v>0</v>
      </c>
      <c r="L147" s="211">
        <f t="shared" si="8"/>
        <v>0</v>
      </c>
      <c r="M147" s="211">
        <v>316.88</v>
      </c>
      <c r="N147" s="211">
        <f>+M147*1000/(75.2*4*16*60)*T147</f>
        <v>6.5841090425531918</v>
      </c>
      <c r="O147" s="211"/>
      <c r="P147" s="211">
        <f t="shared" si="9"/>
        <v>0</v>
      </c>
      <c r="Q147" s="211"/>
      <c r="R147" s="19">
        <f t="shared" si="10"/>
        <v>0</v>
      </c>
      <c r="S147" s="211">
        <f t="shared" si="11"/>
        <v>0</v>
      </c>
      <c r="T147" s="20">
        <v>6</v>
      </c>
      <c r="U147" s="20"/>
      <c r="V147" s="216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209">
        <v>300312</v>
      </c>
      <c r="B148" s="206">
        <v>6504</v>
      </c>
      <c r="C148" s="219" t="s">
        <v>137</v>
      </c>
      <c r="D148" s="219"/>
      <c r="E148" s="213" t="s">
        <v>139</v>
      </c>
      <c r="F148" s="212"/>
      <c r="G148" s="133"/>
      <c r="H148" s="133"/>
      <c r="I148" s="133"/>
      <c r="J148" s="133"/>
      <c r="K148" s="211">
        <f t="shared" si="7"/>
        <v>0</v>
      </c>
      <c r="L148" s="211">
        <f t="shared" si="8"/>
        <v>0</v>
      </c>
      <c r="M148" s="211">
        <v>316.88</v>
      </c>
      <c r="N148" s="211">
        <f>+M148*1000/(75.2*4*16*60)*T148</f>
        <v>6.5841090425531918</v>
      </c>
      <c r="O148" s="211"/>
      <c r="P148" s="211">
        <f t="shared" si="9"/>
        <v>0</v>
      </c>
      <c r="Q148" s="211"/>
      <c r="R148" s="19">
        <f t="shared" si="10"/>
        <v>0</v>
      </c>
      <c r="S148" s="211">
        <f t="shared" si="11"/>
        <v>0</v>
      </c>
      <c r="T148" s="20">
        <v>6</v>
      </c>
      <c r="U148" s="20"/>
      <c r="V148" s="216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209">
        <v>300311</v>
      </c>
      <c r="B149" s="206">
        <v>6504</v>
      </c>
      <c r="C149" s="230" t="s">
        <v>137</v>
      </c>
      <c r="D149" s="231"/>
      <c r="E149" s="213" t="s">
        <v>74</v>
      </c>
      <c r="F149" s="212"/>
      <c r="G149" s="133"/>
      <c r="H149" s="133"/>
      <c r="I149" s="133"/>
      <c r="J149" s="133"/>
      <c r="K149" s="211">
        <f t="shared" si="7"/>
        <v>0</v>
      </c>
      <c r="L149" s="211">
        <f t="shared" si="8"/>
        <v>0</v>
      </c>
      <c r="M149" s="211">
        <v>316.88</v>
      </c>
      <c r="N149" s="211">
        <f>+M149*1000/(75.2*4*16*60)*T149</f>
        <v>6.5841090425531918</v>
      </c>
      <c r="O149" s="211"/>
      <c r="P149" s="211">
        <f t="shared" si="9"/>
        <v>0</v>
      </c>
      <c r="Q149" s="211"/>
      <c r="R149" s="19">
        <f t="shared" si="10"/>
        <v>0</v>
      </c>
      <c r="S149" s="211">
        <f t="shared" si="11"/>
        <v>0</v>
      </c>
      <c r="T149" s="20">
        <v>6</v>
      </c>
      <c r="U149" s="20"/>
      <c r="V149" s="216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209">
        <v>300399</v>
      </c>
      <c r="B150" s="206">
        <v>18501</v>
      </c>
      <c r="C150" s="230" t="s">
        <v>140</v>
      </c>
      <c r="D150" s="231"/>
      <c r="E150" s="213" t="s">
        <v>41</v>
      </c>
      <c r="F150" s="212"/>
      <c r="G150" s="133"/>
      <c r="H150" s="133"/>
      <c r="I150" s="133"/>
      <c r="J150" s="133"/>
      <c r="K150" s="211">
        <f t="shared" si="7"/>
        <v>0</v>
      </c>
      <c r="L150" s="211">
        <f t="shared" si="8"/>
        <v>0</v>
      </c>
      <c r="M150" s="211">
        <v>311.2</v>
      </c>
      <c r="N150" s="211">
        <f>+M150*1000/(100*4*16*60)*T150</f>
        <v>4.8624999999999998</v>
      </c>
      <c r="O150" s="211"/>
      <c r="P150" s="211">
        <f t="shared" si="9"/>
        <v>0</v>
      </c>
      <c r="Q150" s="211"/>
      <c r="R150" s="19">
        <f t="shared" si="10"/>
        <v>0</v>
      </c>
      <c r="S150" s="211">
        <f t="shared" si="11"/>
        <v>0</v>
      </c>
      <c r="T150" s="20">
        <v>6</v>
      </c>
      <c r="U150" s="20"/>
      <c r="V150" s="216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209">
        <v>300400</v>
      </c>
      <c r="B151" s="206">
        <v>18501</v>
      </c>
      <c r="C151" s="230" t="s">
        <v>140</v>
      </c>
      <c r="D151" s="231"/>
      <c r="E151" s="213" t="s">
        <v>66</v>
      </c>
      <c r="F151" s="212"/>
      <c r="G151" s="133"/>
      <c r="H151" s="133"/>
      <c r="I151" s="133"/>
      <c r="J151" s="133"/>
      <c r="K151" s="211">
        <f t="shared" si="7"/>
        <v>0</v>
      </c>
      <c r="L151" s="211">
        <f t="shared" si="8"/>
        <v>0</v>
      </c>
      <c r="M151" s="211">
        <v>311.2</v>
      </c>
      <c r="N151" s="211">
        <f>+M151*1000/(100*4*16*60)*T151</f>
        <v>4.8624999999999998</v>
      </c>
      <c r="O151" s="211"/>
      <c r="P151" s="211">
        <f t="shared" si="9"/>
        <v>0</v>
      </c>
      <c r="Q151" s="211"/>
      <c r="R151" s="19">
        <f t="shared" si="10"/>
        <v>0</v>
      </c>
      <c r="S151" s="211">
        <f t="shared" si="11"/>
        <v>0</v>
      </c>
      <c r="T151" s="20">
        <v>6</v>
      </c>
      <c r="U151" s="20"/>
      <c r="V151" s="216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209">
        <v>300401</v>
      </c>
      <c r="B152" s="206">
        <v>18501</v>
      </c>
      <c r="C152" s="230" t="s">
        <v>140</v>
      </c>
      <c r="D152" s="231"/>
      <c r="E152" s="213" t="s">
        <v>141</v>
      </c>
      <c r="F152" s="212"/>
      <c r="G152" s="133"/>
      <c r="H152" s="133"/>
      <c r="I152" s="133"/>
      <c r="J152" s="133"/>
      <c r="K152" s="211">
        <f t="shared" si="7"/>
        <v>0</v>
      </c>
      <c r="L152" s="211">
        <f t="shared" si="8"/>
        <v>0</v>
      </c>
      <c r="M152" s="211">
        <v>311.2</v>
      </c>
      <c r="N152" s="211">
        <f>+M152*1000/(100*4*16*60)*T152</f>
        <v>4.8624999999999998</v>
      </c>
      <c r="O152" s="211"/>
      <c r="P152" s="211">
        <f t="shared" si="9"/>
        <v>0</v>
      </c>
      <c r="Q152" s="211"/>
      <c r="R152" s="19">
        <f t="shared" si="10"/>
        <v>0</v>
      </c>
      <c r="S152" s="211">
        <f t="shared" si="11"/>
        <v>0</v>
      </c>
      <c r="T152" s="20">
        <v>6</v>
      </c>
      <c r="U152" s="20"/>
      <c r="V152" s="216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209">
        <v>300402</v>
      </c>
      <c r="B153" s="206">
        <v>18501</v>
      </c>
      <c r="C153" s="230" t="s">
        <v>142</v>
      </c>
      <c r="D153" s="231"/>
      <c r="E153" s="213" t="s">
        <v>143</v>
      </c>
      <c r="F153" s="212"/>
      <c r="G153" s="133"/>
      <c r="H153" s="133"/>
      <c r="I153" s="133"/>
      <c r="J153" s="133"/>
      <c r="K153" s="211">
        <f t="shared" si="7"/>
        <v>0</v>
      </c>
      <c r="L153" s="211">
        <f t="shared" si="8"/>
        <v>0</v>
      </c>
      <c r="M153" s="211">
        <v>465.3</v>
      </c>
      <c r="N153" s="211">
        <f>+M153*1000/(137*4*16*60)*T153</f>
        <v>5.3067974452554747</v>
      </c>
      <c r="O153" s="211"/>
      <c r="P153" s="211">
        <f t="shared" si="9"/>
        <v>0</v>
      </c>
      <c r="Q153" s="211"/>
      <c r="R153" s="19">
        <f t="shared" si="10"/>
        <v>0</v>
      </c>
      <c r="S153" s="211">
        <f t="shared" si="11"/>
        <v>0</v>
      </c>
      <c r="T153" s="20">
        <v>6</v>
      </c>
      <c r="U153" s="20"/>
      <c r="V153" s="216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209">
        <v>300403</v>
      </c>
      <c r="B154" s="206">
        <v>18501</v>
      </c>
      <c r="C154" s="230" t="s">
        <v>142</v>
      </c>
      <c r="D154" s="231"/>
      <c r="E154" s="213" t="s">
        <v>144</v>
      </c>
      <c r="F154" s="212"/>
      <c r="G154" s="133"/>
      <c r="H154" s="133"/>
      <c r="I154" s="133"/>
      <c r="J154" s="133"/>
      <c r="K154" s="211">
        <f t="shared" ref="K154:K198" si="15">G154*M154</f>
        <v>0</v>
      </c>
      <c r="L154" s="211">
        <f t="shared" ref="L154:L198" si="16">I154*M154</f>
        <v>0</v>
      </c>
      <c r="M154" s="211">
        <v>465.3</v>
      </c>
      <c r="N154" s="211">
        <f>+M154*1000/(137*4*16*60)*T154</f>
        <v>5.3067974452554747</v>
      </c>
      <c r="O154" s="211"/>
      <c r="P154" s="211">
        <f t="shared" ref="P154:P198" si="17">N154*I154+O154*U154</f>
        <v>0</v>
      </c>
      <c r="Q154" s="211"/>
      <c r="R154" s="19">
        <f t="shared" ref="R154:R198" si="18">Q154*U154</f>
        <v>0</v>
      </c>
      <c r="S154" s="211">
        <f t="shared" ref="S154:S198" si="19">R154-P154</f>
        <v>0</v>
      </c>
      <c r="T154" s="20">
        <v>6</v>
      </c>
      <c r="U154" s="20"/>
      <c r="V154" s="216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209">
        <v>300404</v>
      </c>
      <c r="B155" s="206">
        <v>18501</v>
      </c>
      <c r="C155" s="230" t="s">
        <v>142</v>
      </c>
      <c r="D155" s="231"/>
      <c r="E155" s="213" t="s">
        <v>70</v>
      </c>
      <c r="F155" s="212"/>
      <c r="G155" s="133"/>
      <c r="H155" s="133"/>
      <c r="I155" s="133"/>
      <c r="J155" s="133"/>
      <c r="K155" s="211">
        <f t="shared" si="15"/>
        <v>0</v>
      </c>
      <c r="L155" s="211">
        <f t="shared" si="16"/>
        <v>0</v>
      </c>
      <c r="M155" s="211">
        <v>465.3</v>
      </c>
      <c r="N155" s="211">
        <f>+M155*1000/(137*4*16*60)*T155</f>
        <v>5.3067974452554747</v>
      </c>
      <c r="O155" s="211"/>
      <c r="P155" s="211">
        <f t="shared" si="17"/>
        <v>0</v>
      </c>
      <c r="Q155" s="211"/>
      <c r="R155" s="19">
        <f t="shared" si="18"/>
        <v>0</v>
      </c>
      <c r="S155" s="211">
        <f t="shared" si="19"/>
        <v>0</v>
      </c>
      <c r="T155" s="20">
        <v>6</v>
      </c>
      <c r="U155" s="20"/>
      <c r="V155" s="216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209">
        <v>300405</v>
      </c>
      <c r="B156" s="206">
        <v>18501</v>
      </c>
      <c r="C156" s="230" t="s">
        <v>142</v>
      </c>
      <c r="D156" s="231"/>
      <c r="E156" s="213" t="s">
        <v>35</v>
      </c>
      <c r="F156" s="212"/>
      <c r="G156" s="133"/>
      <c r="H156" s="133"/>
      <c r="I156" s="133"/>
      <c r="J156" s="133"/>
      <c r="K156" s="211">
        <f t="shared" si="15"/>
        <v>0</v>
      </c>
      <c r="L156" s="211">
        <f t="shared" si="16"/>
        <v>0</v>
      </c>
      <c r="M156" s="211">
        <v>465.3</v>
      </c>
      <c r="N156" s="211">
        <f>+M156*1000/(137*4*16*60)*T156</f>
        <v>5.3067974452554747</v>
      </c>
      <c r="O156" s="211"/>
      <c r="P156" s="211">
        <f t="shared" si="17"/>
        <v>0</v>
      </c>
      <c r="Q156" s="211"/>
      <c r="R156" s="19">
        <f t="shared" si="18"/>
        <v>0</v>
      </c>
      <c r="S156" s="211">
        <f t="shared" si="19"/>
        <v>0</v>
      </c>
      <c r="T156" s="20">
        <v>6</v>
      </c>
      <c r="U156" s="20"/>
      <c r="V156" s="216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209">
        <v>300372</v>
      </c>
      <c r="B157" s="206">
        <v>18501</v>
      </c>
      <c r="C157" s="230" t="s">
        <v>145</v>
      </c>
      <c r="D157" s="231"/>
      <c r="E157" s="213" t="s">
        <v>47</v>
      </c>
      <c r="F157" s="212"/>
      <c r="G157" s="133"/>
      <c r="H157" s="133"/>
      <c r="I157" s="133"/>
      <c r="J157" s="133"/>
      <c r="K157" s="211">
        <f t="shared" si="15"/>
        <v>0</v>
      </c>
      <c r="L157" s="211">
        <f t="shared" si="16"/>
        <v>0</v>
      </c>
      <c r="M157" s="211">
        <v>420.58</v>
      </c>
      <c r="N157" s="211">
        <f>+M157*1000/(140*4*16*60)*T157</f>
        <v>4.6939732142857142</v>
      </c>
      <c r="O157" s="211"/>
      <c r="P157" s="211">
        <f t="shared" si="17"/>
        <v>0</v>
      </c>
      <c r="Q157" s="211"/>
      <c r="R157" s="19">
        <f t="shared" si="18"/>
        <v>0</v>
      </c>
      <c r="S157" s="211">
        <f t="shared" si="19"/>
        <v>0</v>
      </c>
      <c r="T157" s="20">
        <v>6</v>
      </c>
      <c r="U157" s="20"/>
      <c r="V157" s="216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209">
        <v>300373</v>
      </c>
      <c r="B158" s="206">
        <v>18501</v>
      </c>
      <c r="C158" s="230" t="s">
        <v>145</v>
      </c>
      <c r="D158" s="231"/>
      <c r="E158" s="213" t="s">
        <v>138</v>
      </c>
      <c r="F158" s="212"/>
      <c r="G158" s="133"/>
      <c r="H158" s="133"/>
      <c r="I158" s="133"/>
      <c r="J158" s="133"/>
      <c r="K158" s="211">
        <f t="shared" si="15"/>
        <v>0</v>
      </c>
      <c r="L158" s="211">
        <f t="shared" si="16"/>
        <v>0</v>
      </c>
      <c r="M158" s="211">
        <v>420.58</v>
      </c>
      <c r="N158" s="211">
        <f>+M158*1000/(140*4*16*60)*T158</f>
        <v>4.6939732142857142</v>
      </c>
      <c r="O158" s="211"/>
      <c r="P158" s="211">
        <f t="shared" si="17"/>
        <v>0</v>
      </c>
      <c r="Q158" s="211"/>
      <c r="R158" s="19">
        <f t="shared" si="18"/>
        <v>0</v>
      </c>
      <c r="S158" s="211">
        <f t="shared" si="19"/>
        <v>0</v>
      </c>
      <c r="T158" s="20">
        <v>6</v>
      </c>
      <c r="U158" s="20"/>
      <c r="V158" s="216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209">
        <v>300374</v>
      </c>
      <c r="B159" s="206">
        <v>18501</v>
      </c>
      <c r="C159" s="230" t="s">
        <v>145</v>
      </c>
      <c r="D159" s="231"/>
      <c r="E159" s="213" t="s">
        <v>139</v>
      </c>
      <c r="F159" s="212"/>
      <c r="G159" s="133"/>
      <c r="H159" s="133"/>
      <c r="I159" s="133"/>
      <c r="J159" s="133"/>
      <c r="K159" s="211">
        <f t="shared" si="15"/>
        <v>0</v>
      </c>
      <c r="L159" s="211">
        <f t="shared" si="16"/>
        <v>0</v>
      </c>
      <c r="M159" s="211">
        <v>420.58</v>
      </c>
      <c r="N159" s="211">
        <f>+M159*1000/(140*4*16*60)*T159</f>
        <v>4.6939732142857142</v>
      </c>
      <c r="O159" s="211"/>
      <c r="P159" s="211">
        <f t="shared" si="17"/>
        <v>0</v>
      </c>
      <c r="Q159" s="211"/>
      <c r="R159" s="19">
        <f t="shared" si="18"/>
        <v>0</v>
      </c>
      <c r="S159" s="211">
        <f t="shared" si="19"/>
        <v>0</v>
      </c>
      <c r="T159" s="20">
        <v>6</v>
      </c>
      <c r="U159" s="20"/>
      <c r="V159" s="216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209">
        <v>300375</v>
      </c>
      <c r="B160" s="206">
        <v>18501</v>
      </c>
      <c r="C160" s="230" t="s">
        <v>145</v>
      </c>
      <c r="D160" s="231"/>
      <c r="E160" s="213" t="s">
        <v>74</v>
      </c>
      <c r="F160" s="212"/>
      <c r="G160" s="133"/>
      <c r="H160" s="133"/>
      <c r="I160" s="133"/>
      <c r="J160" s="133"/>
      <c r="K160" s="211">
        <f t="shared" si="15"/>
        <v>0</v>
      </c>
      <c r="L160" s="211">
        <f t="shared" si="16"/>
        <v>0</v>
      </c>
      <c r="M160" s="211">
        <v>420.58</v>
      </c>
      <c r="N160" s="211">
        <f>+M160*1000/(140*4*16*60)*T160</f>
        <v>4.6939732142857142</v>
      </c>
      <c r="O160" s="211"/>
      <c r="P160" s="211">
        <f t="shared" si="17"/>
        <v>0</v>
      </c>
      <c r="Q160" s="211"/>
      <c r="R160" s="19">
        <f t="shared" si="18"/>
        <v>0</v>
      </c>
      <c r="S160" s="211">
        <f t="shared" si="19"/>
        <v>0</v>
      </c>
      <c r="T160" s="20">
        <v>6</v>
      </c>
      <c r="U160" s="20"/>
      <c r="V160" s="216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209">
        <v>300341</v>
      </c>
      <c r="B161" s="206">
        <v>18501</v>
      </c>
      <c r="C161" s="237" t="s">
        <v>146</v>
      </c>
      <c r="D161" s="238"/>
      <c r="E161" s="213" t="s">
        <v>39</v>
      </c>
      <c r="F161" s="212"/>
      <c r="G161" s="133"/>
      <c r="H161" s="133"/>
      <c r="I161" s="133"/>
      <c r="J161" s="133"/>
      <c r="K161" s="211">
        <f t="shared" si="15"/>
        <v>0</v>
      </c>
      <c r="L161" s="211">
        <f t="shared" si="16"/>
        <v>0</v>
      </c>
      <c r="M161" s="211">
        <v>439.3</v>
      </c>
      <c r="N161" s="211">
        <f t="shared" ref="N161:N167" si="20">+M161*1000/(169.7*4*13*60)*T161</f>
        <v>4.1485351223123761</v>
      </c>
      <c r="O161" s="211"/>
      <c r="P161" s="211">
        <f t="shared" si="17"/>
        <v>0</v>
      </c>
      <c r="Q161" s="211"/>
      <c r="R161" s="19">
        <f t="shared" si="18"/>
        <v>0</v>
      </c>
      <c r="S161" s="211">
        <f t="shared" si="19"/>
        <v>0</v>
      </c>
      <c r="T161" s="20">
        <v>5</v>
      </c>
      <c r="U161" s="20"/>
      <c r="V161" s="216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209">
        <v>300342</v>
      </c>
      <c r="B162" s="206">
        <v>18501</v>
      </c>
      <c r="C162" s="237" t="s">
        <v>146</v>
      </c>
      <c r="D162" s="238"/>
      <c r="E162" s="213" t="s">
        <v>80</v>
      </c>
      <c r="F162" s="212"/>
      <c r="G162" s="133"/>
      <c r="H162" s="133"/>
      <c r="I162" s="133"/>
      <c r="J162" s="133"/>
      <c r="K162" s="211">
        <f t="shared" si="15"/>
        <v>0</v>
      </c>
      <c r="L162" s="211">
        <f t="shared" si="16"/>
        <v>0</v>
      </c>
      <c r="M162" s="211">
        <v>439.3</v>
      </c>
      <c r="N162" s="211">
        <f t="shared" si="20"/>
        <v>4.1485351223123761</v>
      </c>
      <c r="O162" s="211"/>
      <c r="P162" s="211">
        <f t="shared" si="17"/>
        <v>0</v>
      </c>
      <c r="Q162" s="211"/>
      <c r="R162" s="19">
        <f t="shared" si="18"/>
        <v>0</v>
      </c>
      <c r="S162" s="211">
        <f t="shared" si="19"/>
        <v>0</v>
      </c>
      <c r="T162" s="20">
        <v>5</v>
      </c>
      <c r="U162" s="20"/>
      <c r="V162" s="216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209">
        <v>300343</v>
      </c>
      <c r="B163" s="206">
        <v>18501</v>
      </c>
      <c r="C163" s="237" t="s">
        <v>146</v>
      </c>
      <c r="D163" s="238"/>
      <c r="E163" s="213" t="s">
        <v>35</v>
      </c>
      <c r="F163" s="212"/>
      <c r="G163" s="133"/>
      <c r="H163" s="133"/>
      <c r="I163" s="133"/>
      <c r="J163" s="133"/>
      <c r="K163" s="211">
        <f t="shared" si="15"/>
        <v>0</v>
      </c>
      <c r="L163" s="211">
        <f t="shared" si="16"/>
        <v>0</v>
      </c>
      <c r="M163" s="211">
        <v>455.4</v>
      </c>
      <c r="N163" s="211">
        <f t="shared" si="20"/>
        <v>4.3005756765332483</v>
      </c>
      <c r="O163" s="211"/>
      <c r="P163" s="211">
        <f t="shared" si="17"/>
        <v>0</v>
      </c>
      <c r="Q163" s="211"/>
      <c r="R163" s="19">
        <f t="shared" si="18"/>
        <v>0</v>
      </c>
      <c r="S163" s="211">
        <f t="shared" si="19"/>
        <v>0</v>
      </c>
      <c r="T163" s="20">
        <v>5</v>
      </c>
      <c r="U163" s="20"/>
      <c r="V163" s="216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209">
        <v>300344</v>
      </c>
      <c r="B164" s="206">
        <v>18501</v>
      </c>
      <c r="C164" s="237" t="s">
        <v>146</v>
      </c>
      <c r="D164" s="238"/>
      <c r="E164" s="213" t="s">
        <v>40</v>
      </c>
      <c r="F164" s="212"/>
      <c r="G164" s="133"/>
      <c r="H164" s="133"/>
      <c r="I164" s="133"/>
      <c r="J164" s="133"/>
      <c r="K164" s="211">
        <f t="shared" si="15"/>
        <v>0</v>
      </c>
      <c r="L164" s="211">
        <f t="shared" si="16"/>
        <v>0</v>
      </c>
      <c r="M164" s="211">
        <v>455.4</v>
      </c>
      <c r="N164" s="211">
        <f t="shared" si="20"/>
        <v>4.3005756765332483</v>
      </c>
      <c r="O164" s="211"/>
      <c r="P164" s="211">
        <f t="shared" si="17"/>
        <v>0</v>
      </c>
      <c r="Q164" s="211"/>
      <c r="R164" s="19">
        <f t="shared" si="18"/>
        <v>0</v>
      </c>
      <c r="S164" s="211">
        <f t="shared" si="19"/>
        <v>0</v>
      </c>
      <c r="T164" s="20">
        <v>5</v>
      </c>
      <c r="U164" s="20"/>
      <c r="V164" s="216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209">
        <v>300396</v>
      </c>
      <c r="B165" s="206">
        <v>18501</v>
      </c>
      <c r="C165" s="237" t="s">
        <v>147</v>
      </c>
      <c r="D165" s="238"/>
      <c r="E165" s="213" t="s">
        <v>41</v>
      </c>
      <c r="F165" s="212"/>
      <c r="G165" s="133"/>
      <c r="H165" s="133"/>
      <c r="I165" s="133"/>
      <c r="J165" s="133"/>
      <c r="K165" s="211">
        <f t="shared" si="15"/>
        <v>0</v>
      </c>
      <c r="L165" s="211">
        <f t="shared" si="16"/>
        <v>0</v>
      </c>
      <c r="M165" s="211">
        <v>417.1</v>
      </c>
      <c r="N165" s="211">
        <f t="shared" si="20"/>
        <v>3.9388891407158937</v>
      </c>
      <c r="O165" s="211"/>
      <c r="P165" s="211">
        <f t="shared" si="17"/>
        <v>0</v>
      </c>
      <c r="Q165" s="211"/>
      <c r="R165" s="19">
        <f t="shared" si="18"/>
        <v>0</v>
      </c>
      <c r="S165" s="211">
        <f t="shared" si="19"/>
        <v>0</v>
      </c>
      <c r="T165" s="20">
        <v>5</v>
      </c>
      <c r="U165" s="20"/>
      <c r="V165" s="216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209">
        <v>300397</v>
      </c>
      <c r="B166" s="206">
        <v>18501</v>
      </c>
      <c r="C166" s="237" t="s">
        <v>147</v>
      </c>
      <c r="D166" s="238"/>
      <c r="E166" s="213" t="s">
        <v>66</v>
      </c>
      <c r="F166" s="212"/>
      <c r="G166" s="133"/>
      <c r="H166" s="133"/>
      <c r="I166" s="133"/>
      <c r="J166" s="133"/>
      <c r="K166" s="211">
        <f t="shared" si="15"/>
        <v>0</v>
      </c>
      <c r="L166" s="211">
        <f t="shared" si="16"/>
        <v>0</v>
      </c>
      <c r="M166" s="211">
        <v>417.1</v>
      </c>
      <c r="N166" s="211">
        <f t="shared" si="20"/>
        <v>3.9388891407158937</v>
      </c>
      <c r="O166" s="211"/>
      <c r="P166" s="211">
        <f t="shared" si="17"/>
        <v>0</v>
      </c>
      <c r="Q166" s="211"/>
      <c r="R166" s="19">
        <f t="shared" si="18"/>
        <v>0</v>
      </c>
      <c r="S166" s="211">
        <f t="shared" si="19"/>
        <v>0</v>
      </c>
      <c r="T166" s="20">
        <v>5</v>
      </c>
      <c r="U166" s="20"/>
      <c r="V166" s="216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209">
        <v>300398</v>
      </c>
      <c r="B167" s="206">
        <v>18501</v>
      </c>
      <c r="C167" s="237" t="s">
        <v>147</v>
      </c>
      <c r="D167" s="238"/>
      <c r="E167" s="213" t="s">
        <v>141</v>
      </c>
      <c r="F167" s="212"/>
      <c r="G167" s="133"/>
      <c r="H167" s="133"/>
      <c r="I167" s="133"/>
      <c r="J167" s="133"/>
      <c r="K167" s="211">
        <f t="shared" si="15"/>
        <v>0</v>
      </c>
      <c r="L167" s="211">
        <f t="shared" si="16"/>
        <v>0</v>
      </c>
      <c r="M167" s="211">
        <v>417.1</v>
      </c>
      <c r="N167" s="211">
        <f t="shared" si="20"/>
        <v>3.9388891407158937</v>
      </c>
      <c r="O167" s="211"/>
      <c r="P167" s="211">
        <f t="shared" si="17"/>
        <v>0</v>
      </c>
      <c r="Q167" s="211"/>
      <c r="R167" s="19">
        <f t="shared" si="18"/>
        <v>0</v>
      </c>
      <c r="S167" s="211">
        <f t="shared" si="19"/>
        <v>0</v>
      </c>
      <c r="T167" s="20">
        <v>5</v>
      </c>
      <c r="U167" s="20"/>
      <c r="V167" s="216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209">
        <v>300271</v>
      </c>
      <c r="B168" s="206">
        <v>18501</v>
      </c>
      <c r="C168" s="219" t="s">
        <v>148</v>
      </c>
      <c r="D168" s="219"/>
      <c r="E168" s="213" t="s">
        <v>134</v>
      </c>
      <c r="F168" s="212"/>
      <c r="G168" s="133"/>
      <c r="H168" s="133"/>
      <c r="I168" s="133"/>
      <c r="J168" s="133"/>
      <c r="K168" s="211">
        <f t="shared" si="15"/>
        <v>0</v>
      </c>
      <c r="L168" s="211">
        <f t="shared" si="16"/>
        <v>0</v>
      </c>
      <c r="M168" s="211">
        <v>580.1</v>
      </c>
      <c r="N168" s="211">
        <f>+M168*1000/(202*4*13*60)*T168</f>
        <v>3.6817720233561819</v>
      </c>
      <c r="O168" s="211"/>
      <c r="P168" s="211">
        <f t="shared" si="17"/>
        <v>0</v>
      </c>
      <c r="Q168" s="211"/>
      <c r="R168" s="19">
        <f t="shared" si="18"/>
        <v>0</v>
      </c>
      <c r="S168" s="211">
        <f t="shared" si="19"/>
        <v>0</v>
      </c>
      <c r="T168" s="20">
        <v>4</v>
      </c>
      <c r="U168" s="20"/>
      <c r="V168" s="216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209">
        <v>300009</v>
      </c>
      <c r="B169" s="206">
        <v>18501</v>
      </c>
      <c r="C169" s="219" t="s">
        <v>149</v>
      </c>
      <c r="D169" s="219" t="s">
        <v>150</v>
      </c>
      <c r="E169" s="213" t="s">
        <v>127</v>
      </c>
      <c r="F169" s="212"/>
      <c r="G169" s="133"/>
      <c r="H169" s="133"/>
      <c r="I169" s="133"/>
      <c r="J169" s="133"/>
      <c r="K169" s="211">
        <f t="shared" si="15"/>
        <v>0</v>
      </c>
      <c r="L169" s="211">
        <f t="shared" si="16"/>
        <v>0</v>
      </c>
      <c r="M169" s="211">
        <v>520.79999999999995</v>
      </c>
      <c r="N169" s="211">
        <f>+M169*1000/(188*4*13*60)*T169</f>
        <v>5.3273322422258591</v>
      </c>
      <c r="O169" s="211"/>
      <c r="P169" s="211">
        <f t="shared" si="17"/>
        <v>0</v>
      </c>
      <c r="Q169" s="211"/>
      <c r="R169" s="19">
        <f t="shared" si="18"/>
        <v>0</v>
      </c>
      <c r="S169" s="211">
        <f t="shared" si="19"/>
        <v>0</v>
      </c>
      <c r="T169" s="20">
        <v>6</v>
      </c>
      <c r="U169" s="20"/>
      <c r="V169" s="216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209">
        <v>300010</v>
      </c>
      <c r="B170" s="206">
        <v>18501</v>
      </c>
      <c r="C170" s="219" t="s">
        <v>149</v>
      </c>
      <c r="D170" s="219" t="s">
        <v>150</v>
      </c>
      <c r="E170" s="213" t="s">
        <v>80</v>
      </c>
      <c r="F170" s="212"/>
      <c r="G170" s="133"/>
      <c r="H170" s="133"/>
      <c r="I170" s="133"/>
      <c r="J170" s="133"/>
      <c r="K170" s="211">
        <f t="shared" si="15"/>
        <v>0</v>
      </c>
      <c r="L170" s="211">
        <f t="shared" si="16"/>
        <v>0</v>
      </c>
      <c r="M170" s="211">
        <v>530.9</v>
      </c>
      <c r="N170" s="211">
        <f>+M170*1000/(188*4*13*60)*T170</f>
        <v>4.5255387343153304</v>
      </c>
      <c r="O170" s="211"/>
      <c r="P170" s="211">
        <f t="shared" si="17"/>
        <v>0</v>
      </c>
      <c r="Q170" s="211"/>
      <c r="R170" s="19">
        <f t="shared" si="18"/>
        <v>0</v>
      </c>
      <c r="S170" s="211">
        <f t="shared" si="19"/>
        <v>0</v>
      </c>
      <c r="T170" s="20">
        <v>5</v>
      </c>
      <c r="U170" s="20"/>
      <c r="V170" s="216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209">
        <v>300305</v>
      </c>
      <c r="B171" s="206">
        <v>18501</v>
      </c>
      <c r="C171" s="219" t="s">
        <v>151</v>
      </c>
      <c r="D171" s="219" t="s">
        <v>152</v>
      </c>
      <c r="E171" s="213" t="s">
        <v>57</v>
      </c>
      <c r="F171" s="212"/>
      <c r="G171" s="133"/>
      <c r="H171" s="133"/>
      <c r="I171" s="133"/>
      <c r="J171" s="133"/>
      <c r="K171" s="211">
        <f t="shared" si="15"/>
        <v>0</v>
      </c>
      <c r="L171" s="211">
        <f t="shared" si="16"/>
        <v>0</v>
      </c>
      <c r="M171" s="211">
        <v>530.20000000000005</v>
      </c>
      <c r="N171" s="211">
        <f t="shared" ref="N171:N176" si="21">+M171*1000/(202*4*13*60)*T171</f>
        <v>4.2063340949479562</v>
      </c>
      <c r="O171" s="211"/>
      <c r="P171" s="211">
        <f t="shared" si="17"/>
        <v>0</v>
      </c>
      <c r="Q171" s="211"/>
      <c r="R171" s="19">
        <f t="shared" si="18"/>
        <v>0</v>
      </c>
      <c r="S171" s="211">
        <f t="shared" si="19"/>
        <v>0</v>
      </c>
      <c r="T171" s="20">
        <v>5</v>
      </c>
      <c r="U171" s="20"/>
      <c r="V171" s="216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209">
        <v>300306</v>
      </c>
      <c r="B172" s="206">
        <v>18501</v>
      </c>
      <c r="C172" s="219" t="s">
        <v>151</v>
      </c>
      <c r="D172" s="219" t="s">
        <v>152</v>
      </c>
      <c r="E172" s="213" t="s">
        <v>109</v>
      </c>
      <c r="F172" s="212"/>
      <c r="G172" s="133"/>
      <c r="H172" s="133"/>
      <c r="I172" s="133"/>
      <c r="J172" s="133"/>
      <c r="K172" s="211">
        <f t="shared" si="15"/>
        <v>0</v>
      </c>
      <c r="L172" s="211">
        <f t="shared" si="16"/>
        <v>0</v>
      </c>
      <c r="M172" s="211">
        <v>538.79999999999995</v>
      </c>
      <c r="N172" s="211">
        <f t="shared" si="21"/>
        <v>4.2745620715917747</v>
      </c>
      <c r="O172" s="211"/>
      <c r="P172" s="211">
        <f t="shared" si="17"/>
        <v>0</v>
      </c>
      <c r="Q172" s="211"/>
      <c r="R172" s="19">
        <f t="shared" si="18"/>
        <v>0</v>
      </c>
      <c r="S172" s="211">
        <f t="shared" si="19"/>
        <v>0</v>
      </c>
      <c r="T172" s="20">
        <v>5</v>
      </c>
      <c r="U172" s="20"/>
      <c r="V172" s="216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209">
        <v>300307</v>
      </c>
      <c r="B173" s="206">
        <v>18501</v>
      </c>
      <c r="C173" s="219" t="s">
        <v>151</v>
      </c>
      <c r="D173" s="219" t="s">
        <v>152</v>
      </c>
      <c r="E173" s="213" t="s">
        <v>125</v>
      </c>
      <c r="F173" s="212"/>
      <c r="G173" s="133"/>
      <c r="H173" s="133"/>
      <c r="I173" s="133"/>
      <c r="J173" s="133"/>
      <c r="K173" s="211">
        <f t="shared" si="15"/>
        <v>0</v>
      </c>
      <c r="L173" s="211">
        <f t="shared" si="16"/>
        <v>0</v>
      </c>
      <c r="M173" s="211">
        <v>569</v>
      </c>
      <c r="N173" s="211">
        <f t="shared" si="21"/>
        <v>4.5141533384107637</v>
      </c>
      <c r="O173" s="211"/>
      <c r="P173" s="211">
        <f t="shared" si="17"/>
        <v>0</v>
      </c>
      <c r="Q173" s="211"/>
      <c r="R173" s="19">
        <f t="shared" si="18"/>
        <v>0</v>
      </c>
      <c r="S173" s="211">
        <f t="shared" si="19"/>
        <v>0</v>
      </c>
      <c r="T173" s="20">
        <v>5</v>
      </c>
      <c r="U173" s="20"/>
      <c r="V173" s="216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209">
        <v>300308</v>
      </c>
      <c r="B174" s="206">
        <v>18501</v>
      </c>
      <c r="C174" s="219" t="s">
        <v>151</v>
      </c>
      <c r="D174" s="219" t="s">
        <v>152</v>
      </c>
      <c r="E174" s="213" t="s">
        <v>124</v>
      </c>
      <c r="F174" s="212"/>
      <c r="G174" s="133"/>
      <c r="H174" s="133"/>
      <c r="I174" s="133"/>
      <c r="J174" s="133"/>
      <c r="K174" s="211">
        <f t="shared" si="15"/>
        <v>0</v>
      </c>
      <c r="L174" s="211">
        <f t="shared" si="16"/>
        <v>0</v>
      </c>
      <c r="M174" s="211">
        <v>523.6</v>
      </c>
      <c r="N174" s="211">
        <f t="shared" si="21"/>
        <v>4.1539730896166542</v>
      </c>
      <c r="O174" s="211"/>
      <c r="P174" s="211">
        <f t="shared" si="17"/>
        <v>0</v>
      </c>
      <c r="Q174" s="211"/>
      <c r="R174" s="19">
        <f t="shared" si="18"/>
        <v>0</v>
      </c>
      <c r="S174" s="211">
        <f t="shared" si="19"/>
        <v>0</v>
      </c>
      <c r="T174" s="20">
        <v>5</v>
      </c>
      <c r="U174" s="20"/>
      <c r="V174" s="216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209">
        <v>300182</v>
      </c>
      <c r="B175" s="206">
        <v>18501</v>
      </c>
      <c r="C175" s="219" t="s">
        <v>153</v>
      </c>
      <c r="D175" s="219" t="s">
        <v>152</v>
      </c>
      <c r="E175" s="213" t="s">
        <v>80</v>
      </c>
      <c r="F175" s="212"/>
      <c r="G175" s="133"/>
      <c r="H175" s="133"/>
      <c r="I175" s="133"/>
      <c r="J175" s="133"/>
      <c r="K175" s="211">
        <f t="shared" si="15"/>
        <v>0</v>
      </c>
      <c r="L175" s="211">
        <f t="shared" si="16"/>
        <v>0</v>
      </c>
      <c r="M175" s="211">
        <v>649.1</v>
      </c>
      <c r="N175" s="211">
        <f t="shared" si="21"/>
        <v>5.1496255394770252</v>
      </c>
      <c r="O175" s="211"/>
      <c r="P175" s="211">
        <f t="shared" si="17"/>
        <v>0</v>
      </c>
      <c r="Q175" s="211"/>
      <c r="R175" s="19">
        <f t="shared" si="18"/>
        <v>0</v>
      </c>
      <c r="S175" s="211">
        <f t="shared" si="19"/>
        <v>0</v>
      </c>
      <c r="T175" s="20">
        <v>5</v>
      </c>
      <c r="U175" s="20"/>
      <c r="V175" s="216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209">
        <v>300185</v>
      </c>
      <c r="B176" s="206">
        <v>18501</v>
      </c>
      <c r="C176" s="219" t="s">
        <v>153</v>
      </c>
      <c r="D176" s="219" t="s">
        <v>152</v>
      </c>
      <c r="E176" s="213" t="s">
        <v>127</v>
      </c>
      <c r="F176" s="212">
        <v>2142</v>
      </c>
      <c r="G176" s="133">
        <v>1.6</v>
      </c>
      <c r="H176" s="133">
        <v>0.6</v>
      </c>
      <c r="I176" s="133">
        <f>1+H176</f>
        <v>1.6</v>
      </c>
      <c r="J176" s="133"/>
      <c r="K176" s="211">
        <f t="shared" si="15"/>
        <v>1020.8000000000001</v>
      </c>
      <c r="L176" s="211">
        <f t="shared" si="16"/>
        <v>1020.8000000000001</v>
      </c>
      <c r="M176" s="211">
        <v>638</v>
      </c>
      <c r="N176" s="211">
        <f t="shared" si="21"/>
        <v>6.0738766184310737</v>
      </c>
      <c r="O176" s="211"/>
      <c r="P176" s="211">
        <f t="shared" si="17"/>
        <v>9.718202589489719</v>
      </c>
      <c r="Q176" s="211">
        <v>2.5</v>
      </c>
      <c r="R176" s="19">
        <f t="shared" si="18"/>
        <v>15</v>
      </c>
      <c r="S176" s="211">
        <f t="shared" si="19"/>
        <v>5.281797410510281</v>
      </c>
      <c r="T176" s="20">
        <v>6</v>
      </c>
      <c r="U176" s="20">
        <v>6</v>
      </c>
      <c r="V176" s="216">
        <f t="array" ref="V176">IF(ISERROR(L176/K176),"",L176/K176)</f>
        <v>1</v>
      </c>
      <c r="W176" s="20"/>
      <c r="X176" s="20"/>
      <c r="Y176" s="20"/>
      <c r="Z176" s="20"/>
      <c r="AA176" s="20">
        <v>2</v>
      </c>
      <c r="AB176" s="20"/>
      <c r="AC176" s="20"/>
    </row>
    <row r="177" spans="1:29" s="2" customFormat="1" ht="21.95" hidden="1" customHeight="1">
      <c r="A177" s="209">
        <v>300272</v>
      </c>
      <c r="B177" s="206">
        <v>18502</v>
      </c>
      <c r="C177" s="219" t="s">
        <v>154</v>
      </c>
      <c r="D177" s="219"/>
      <c r="E177" s="213" t="s">
        <v>42</v>
      </c>
      <c r="F177" s="212"/>
      <c r="G177" s="133"/>
      <c r="H177" s="133"/>
      <c r="I177" s="133"/>
      <c r="J177" s="133"/>
      <c r="K177" s="211">
        <f t="shared" si="15"/>
        <v>0</v>
      </c>
      <c r="L177" s="211">
        <f t="shared" si="16"/>
        <v>0</v>
      </c>
      <c r="M177" s="211">
        <v>523.9</v>
      </c>
      <c r="N177" s="211">
        <f>+M177*1000/(128*4*13*60)*T177</f>
        <v>5.247395833333333</v>
      </c>
      <c r="O177" s="211"/>
      <c r="P177" s="211">
        <f t="shared" si="17"/>
        <v>0</v>
      </c>
      <c r="Q177" s="211"/>
      <c r="R177" s="19">
        <f t="shared" si="18"/>
        <v>0</v>
      </c>
      <c r="S177" s="211">
        <f t="shared" si="19"/>
        <v>0</v>
      </c>
      <c r="T177" s="20">
        <v>4</v>
      </c>
      <c r="U177" s="20"/>
      <c r="V177" s="216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209">
        <v>300273</v>
      </c>
      <c r="B178" s="206">
        <v>18502</v>
      </c>
      <c r="C178" s="219" t="s">
        <v>154</v>
      </c>
      <c r="D178" s="219"/>
      <c r="E178" s="213" t="s">
        <v>155</v>
      </c>
      <c r="F178" s="212"/>
      <c r="G178" s="133"/>
      <c r="H178" s="133"/>
      <c r="I178" s="133"/>
      <c r="J178" s="133"/>
      <c r="K178" s="211">
        <f t="shared" si="15"/>
        <v>0</v>
      </c>
      <c r="L178" s="211">
        <f t="shared" si="16"/>
        <v>0</v>
      </c>
      <c r="M178" s="211">
        <v>523.9</v>
      </c>
      <c r="N178" s="211">
        <f>+M178*1000/(128*4*13*60)*T178</f>
        <v>6.5592447916666661</v>
      </c>
      <c r="O178" s="211"/>
      <c r="P178" s="211">
        <f t="shared" si="17"/>
        <v>0</v>
      </c>
      <c r="Q178" s="211"/>
      <c r="R178" s="19">
        <f t="shared" si="18"/>
        <v>0</v>
      </c>
      <c r="S178" s="211">
        <f t="shared" si="19"/>
        <v>0</v>
      </c>
      <c r="T178" s="20">
        <v>5</v>
      </c>
      <c r="U178" s="20"/>
      <c r="V178" s="216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209">
        <v>300274</v>
      </c>
      <c r="B179" s="206">
        <v>18502</v>
      </c>
      <c r="C179" s="219" t="s">
        <v>154</v>
      </c>
      <c r="D179" s="219"/>
      <c r="E179" s="213" t="s">
        <v>138</v>
      </c>
      <c r="F179" s="212"/>
      <c r="G179" s="133"/>
      <c r="H179" s="133"/>
      <c r="I179" s="133"/>
      <c r="J179" s="133"/>
      <c r="K179" s="211">
        <f t="shared" si="15"/>
        <v>0</v>
      </c>
      <c r="L179" s="211">
        <f t="shared" si="16"/>
        <v>0</v>
      </c>
      <c r="M179" s="211">
        <v>523.9</v>
      </c>
      <c r="N179" s="211">
        <f>+M179*1000/(128*4*13*60)*T179</f>
        <v>5.247395833333333</v>
      </c>
      <c r="O179" s="211"/>
      <c r="P179" s="211">
        <f t="shared" si="17"/>
        <v>0</v>
      </c>
      <c r="Q179" s="211"/>
      <c r="R179" s="19">
        <f t="shared" si="18"/>
        <v>0</v>
      </c>
      <c r="S179" s="211">
        <f t="shared" si="19"/>
        <v>0</v>
      </c>
      <c r="T179" s="20">
        <v>4</v>
      </c>
      <c r="U179" s="20"/>
      <c r="V179" s="216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209">
        <v>300275</v>
      </c>
      <c r="B180" s="206">
        <v>18502</v>
      </c>
      <c r="C180" s="219" t="s">
        <v>154</v>
      </c>
      <c r="D180" s="219"/>
      <c r="E180" s="213" t="s">
        <v>156</v>
      </c>
      <c r="F180" s="212"/>
      <c r="G180" s="133"/>
      <c r="H180" s="133"/>
      <c r="I180" s="133"/>
      <c r="J180" s="133"/>
      <c r="K180" s="211">
        <f t="shared" si="15"/>
        <v>0</v>
      </c>
      <c r="L180" s="211">
        <f t="shared" si="16"/>
        <v>0</v>
      </c>
      <c r="M180" s="211">
        <v>523.9</v>
      </c>
      <c r="N180" s="211">
        <f>+M180*1000/(128*4*13*60)*T180</f>
        <v>5.247395833333333</v>
      </c>
      <c r="O180" s="211"/>
      <c r="P180" s="211">
        <f t="shared" si="17"/>
        <v>0</v>
      </c>
      <c r="Q180" s="211"/>
      <c r="R180" s="19">
        <f t="shared" si="18"/>
        <v>0</v>
      </c>
      <c r="S180" s="211">
        <f t="shared" si="19"/>
        <v>0</v>
      </c>
      <c r="T180" s="20">
        <v>4</v>
      </c>
      <c r="U180" s="20"/>
      <c r="V180" s="216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209">
        <v>300285</v>
      </c>
      <c r="B181" s="206">
        <v>13001</v>
      </c>
      <c r="C181" s="219" t="s">
        <v>157</v>
      </c>
      <c r="D181" s="219"/>
      <c r="E181" s="213" t="s">
        <v>37</v>
      </c>
      <c r="F181" s="212"/>
      <c r="G181" s="133"/>
      <c r="H181" s="133"/>
      <c r="I181" s="133"/>
      <c r="J181" s="133"/>
      <c r="K181" s="211">
        <f t="shared" si="15"/>
        <v>0</v>
      </c>
      <c r="L181" s="211">
        <f t="shared" si="16"/>
        <v>0</v>
      </c>
      <c r="M181" s="211">
        <v>438.7</v>
      </c>
      <c r="N181" s="211">
        <f t="shared" ref="N181:N186" si="22">+M181*1000/(90*4*18*60)*T181</f>
        <v>5.6417181069958842</v>
      </c>
      <c r="O181" s="211"/>
      <c r="P181" s="211">
        <f t="shared" si="17"/>
        <v>0</v>
      </c>
      <c r="Q181" s="211"/>
      <c r="R181" s="19">
        <f t="shared" si="18"/>
        <v>0</v>
      </c>
      <c r="S181" s="211">
        <f t="shared" si="19"/>
        <v>0</v>
      </c>
      <c r="T181" s="20">
        <v>5</v>
      </c>
      <c r="U181" s="20"/>
      <c r="V181" s="216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209">
        <v>300287</v>
      </c>
      <c r="B182" s="206">
        <v>13001</v>
      </c>
      <c r="C182" s="219" t="s">
        <v>157</v>
      </c>
      <c r="D182" s="219"/>
      <c r="E182" s="213" t="s">
        <v>57</v>
      </c>
      <c r="F182" s="212"/>
      <c r="G182" s="133"/>
      <c r="H182" s="133"/>
      <c r="I182" s="133"/>
      <c r="J182" s="133"/>
      <c r="K182" s="211">
        <f t="shared" si="15"/>
        <v>0</v>
      </c>
      <c r="L182" s="211">
        <f t="shared" si="16"/>
        <v>0</v>
      </c>
      <c r="M182" s="211">
        <v>438.7</v>
      </c>
      <c r="N182" s="211">
        <f t="shared" si="22"/>
        <v>5.6417181069958842</v>
      </c>
      <c r="O182" s="211"/>
      <c r="P182" s="211">
        <f t="shared" si="17"/>
        <v>0</v>
      </c>
      <c r="Q182" s="211"/>
      <c r="R182" s="19">
        <f t="shared" si="18"/>
        <v>0</v>
      </c>
      <c r="S182" s="211">
        <f t="shared" si="19"/>
        <v>0</v>
      </c>
      <c r="T182" s="20">
        <v>5</v>
      </c>
      <c r="U182" s="20"/>
      <c r="V182" s="216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209">
        <v>300284</v>
      </c>
      <c r="B183" s="206">
        <v>13001</v>
      </c>
      <c r="C183" s="219" t="s">
        <v>157</v>
      </c>
      <c r="D183" s="219"/>
      <c r="E183" s="213" t="s">
        <v>41</v>
      </c>
      <c r="F183" s="212"/>
      <c r="G183" s="133"/>
      <c r="H183" s="133"/>
      <c r="I183" s="133"/>
      <c r="J183" s="133"/>
      <c r="K183" s="211">
        <f t="shared" si="15"/>
        <v>0</v>
      </c>
      <c r="L183" s="211">
        <f t="shared" si="16"/>
        <v>0</v>
      </c>
      <c r="M183" s="211">
        <v>438.7</v>
      </c>
      <c r="N183" s="211">
        <f t="shared" si="22"/>
        <v>5.6417181069958842</v>
      </c>
      <c r="O183" s="211"/>
      <c r="P183" s="211">
        <f t="shared" si="17"/>
        <v>0</v>
      </c>
      <c r="Q183" s="211"/>
      <c r="R183" s="19">
        <f t="shared" si="18"/>
        <v>0</v>
      </c>
      <c r="S183" s="211">
        <f t="shared" si="19"/>
        <v>0</v>
      </c>
      <c r="T183" s="20">
        <v>5</v>
      </c>
      <c r="U183" s="20"/>
      <c r="V183" s="216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209">
        <v>300283</v>
      </c>
      <c r="B184" s="206">
        <v>13001</v>
      </c>
      <c r="C184" s="219" t="s">
        <v>157</v>
      </c>
      <c r="D184" s="219"/>
      <c r="E184" s="213" t="s">
        <v>35</v>
      </c>
      <c r="F184" s="212"/>
      <c r="G184" s="133"/>
      <c r="H184" s="133"/>
      <c r="I184" s="133"/>
      <c r="J184" s="133"/>
      <c r="K184" s="207">
        <f t="shared" si="15"/>
        <v>0</v>
      </c>
      <c r="L184" s="207">
        <f t="shared" si="16"/>
        <v>0</v>
      </c>
      <c r="M184" s="211">
        <v>438.7</v>
      </c>
      <c r="N184" s="211">
        <f t="shared" si="22"/>
        <v>5.6417181069958842</v>
      </c>
      <c r="O184" s="207"/>
      <c r="P184" s="211">
        <f t="shared" si="17"/>
        <v>0</v>
      </c>
      <c r="Q184" s="211"/>
      <c r="R184" s="19">
        <f t="shared" si="18"/>
        <v>0</v>
      </c>
      <c r="S184" s="211">
        <f t="shared" si="19"/>
        <v>0</v>
      </c>
      <c r="T184" s="20">
        <v>5</v>
      </c>
      <c r="U184" s="20"/>
      <c r="V184" s="216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209">
        <v>300289</v>
      </c>
      <c r="B185" s="206">
        <v>13001</v>
      </c>
      <c r="C185" s="219" t="s">
        <v>157</v>
      </c>
      <c r="D185" s="219"/>
      <c r="E185" s="213" t="s">
        <v>66</v>
      </c>
      <c r="F185" s="212"/>
      <c r="G185" s="133"/>
      <c r="H185" s="133"/>
      <c r="I185" s="133"/>
      <c r="J185" s="133"/>
      <c r="K185" s="207">
        <f t="shared" si="15"/>
        <v>0</v>
      </c>
      <c r="L185" s="207">
        <f t="shared" si="16"/>
        <v>0</v>
      </c>
      <c r="M185" s="211">
        <v>438.7</v>
      </c>
      <c r="N185" s="211">
        <f t="shared" si="22"/>
        <v>5.6417181069958842</v>
      </c>
      <c r="O185" s="207"/>
      <c r="P185" s="211">
        <f t="shared" si="17"/>
        <v>0</v>
      </c>
      <c r="Q185" s="211"/>
      <c r="R185" s="19">
        <f t="shared" si="18"/>
        <v>0</v>
      </c>
      <c r="S185" s="211">
        <f t="shared" si="19"/>
        <v>0</v>
      </c>
      <c r="T185" s="20">
        <v>5</v>
      </c>
      <c r="U185" s="20"/>
      <c r="V185" s="216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209">
        <v>300288</v>
      </c>
      <c r="B186" s="206">
        <v>13001</v>
      </c>
      <c r="C186" s="219" t="s">
        <v>157</v>
      </c>
      <c r="D186" s="219"/>
      <c r="E186" s="213" t="s">
        <v>158</v>
      </c>
      <c r="F186" s="212"/>
      <c r="G186" s="133"/>
      <c r="H186" s="133"/>
      <c r="I186" s="133"/>
      <c r="J186" s="133"/>
      <c r="K186" s="211">
        <f t="shared" si="15"/>
        <v>0</v>
      </c>
      <c r="L186" s="211">
        <f t="shared" si="16"/>
        <v>0</v>
      </c>
      <c r="M186" s="211">
        <v>438.7</v>
      </c>
      <c r="N186" s="211">
        <f t="shared" si="22"/>
        <v>5.6417181069958842</v>
      </c>
      <c r="O186" s="211"/>
      <c r="P186" s="211">
        <f t="shared" si="17"/>
        <v>0</v>
      </c>
      <c r="Q186" s="211"/>
      <c r="R186" s="19">
        <f t="shared" si="18"/>
        <v>0</v>
      </c>
      <c r="S186" s="211">
        <f t="shared" si="19"/>
        <v>0</v>
      </c>
      <c r="T186" s="20">
        <v>5</v>
      </c>
      <c r="U186" s="20"/>
      <c r="V186" s="216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208">
        <v>300355</v>
      </c>
      <c r="B187" s="206" t="s">
        <v>159</v>
      </c>
      <c r="C187" s="230" t="s">
        <v>160</v>
      </c>
      <c r="D187" s="231"/>
      <c r="E187" s="33" t="s">
        <v>35</v>
      </c>
      <c r="F187" s="212"/>
      <c r="G187" s="133"/>
      <c r="H187" s="133"/>
      <c r="I187" s="133"/>
      <c r="J187" s="133"/>
      <c r="K187" s="207">
        <f t="shared" si="15"/>
        <v>0</v>
      </c>
      <c r="L187" s="211">
        <f t="shared" si="16"/>
        <v>0</v>
      </c>
      <c r="M187" s="211">
        <v>438</v>
      </c>
      <c r="N187" s="211">
        <f>+M187*1000/(110*4*18*60)*T187</f>
        <v>4.6085858585858581</v>
      </c>
      <c r="O187" s="211"/>
      <c r="P187" s="211">
        <f t="shared" si="17"/>
        <v>0</v>
      </c>
      <c r="Q187" s="211"/>
      <c r="R187" s="19">
        <f t="shared" si="18"/>
        <v>0</v>
      </c>
      <c r="S187" s="211">
        <f t="shared" si="19"/>
        <v>0</v>
      </c>
      <c r="T187" s="20">
        <v>5</v>
      </c>
      <c r="U187" s="20"/>
      <c r="V187" s="216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208">
        <v>300356</v>
      </c>
      <c r="B188" s="206" t="s">
        <v>161</v>
      </c>
      <c r="C188" s="230" t="s">
        <v>160</v>
      </c>
      <c r="D188" s="231"/>
      <c r="E188" s="214" t="s">
        <v>41</v>
      </c>
      <c r="F188" s="212"/>
      <c r="G188" s="133"/>
      <c r="H188" s="133"/>
      <c r="I188" s="133"/>
      <c r="J188" s="133"/>
      <c r="K188" s="207">
        <f t="shared" si="15"/>
        <v>0</v>
      </c>
      <c r="L188" s="211">
        <f t="shared" si="16"/>
        <v>0</v>
      </c>
      <c r="M188" s="211">
        <v>438</v>
      </c>
      <c r="N188" s="211">
        <f>+M188*1000/(110*4*18*60)*T188</f>
        <v>4.6085858585858581</v>
      </c>
      <c r="O188" s="211"/>
      <c r="P188" s="211">
        <f t="shared" si="17"/>
        <v>0</v>
      </c>
      <c r="Q188" s="211"/>
      <c r="R188" s="19">
        <f t="shared" si="18"/>
        <v>0</v>
      </c>
      <c r="S188" s="211">
        <f t="shared" si="19"/>
        <v>0</v>
      </c>
      <c r="T188" s="20">
        <v>5</v>
      </c>
      <c r="U188" s="20"/>
      <c r="V188" s="216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208">
        <v>300357</v>
      </c>
      <c r="B189" s="206" t="s">
        <v>162</v>
      </c>
      <c r="C189" s="230" t="s">
        <v>160</v>
      </c>
      <c r="D189" s="231"/>
      <c r="E189" s="214" t="s">
        <v>37</v>
      </c>
      <c r="F189" s="212"/>
      <c r="G189" s="133"/>
      <c r="H189" s="133"/>
      <c r="I189" s="133"/>
      <c r="J189" s="133"/>
      <c r="K189" s="207">
        <f t="shared" si="15"/>
        <v>0</v>
      </c>
      <c r="L189" s="211">
        <f t="shared" si="16"/>
        <v>0</v>
      </c>
      <c r="M189" s="211">
        <v>438</v>
      </c>
      <c r="N189" s="211">
        <f>+M189*1000/(110*4*18*60)*T189</f>
        <v>4.6085858585858581</v>
      </c>
      <c r="O189" s="211"/>
      <c r="P189" s="211">
        <f t="shared" si="17"/>
        <v>0</v>
      </c>
      <c r="Q189" s="211"/>
      <c r="R189" s="19">
        <f t="shared" si="18"/>
        <v>0</v>
      </c>
      <c r="S189" s="211">
        <f t="shared" si="19"/>
        <v>0</v>
      </c>
      <c r="T189" s="20">
        <v>5</v>
      </c>
      <c r="U189" s="20"/>
      <c r="V189" s="216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208">
        <v>300358</v>
      </c>
      <c r="B190" s="206" t="s">
        <v>163</v>
      </c>
      <c r="C190" s="230" t="s">
        <v>160</v>
      </c>
      <c r="D190" s="231"/>
      <c r="E190" s="214" t="s">
        <v>66</v>
      </c>
      <c r="F190" s="212"/>
      <c r="G190" s="133"/>
      <c r="H190" s="133"/>
      <c r="I190" s="133"/>
      <c r="J190" s="133"/>
      <c r="K190" s="207">
        <f t="shared" si="15"/>
        <v>0</v>
      </c>
      <c r="L190" s="211">
        <f t="shared" si="16"/>
        <v>0</v>
      </c>
      <c r="M190" s="211">
        <v>438</v>
      </c>
      <c r="N190" s="211">
        <f>+M190*1000/(110*4*18*60)*T190</f>
        <v>4.6085858585858581</v>
      </c>
      <c r="O190" s="211"/>
      <c r="P190" s="211">
        <f t="shared" si="17"/>
        <v>0</v>
      </c>
      <c r="Q190" s="211"/>
      <c r="R190" s="19">
        <f t="shared" si="18"/>
        <v>0</v>
      </c>
      <c r="S190" s="211">
        <f t="shared" si="19"/>
        <v>0</v>
      </c>
      <c r="T190" s="20">
        <v>5</v>
      </c>
      <c r="U190" s="20"/>
      <c r="V190" s="216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s="2" customFormat="1" ht="21.95" hidden="1" customHeight="1">
      <c r="A191" s="209">
        <v>300438</v>
      </c>
      <c r="B191" s="206" t="s">
        <v>87</v>
      </c>
      <c r="C191" s="219" t="s">
        <v>304</v>
      </c>
      <c r="D191" s="219" t="s">
        <v>89</v>
      </c>
      <c r="E191" s="213" t="s">
        <v>35</v>
      </c>
      <c r="F191" s="212"/>
      <c r="G191" s="133"/>
      <c r="H191" s="133"/>
      <c r="I191" s="133"/>
      <c r="J191" s="133"/>
      <c r="K191" s="211">
        <f t="shared" si="15"/>
        <v>0</v>
      </c>
      <c r="L191" s="211">
        <f t="shared" si="16"/>
        <v>0</v>
      </c>
      <c r="M191" s="211">
        <v>336.6</v>
      </c>
      <c r="N191" s="211">
        <f>+M191*1000/(45*10*18*60)*T191</f>
        <v>1.3851851851851851</v>
      </c>
      <c r="O191" s="211"/>
      <c r="P191" s="211">
        <f t="shared" si="17"/>
        <v>0</v>
      </c>
      <c r="Q191" s="211"/>
      <c r="R191" s="19">
        <f t="shared" si="18"/>
        <v>0</v>
      </c>
      <c r="S191" s="211">
        <f t="shared" si="19"/>
        <v>0</v>
      </c>
      <c r="T191" s="20">
        <v>2</v>
      </c>
      <c r="U191" s="20"/>
      <c r="V191" s="216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s="2" customFormat="1" ht="21.95" hidden="1" customHeight="1">
      <c r="A192" s="209">
        <v>300439</v>
      </c>
      <c r="B192" s="206" t="s">
        <v>87</v>
      </c>
      <c r="C192" s="219" t="s">
        <v>304</v>
      </c>
      <c r="D192" s="219" t="s">
        <v>89</v>
      </c>
      <c r="E192" s="213" t="s">
        <v>66</v>
      </c>
      <c r="F192" s="212"/>
      <c r="G192" s="133"/>
      <c r="H192" s="133"/>
      <c r="I192" s="133"/>
      <c r="J192" s="133"/>
      <c r="K192" s="211">
        <f t="shared" si="15"/>
        <v>0</v>
      </c>
      <c r="L192" s="211">
        <f t="shared" si="16"/>
        <v>0</v>
      </c>
      <c r="M192" s="211">
        <v>336.6</v>
      </c>
      <c r="N192" s="211">
        <f>+M192*1000/(45*10*18*60)*T192</f>
        <v>1.3851851851851851</v>
      </c>
      <c r="O192" s="211"/>
      <c r="P192" s="211">
        <f t="shared" si="17"/>
        <v>0</v>
      </c>
      <c r="Q192" s="211"/>
      <c r="R192" s="19">
        <f t="shared" si="18"/>
        <v>0</v>
      </c>
      <c r="S192" s="211">
        <f t="shared" si="19"/>
        <v>0</v>
      </c>
      <c r="T192" s="20">
        <v>2</v>
      </c>
      <c r="U192" s="20"/>
      <c r="V192" s="216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s="2" customFormat="1" ht="21.95" hidden="1" customHeight="1">
      <c r="A193" s="209">
        <v>300440</v>
      </c>
      <c r="B193" s="206" t="s">
        <v>87</v>
      </c>
      <c r="C193" s="219" t="s">
        <v>304</v>
      </c>
      <c r="D193" s="219" t="s">
        <v>89</v>
      </c>
      <c r="E193" s="213" t="s">
        <v>41</v>
      </c>
      <c r="F193" s="212"/>
      <c r="G193" s="133"/>
      <c r="H193" s="133"/>
      <c r="I193" s="133"/>
      <c r="J193" s="133"/>
      <c r="K193" s="211">
        <f t="shared" si="15"/>
        <v>0</v>
      </c>
      <c r="L193" s="211">
        <f t="shared" si="16"/>
        <v>0</v>
      </c>
      <c r="M193" s="211">
        <v>336.6</v>
      </c>
      <c r="N193" s="211">
        <f>+M193*1000/(45*10*18*60)*T193</f>
        <v>1.3851851851851851</v>
      </c>
      <c r="O193" s="211"/>
      <c r="P193" s="211">
        <f t="shared" si="17"/>
        <v>0</v>
      </c>
      <c r="Q193" s="211"/>
      <c r="R193" s="19">
        <f t="shared" si="18"/>
        <v>0</v>
      </c>
      <c r="S193" s="211">
        <f t="shared" si="19"/>
        <v>0</v>
      </c>
      <c r="T193" s="20">
        <v>2</v>
      </c>
      <c r="U193" s="20"/>
      <c r="V193" s="216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s="2" customFormat="1" ht="21.95" customHeight="1">
      <c r="A194" s="209">
        <v>300441</v>
      </c>
      <c r="B194" s="206">
        <v>13002</v>
      </c>
      <c r="C194" s="219" t="s">
        <v>304</v>
      </c>
      <c r="D194" s="219" t="s">
        <v>89</v>
      </c>
      <c r="E194" s="213" t="s">
        <v>37</v>
      </c>
      <c r="F194" s="212">
        <v>2087</v>
      </c>
      <c r="G194" s="133">
        <v>9</v>
      </c>
      <c r="H194" s="133">
        <v>0.5</v>
      </c>
      <c r="I194" s="133">
        <f>9+H194-J194/300</f>
        <v>8.3333333333333339</v>
      </c>
      <c r="J194" s="133">
        <v>350</v>
      </c>
      <c r="K194" s="211">
        <f t="shared" si="15"/>
        <v>3029.4</v>
      </c>
      <c r="L194" s="211">
        <f t="shared" si="16"/>
        <v>2805.0000000000005</v>
      </c>
      <c r="M194" s="211">
        <v>336.6</v>
      </c>
      <c r="N194" s="211">
        <f>+M194*1000/(45*10*18*60)*T194</f>
        <v>1.3851851851851851</v>
      </c>
      <c r="O194" s="211"/>
      <c r="P194" s="211">
        <f t="shared" si="17"/>
        <v>11.543209876543211</v>
      </c>
      <c r="Q194" s="211">
        <v>11</v>
      </c>
      <c r="R194" s="19">
        <f t="shared" si="18"/>
        <v>55</v>
      </c>
      <c r="S194" s="211">
        <f t="shared" si="19"/>
        <v>43.456790123456791</v>
      </c>
      <c r="T194" s="20">
        <v>2</v>
      </c>
      <c r="U194" s="20">
        <v>5</v>
      </c>
      <c r="V194" s="216">
        <f t="array" ref="V194">IF(ISERROR(L194/K194),"",L194/K194)</f>
        <v>0.92592592592592604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73.589999999999989</v>
      </c>
      <c r="H199" s="182">
        <f t="array" ref="H199">SUM(IF(ISERROR(H6:H198),“”,H6:H198))</f>
        <v>4.9190476190476184</v>
      </c>
      <c r="I199" s="182">
        <f t="array" ref="I199">SUM(IF(ISERROR(I6:I198),“”,I6:I198))</f>
        <v>71.827380952380949</v>
      </c>
      <c r="J199" s="182">
        <f t="array" ref="J199">SUM(IF(ISERROR(J6:J198),“”,J6:J198))</f>
        <v>1550</v>
      </c>
      <c r="K199" s="182">
        <f t="array" ref="K199">SUM(IF(ISERROR(K6:K198),“”,K6:K198))</f>
        <v>31674.944000000007</v>
      </c>
      <c r="L199" s="56">
        <f>SUM(L6:L198)</f>
        <v>30980.339761904761</v>
      </c>
      <c r="M199" s="182"/>
      <c r="N199" s="182"/>
      <c r="O199" s="182">
        <f>SUM(O6:O190)</f>
        <v>1.5</v>
      </c>
      <c r="P199" s="56">
        <f>SUM((P6:P190),(W204:X209))</f>
        <v>417.6996011413604</v>
      </c>
      <c r="Q199" s="182"/>
      <c r="R199" s="56">
        <f>SUM((R6:R190),(Y204:Z209))</f>
        <v>436</v>
      </c>
      <c r="S199" s="182">
        <f t="array" ref="S199">SUM(IF(ISERROR(S6:S198),“”,S6:S198))</f>
        <v>17.757188982096359</v>
      </c>
      <c r="T199" s="182"/>
      <c r="U199" s="182"/>
      <c r="V199" s="179">
        <f>IF(ISERROR(L199/K199),"",L199/K199)</f>
        <v>0.97807086136931309</v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4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>
        <f>IF(ISERROR(P199/R199),"",P199/R199)</f>
        <v>0.95802660812238627</v>
      </c>
      <c r="P200" s="245"/>
      <c r="Q200" s="245"/>
      <c r="R200" s="246"/>
      <c r="S200" s="44"/>
      <c r="T200" s="45"/>
      <c r="U200" s="45"/>
      <c r="V200" s="45"/>
      <c r="W200" s="247">
        <f>SUM(W199:AC199)</f>
        <v>4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>
        <v>85.5</v>
      </c>
      <c r="F202" s="250"/>
      <c r="G202" s="250">
        <v>85.5</v>
      </c>
      <c r="H202" s="250"/>
      <c r="I202" s="250">
        <f>G202-E202</f>
        <v>0</v>
      </c>
      <c r="J202" s="250"/>
      <c r="K202" s="252">
        <f t="array" ref="K202">IF(ISERROR(I202/E202),"",I202/E202)</f>
        <v>0</v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>
        <v>5359.5</v>
      </c>
      <c r="F203" s="250"/>
      <c r="G203" s="250">
        <v>5531.1</v>
      </c>
      <c r="H203" s="250"/>
      <c r="I203" s="250">
        <f>G203-E203</f>
        <v>171.60000000000036</v>
      </c>
      <c r="J203" s="250"/>
      <c r="K203" s="252">
        <f t="array" ref="K203">IF(ISERROR(I203/E203),"",I203/E203)</f>
        <v>3.2017912118667856E-2</v>
      </c>
      <c r="L203" s="252"/>
      <c r="M203" s="237"/>
      <c r="N203" s="238"/>
      <c r="O203" s="253"/>
      <c r="P203" s="253"/>
      <c r="Q203" s="254" t="s">
        <v>185</v>
      </c>
      <c r="R203" s="254"/>
      <c r="S203" s="255">
        <v>31</v>
      </c>
      <c r="T203" s="255"/>
      <c r="U203" s="255">
        <v>28</v>
      </c>
      <c r="V203" s="255"/>
      <c r="W203" s="254">
        <f t="shared" ref="W203:W210" si="23">S203*11</f>
        <v>341</v>
      </c>
      <c r="X203" s="254"/>
      <c r="Y203" s="254">
        <f t="shared" ref="Y203:Y210" si="24">U203*11</f>
        <v>308</v>
      </c>
      <c r="Z203" s="254"/>
      <c r="AA203" s="254">
        <f t="shared" ref="AA203:AA210" si="25">Y203-W203</f>
        <v>-33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>
        <v>777</v>
      </c>
      <c r="F204" s="250"/>
      <c r="G204" s="250">
        <v>777</v>
      </c>
      <c r="H204" s="250"/>
      <c r="I204" s="250">
        <f>G204-E204</f>
        <v>0</v>
      </c>
      <c r="J204" s="250"/>
      <c r="K204" s="252">
        <f t="array" ref="K204">IF(ISERROR(I204/E204),"",I204/E204)</f>
        <v>0</v>
      </c>
      <c r="L204" s="252"/>
      <c r="M204" s="237"/>
      <c r="N204" s="238"/>
      <c r="O204" s="253"/>
      <c r="P204" s="253"/>
      <c r="Q204" s="254" t="s">
        <v>187</v>
      </c>
      <c r="R204" s="254"/>
      <c r="S204" s="255">
        <v>6</v>
      </c>
      <c r="T204" s="255"/>
      <c r="U204" s="255">
        <v>6</v>
      </c>
      <c r="V204" s="255"/>
      <c r="W204" s="254">
        <f t="shared" si="23"/>
        <v>66</v>
      </c>
      <c r="X204" s="254"/>
      <c r="Y204" s="254">
        <f t="shared" si="24"/>
        <v>66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92">
        <v>0.75</v>
      </c>
      <c r="T205" s="293"/>
      <c r="U205" s="255">
        <v>1</v>
      </c>
      <c r="V205" s="255"/>
      <c r="W205" s="254">
        <f t="shared" si="23"/>
        <v>8.25</v>
      </c>
      <c r="X205" s="254"/>
      <c r="Y205" s="254">
        <f t="shared" si="24"/>
        <v>11</v>
      </c>
      <c r="Z205" s="254"/>
      <c r="AA205" s="254">
        <f t="shared" si="25"/>
        <v>2.75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>
        <v>154579</v>
      </c>
      <c r="H206" s="257"/>
      <c r="I206" s="325">
        <v>154450</v>
      </c>
      <c r="J206" s="326"/>
      <c r="K206" s="260">
        <f>G206-I206</f>
        <v>129</v>
      </c>
      <c r="L206" s="260"/>
      <c r="M206" s="261">
        <f t="array" ref="M206">IF(ISERROR(K206/L199),"",K206/(L199/1000))</f>
        <v>4.1639310927966626</v>
      </c>
      <c r="N206" s="261"/>
      <c r="O206" s="253"/>
      <c r="P206" s="253"/>
      <c r="Q206" s="254" t="s">
        <v>197</v>
      </c>
      <c r="R206" s="254"/>
      <c r="S206" s="292">
        <v>0.75</v>
      </c>
      <c r="T206" s="293"/>
      <c r="U206" s="255">
        <v>1</v>
      </c>
      <c r="V206" s="255"/>
      <c r="W206" s="254">
        <f t="shared" si="23"/>
        <v>8.25</v>
      </c>
      <c r="X206" s="254"/>
      <c r="Y206" s="254">
        <f t="shared" si="24"/>
        <v>11</v>
      </c>
      <c r="Z206" s="254"/>
      <c r="AA206" s="254">
        <f t="shared" si="25"/>
        <v>2.75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>
        <f>28957.6*120+45349.8*60</f>
        <v>6195900</v>
      </c>
      <c r="H207" s="257"/>
      <c r="I207" s="325">
        <v>6193806</v>
      </c>
      <c r="J207" s="326"/>
      <c r="K207" s="260">
        <f>G207-I207</f>
        <v>2094</v>
      </c>
      <c r="L207" s="260"/>
      <c r="M207" s="261">
        <f t="array" ref="M207">IF(ISERROR(K207/L199),"",K207/(L199/1000))</f>
        <v>67.59125355283885</v>
      </c>
      <c r="N207" s="261"/>
      <c r="O207" s="253"/>
      <c r="P207" s="253"/>
      <c r="Q207" s="254" t="s">
        <v>200</v>
      </c>
      <c r="R207" s="254"/>
      <c r="S207" s="292">
        <v>1.5</v>
      </c>
      <c r="T207" s="293"/>
      <c r="U207" s="255">
        <v>1</v>
      </c>
      <c r="V207" s="255"/>
      <c r="W207" s="254">
        <f t="shared" si="23"/>
        <v>16.5</v>
      </c>
      <c r="X207" s="254"/>
      <c r="Y207" s="254">
        <f t="shared" si="24"/>
        <v>11</v>
      </c>
      <c r="Z207" s="254"/>
      <c r="AA207" s="254">
        <f t="shared" si="25"/>
        <v>-5.5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>
        <f>+I208+20</f>
        <v>28579</v>
      </c>
      <c r="H208" s="257"/>
      <c r="I208" s="256">
        <v>28559</v>
      </c>
      <c r="J208" s="257"/>
      <c r="K208" s="260">
        <f>G208-I208</f>
        <v>20</v>
      </c>
      <c r="L208" s="260"/>
      <c r="M208" s="264">
        <f t="array" ref="M208">IF(ISERROR(K208/L199),"",K208/(L199/1000))</f>
        <v>0.64557071206149808</v>
      </c>
      <c r="N208" s="264"/>
      <c r="O208" s="253"/>
      <c r="P208" s="253"/>
      <c r="Q208" s="254" t="s">
        <v>203</v>
      </c>
      <c r="R208" s="254"/>
      <c r="S208" s="292">
        <v>1</v>
      </c>
      <c r="T208" s="293"/>
      <c r="U208" s="255">
        <v>1</v>
      </c>
      <c r="V208" s="255"/>
      <c r="W208" s="254">
        <f t="shared" si="23"/>
        <v>11</v>
      </c>
      <c r="X208" s="254"/>
      <c r="Y208" s="254">
        <f t="shared" si="24"/>
        <v>11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>
        <f>2.56+3.2/2</f>
        <v>4.16</v>
      </c>
      <c r="L209" s="263"/>
      <c r="M209" s="265">
        <f t="array" ref="M209">IF(ISERROR((K209+K210)/L199),"",((K209+K210)*1000)/(L199/1000))</f>
        <v>134.27870810879162</v>
      </c>
      <c r="N209" s="266"/>
      <c r="O209" s="253"/>
      <c r="P209" s="253"/>
      <c r="Q209" s="254" t="s">
        <v>206</v>
      </c>
      <c r="R209" s="254"/>
      <c r="S209" s="292">
        <v>3</v>
      </c>
      <c r="T209" s="293"/>
      <c r="U209" s="255">
        <v>7</v>
      </c>
      <c r="V209" s="255"/>
      <c r="W209" s="254">
        <f t="shared" si="23"/>
        <v>33</v>
      </c>
      <c r="X209" s="254"/>
      <c r="Y209" s="254">
        <f t="shared" si="24"/>
        <v>77</v>
      </c>
      <c r="Z209" s="254"/>
      <c r="AA209" s="254">
        <f t="shared" si="25"/>
        <v>44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44</v>
      </c>
      <c r="T210" s="255"/>
      <c r="U210" s="255">
        <f>SUM(U203:V209)</f>
        <v>45</v>
      </c>
      <c r="V210" s="255"/>
      <c r="W210" s="254">
        <f t="shared" si="23"/>
        <v>484</v>
      </c>
      <c r="X210" s="254"/>
      <c r="Y210" s="254">
        <f t="shared" si="24"/>
        <v>495</v>
      </c>
      <c r="Z210" s="254"/>
      <c r="AA210" s="254">
        <f t="shared" si="25"/>
        <v>11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>
        <f>IF(ISERROR(K208/K209),"",K208/K209)</f>
        <v>4.8076923076923075</v>
      </c>
      <c r="N211" s="274"/>
      <c r="O211" s="253"/>
      <c r="P211" s="253"/>
      <c r="Q211" s="251" t="s">
        <v>211</v>
      </c>
      <c r="R211" s="251"/>
      <c r="S211" s="275">
        <f t="array" ref="S211">IF(ISERROR(L199/Y210),"",L199/Y210)</f>
        <v>62.586544973544974</v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hidden="1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hidden="1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hidden="1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209">
        <v>300316</v>
      </c>
      <c r="B218" s="206" t="s">
        <v>33</v>
      </c>
      <c r="C218" s="219" t="s">
        <v>34</v>
      </c>
      <c r="D218" s="219"/>
      <c r="E218" s="213" t="s">
        <v>38</v>
      </c>
      <c r="F218" s="212">
        <v>2154</v>
      </c>
      <c r="G218" s="211">
        <v>3.33</v>
      </c>
      <c r="H218" s="211">
        <v>0.33333333333333331</v>
      </c>
      <c r="I218" s="211">
        <f>3+H218</f>
        <v>3.3333333333333335</v>
      </c>
      <c r="J218" s="211"/>
      <c r="K218" s="211">
        <f t="shared" si="26"/>
        <v>2051.2800000000002</v>
      </c>
      <c r="L218" s="211">
        <f t="shared" si="27"/>
        <v>2053.3333333333335</v>
      </c>
      <c r="M218" s="211">
        <v>616</v>
      </c>
      <c r="N218" s="211">
        <f t="shared" si="28"/>
        <v>3.6277974087161367</v>
      </c>
      <c r="O218" s="211"/>
      <c r="P218" s="211">
        <f t="shared" si="29"/>
        <v>12.092658029053789</v>
      </c>
      <c r="Q218" s="211">
        <v>6</v>
      </c>
      <c r="R218" s="19">
        <f t="shared" si="30"/>
        <v>12</v>
      </c>
      <c r="S218" s="211">
        <f t="shared" si="31"/>
        <v>-9.2658029053788837E-2</v>
      </c>
      <c r="T218" s="20">
        <v>4</v>
      </c>
      <c r="U218" s="20">
        <v>2</v>
      </c>
      <c r="V218" s="210">
        <f t="array" ref="V218">IF(ISERROR(L218/K218),"",L218/K218)</f>
        <v>1.0010010010010009</v>
      </c>
      <c r="W218" s="20"/>
      <c r="X218" s="206"/>
      <c r="Y218" s="206"/>
      <c r="Z218" s="212"/>
      <c r="AA218" s="20"/>
      <c r="AB218" s="20"/>
      <c r="AC218" s="20"/>
    </row>
    <row r="219" spans="1:29" s="2" customFormat="1" ht="21.95" hidden="1" customHeight="1">
      <c r="A219" s="209">
        <v>300317</v>
      </c>
      <c r="B219" s="206" t="s">
        <v>33</v>
      </c>
      <c r="C219" s="219" t="s">
        <v>34</v>
      </c>
      <c r="D219" s="219"/>
      <c r="E219" s="213" t="s">
        <v>39</v>
      </c>
      <c r="F219" s="212"/>
      <c r="G219" s="211"/>
      <c r="H219" s="211"/>
      <c r="I219" s="211"/>
      <c r="J219" s="211"/>
      <c r="K219" s="211">
        <f t="shared" si="26"/>
        <v>0</v>
      </c>
      <c r="L219" s="211">
        <f t="shared" si="27"/>
        <v>0</v>
      </c>
      <c r="M219" s="211">
        <v>616</v>
      </c>
      <c r="N219" s="211">
        <f t="shared" si="28"/>
        <v>3.6277974087161367</v>
      </c>
      <c r="O219" s="211"/>
      <c r="P219" s="211">
        <f t="shared" si="29"/>
        <v>0</v>
      </c>
      <c r="Q219" s="211"/>
      <c r="R219" s="19">
        <f t="shared" si="30"/>
        <v>0</v>
      </c>
      <c r="S219" s="211">
        <f t="shared" si="31"/>
        <v>0</v>
      </c>
      <c r="T219" s="20">
        <v>4</v>
      </c>
      <c r="U219" s="20"/>
      <c r="V219" s="210" t="str">
        <f t="array" ref="V219">IF(ISERROR(L219/K219),"",L219/K219)</f>
        <v/>
      </c>
      <c r="W219" s="20"/>
      <c r="X219" s="206"/>
      <c r="Y219" s="206"/>
      <c r="Z219" s="212"/>
      <c r="AA219" s="20"/>
      <c r="AB219" s="20"/>
      <c r="AC219" s="20"/>
    </row>
    <row r="220" spans="1:29" s="2" customFormat="1" ht="21.95" hidden="1" customHeight="1">
      <c r="A220" s="209">
        <v>300315</v>
      </c>
      <c r="B220" s="206" t="s">
        <v>33</v>
      </c>
      <c r="C220" s="219" t="s">
        <v>34</v>
      </c>
      <c r="D220" s="219"/>
      <c r="E220" s="213" t="s">
        <v>40</v>
      </c>
      <c r="F220" s="212"/>
      <c r="G220" s="211"/>
      <c r="H220" s="211"/>
      <c r="I220" s="211"/>
      <c r="J220" s="211"/>
      <c r="K220" s="211">
        <f t="shared" si="26"/>
        <v>0</v>
      </c>
      <c r="L220" s="211">
        <f t="shared" si="27"/>
        <v>0</v>
      </c>
      <c r="M220" s="211">
        <v>616</v>
      </c>
      <c r="N220" s="211">
        <f t="shared" si="28"/>
        <v>3.6277974087161367</v>
      </c>
      <c r="O220" s="211"/>
      <c r="P220" s="211">
        <f t="shared" si="29"/>
        <v>0</v>
      </c>
      <c r="Q220" s="211"/>
      <c r="R220" s="19">
        <f t="shared" si="30"/>
        <v>0</v>
      </c>
      <c r="S220" s="211">
        <f t="shared" si="31"/>
        <v>0</v>
      </c>
      <c r="T220" s="20">
        <v>4</v>
      </c>
      <c r="U220" s="20"/>
      <c r="V220" s="210" t="str">
        <f t="array" ref="V220">IF(ISERROR(L220/K220),"",L220/K220)</f>
        <v/>
      </c>
      <c r="W220" s="20"/>
      <c r="X220" s="206"/>
      <c r="Y220" s="206"/>
      <c r="Z220" s="212"/>
      <c r="AA220" s="20"/>
      <c r="AB220" s="20"/>
      <c r="AC220" s="20"/>
    </row>
    <row r="221" spans="1:29" s="2" customFormat="1" ht="21.95" hidden="1" customHeight="1">
      <c r="A221" s="209">
        <v>300314</v>
      </c>
      <c r="B221" s="206" t="s">
        <v>33</v>
      </c>
      <c r="C221" s="219" t="s">
        <v>34</v>
      </c>
      <c r="D221" s="219"/>
      <c r="E221" s="213" t="s">
        <v>41</v>
      </c>
      <c r="F221" s="212"/>
      <c r="G221" s="211"/>
      <c r="H221" s="211"/>
      <c r="I221" s="211"/>
      <c r="J221" s="211"/>
      <c r="K221" s="211">
        <f t="shared" si="26"/>
        <v>0</v>
      </c>
      <c r="L221" s="211">
        <f t="shared" si="27"/>
        <v>0</v>
      </c>
      <c r="M221" s="211">
        <v>616</v>
      </c>
      <c r="N221" s="211">
        <f t="shared" si="28"/>
        <v>3.6277974087161367</v>
      </c>
      <c r="O221" s="211"/>
      <c r="P221" s="211">
        <f t="shared" si="29"/>
        <v>0</v>
      </c>
      <c r="Q221" s="211"/>
      <c r="R221" s="19">
        <f t="shared" si="30"/>
        <v>0</v>
      </c>
      <c r="S221" s="211">
        <f t="shared" si="31"/>
        <v>0</v>
      </c>
      <c r="T221" s="20">
        <v>4</v>
      </c>
      <c r="U221" s="20"/>
      <c r="V221" s="210" t="str">
        <f t="array" ref="V221">IF(ISERROR(L221/K221),"",L221/K221)</f>
        <v/>
      </c>
      <c r="W221" s="20"/>
      <c r="X221" s="206"/>
      <c r="Y221" s="206"/>
      <c r="Z221" s="212"/>
      <c r="AA221" s="20"/>
      <c r="AB221" s="20"/>
      <c r="AC221" s="20"/>
    </row>
    <row r="222" spans="1:29" s="2" customFormat="1" ht="21.95" customHeight="1">
      <c r="A222" s="209">
        <v>300313</v>
      </c>
      <c r="B222" s="206" t="s">
        <v>33</v>
      </c>
      <c r="C222" s="219" t="s">
        <v>34</v>
      </c>
      <c r="D222" s="219"/>
      <c r="E222" s="213" t="s">
        <v>42</v>
      </c>
      <c r="F222" s="212">
        <v>2186</v>
      </c>
      <c r="G222" s="211">
        <v>3.25</v>
      </c>
      <c r="H222" s="211"/>
      <c r="I222" s="211">
        <f>3.5-J222/600</f>
        <v>3.25</v>
      </c>
      <c r="J222" s="211">
        <v>150</v>
      </c>
      <c r="K222" s="211">
        <f t="shared" si="26"/>
        <v>2002</v>
      </c>
      <c r="L222" s="211">
        <f t="shared" si="27"/>
        <v>2002</v>
      </c>
      <c r="M222" s="211">
        <v>616</v>
      </c>
      <c r="N222" s="211">
        <f t="shared" si="28"/>
        <v>3.6277974087161367</v>
      </c>
      <c r="O222" s="211">
        <v>0.5</v>
      </c>
      <c r="P222" s="211">
        <f t="shared" si="29"/>
        <v>12.790341578327444</v>
      </c>
      <c r="Q222" s="211">
        <v>5.5</v>
      </c>
      <c r="R222" s="19">
        <f t="shared" si="30"/>
        <v>11</v>
      </c>
      <c r="S222" s="211">
        <f t="shared" si="31"/>
        <v>-1.7903415783274443</v>
      </c>
      <c r="T222" s="20">
        <v>4</v>
      </c>
      <c r="U222" s="20">
        <v>2</v>
      </c>
      <c r="V222" s="210">
        <f t="array" ref="V222">IF(ISERROR(L222/K222),"",L222/K222)</f>
        <v>1</v>
      </c>
      <c r="W222" s="20"/>
      <c r="X222" s="206"/>
      <c r="Y222" s="206"/>
      <c r="Z222" s="212"/>
      <c r="AA222" s="20"/>
      <c r="AB222" s="20"/>
      <c r="AC222" s="20"/>
    </row>
    <row r="223" spans="1:29" s="2" customFormat="1" ht="21.95" hidden="1" customHeight="1">
      <c r="A223" s="209"/>
      <c r="B223" s="206" t="s">
        <v>43</v>
      </c>
      <c r="C223" s="230" t="s">
        <v>305</v>
      </c>
      <c r="D223" s="231"/>
      <c r="E223" s="213" t="s">
        <v>306</v>
      </c>
      <c r="F223" s="212"/>
      <c r="G223" s="110"/>
      <c r="H223" s="110"/>
      <c r="I223" s="110"/>
      <c r="J223" s="110"/>
      <c r="K223" s="211">
        <f t="shared" si="26"/>
        <v>0</v>
      </c>
      <c r="L223" s="211">
        <f t="shared" si="27"/>
        <v>0</v>
      </c>
      <c r="M223" s="211">
        <v>213.4</v>
      </c>
      <c r="N223" s="211">
        <f>+M223*1000/(15.4*10*17*60)*T223</f>
        <v>4.0756302521008401</v>
      </c>
      <c r="O223" s="211"/>
      <c r="P223" s="211">
        <f t="shared" si="29"/>
        <v>0</v>
      </c>
      <c r="Q223" s="211"/>
      <c r="R223" s="19">
        <f t="shared" si="30"/>
        <v>0</v>
      </c>
      <c r="S223" s="211">
        <f t="shared" si="31"/>
        <v>0</v>
      </c>
      <c r="T223" s="20">
        <v>3</v>
      </c>
      <c r="U223" s="20"/>
      <c r="V223" s="210"/>
      <c r="W223" s="20"/>
      <c r="X223" s="206"/>
      <c r="Y223" s="206"/>
      <c r="Z223" s="212"/>
      <c r="AA223" s="20"/>
      <c r="AB223" s="20"/>
      <c r="AC223" s="20"/>
    </row>
    <row r="224" spans="1:29" s="2" customFormat="1" ht="21.95" hidden="1" customHeight="1">
      <c r="A224" s="209"/>
      <c r="B224" s="206" t="s">
        <v>43</v>
      </c>
      <c r="C224" s="230" t="s">
        <v>305</v>
      </c>
      <c r="D224" s="231"/>
      <c r="E224" s="213" t="s">
        <v>307</v>
      </c>
      <c r="F224" s="212"/>
      <c r="G224" s="110"/>
      <c r="H224" s="110"/>
      <c r="I224" s="110"/>
      <c r="J224" s="110"/>
      <c r="K224" s="211">
        <f t="shared" si="26"/>
        <v>0</v>
      </c>
      <c r="L224" s="211">
        <f t="shared" si="27"/>
        <v>0</v>
      </c>
      <c r="M224" s="211">
        <v>213.4</v>
      </c>
      <c r="N224" s="211">
        <f>+M224*1000/(15.4*10*17*60)*T224</f>
        <v>4.0756302521008401</v>
      </c>
      <c r="O224" s="211"/>
      <c r="P224" s="211">
        <f t="shared" si="29"/>
        <v>0</v>
      </c>
      <c r="Q224" s="211"/>
      <c r="R224" s="19">
        <f t="shared" si="30"/>
        <v>0</v>
      </c>
      <c r="S224" s="211">
        <f t="shared" si="31"/>
        <v>0</v>
      </c>
      <c r="T224" s="20">
        <v>3</v>
      </c>
      <c r="U224" s="20"/>
      <c r="V224" s="210"/>
      <c r="W224" s="20"/>
      <c r="X224" s="206"/>
      <c r="Y224" s="206"/>
      <c r="Z224" s="212"/>
      <c r="AA224" s="20"/>
      <c r="AB224" s="20"/>
      <c r="AC224" s="20"/>
    </row>
    <row r="225" spans="1:29" s="2" customFormat="1" ht="21.95" hidden="1" customHeight="1">
      <c r="A225" s="206">
        <v>300202</v>
      </c>
      <c r="B225" s="206" t="s">
        <v>52</v>
      </c>
      <c r="C225" s="230" t="s">
        <v>44</v>
      </c>
      <c r="D225" s="231"/>
      <c r="E225" s="206" t="s">
        <v>35</v>
      </c>
      <c r="F225" s="212"/>
      <c r="G225" s="211"/>
      <c r="H225" s="211"/>
      <c r="I225" s="211"/>
      <c r="J225" s="211"/>
      <c r="K225" s="211">
        <f t="shared" si="26"/>
        <v>0</v>
      </c>
      <c r="L225" s="211">
        <f t="shared" si="27"/>
        <v>0</v>
      </c>
      <c r="M225" s="211">
        <v>212.4</v>
      </c>
      <c r="N225" s="211">
        <f>+M225*1000/(15.4*10*17*60)*T225</f>
        <v>8.1130634071810537</v>
      </c>
      <c r="O225" s="211"/>
      <c r="P225" s="211">
        <f t="shared" si="29"/>
        <v>0</v>
      </c>
      <c r="Q225" s="211"/>
      <c r="R225" s="19">
        <f t="shared" si="30"/>
        <v>0</v>
      </c>
      <c r="S225" s="211">
        <f t="shared" si="31"/>
        <v>0</v>
      </c>
      <c r="T225" s="20">
        <v>6</v>
      </c>
      <c r="U225" s="20"/>
      <c r="V225" s="210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206">
        <v>300203</v>
      </c>
      <c r="B226" s="206" t="s">
        <v>43</v>
      </c>
      <c r="C226" s="230" t="s">
        <v>44</v>
      </c>
      <c r="D226" s="231"/>
      <c r="E226" s="206" t="s">
        <v>41</v>
      </c>
      <c r="F226" s="212"/>
      <c r="G226" s="211"/>
      <c r="H226" s="211"/>
      <c r="I226" s="211"/>
      <c r="J226" s="211"/>
      <c r="K226" s="211">
        <f t="shared" si="26"/>
        <v>0</v>
      </c>
      <c r="L226" s="211">
        <f t="shared" si="27"/>
        <v>0</v>
      </c>
      <c r="M226" s="211">
        <v>212.4</v>
      </c>
      <c r="N226" s="211">
        <f>+M226*1000/(15.4*10*17*60)*T226</f>
        <v>4.0565317035905268</v>
      </c>
      <c r="O226" s="211"/>
      <c r="P226" s="211">
        <f t="shared" si="29"/>
        <v>0</v>
      </c>
      <c r="Q226" s="211"/>
      <c r="R226" s="19">
        <f t="shared" si="30"/>
        <v>0</v>
      </c>
      <c r="S226" s="211">
        <f t="shared" si="31"/>
        <v>0</v>
      </c>
      <c r="T226" s="20">
        <v>3</v>
      </c>
      <c r="U226" s="20"/>
      <c r="V226" s="210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206">
        <v>300204</v>
      </c>
      <c r="B227" s="206" t="s">
        <v>43</v>
      </c>
      <c r="C227" s="230" t="s">
        <v>44</v>
      </c>
      <c r="D227" s="231"/>
      <c r="E227" s="206" t="s">
        <v>37</v>
      </c>
      <c r="F227" s="212"/>
      <c r="G227" s="211"/>
      <c r="H227" s="211"/>
      <c r="I227" s="211"/>
      <c r="J227" s="211"/>
      <c r="K227" s="211">
        <f t="shared" si="26"/>
        <v>0</v>
      </c>
      <c r="L227" s="211">
        <f t="shared" si="27"/>
        <v>0</v>
      </c>
      <c r="M227" s="211">
        <v>212.4</v>
      </c>
      <c r="N227" s="211">
        <f>+M227*1000/(15.4*10*17*60)*T227</f>
        <v>4.0565317035905268</v>
      </c>
      <c r="O227" s="211"/>
      <c r="P227" s="211">
        <f t="shared" si="29"/>
        <v>0</v>
      </c>
      <c r="Q227" s="211"/>
      <c r="R227" s="19">
        <f t="shared" si="30"/>
        <v>0</v>
      </c>
      <c r="S227" s="211">
        <f t="shared" si="31"/>
        <v>0</v>
      </c>
      <c r="T227" s="20">
        <v>3</v>
      </c>
      <c r="U227" s="20"/>
      <c r="V227" s="210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209">
        <v>300269</v>
      </c>
      <c r="B228" s="206" t="s">
        <v>43</v>
      </c>
      <c r="C228" s="219" t="s">
        <v>45</v>
      </c>
      <c r="D228" s="219"/>
      <c r="E228" s="213"/>
      <c r="F228" s="212"/>
      <c r="G228" s="211"/>
      <c r="H228" s="211"/>
      <c r="I228" s="211"/>
      <c r="J228" s="211"/>
      <c r="K228" s="211">
        <f t="shared" si="26"/>
        <v>0</v>
      </c>
      <c r="L228" s="211">
        <f t="shared" si="27"/>
        <v>0</v>
      </c>
      <c r="M228" s="211">
        <v>209.4</v>
      </c>
      <c r="N228" s="211">
        <f>+M228*1000/(19.4*10*16*60)*T228</f>
        <v>3.3730670103092786</v>
      </c>
      <c r="O228" s="211"/>
      <c r="P228" s="211">
        <f t="shared" si="29"/>
        <v>0</v>
      </c>
      <c r="Q228" s="211"/>
      <c r="R228" s="19">
        <f t="shared" si="30"/>
        <v>0</v>
      </c>
      <c r="S228" s="211">
        <f t="shared" si="31"/>
        <v>0</v>
      </c>
      <c r="T228" s="20">
        <v>3</v>
      </c>
      <c r="U228" s="20"/>
      <c r="V228" s="210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209"/>
      <c r="B229" s="206"/>
      <c r="C229" s="219" t="s">
        <v>46</v>
      </c>
      <c r="D229" s="219"/>
      <c r="E229" s="213" t="s">
        <v>47</v>
      </c>
      <c r="F229" s="212"/>
      <c r="G229" s="211"/>
      <c r="H229" s="211"/>
      <c r="I229" s="211"/>
      <c r="J229" s="211"/>
      <c r="K229" s="211">
        <f t="shared" si="26"/>
        <v>0</v>
      </c>
      <c r="L229" s="211">
        <f t="shared" si="27"/>
        <v>0</v>
      </c>
      <c r="M229" s="211">
        <v>209.9</v>
      </c>
      <c r="N229" s="211">
        <f>+M229*1000/(19*10*16*60)*T229</f>
        <v>3.4523026315789478</v>
      </c>
      <c r="O229" s="211"/>
      <c r="P229" s="211">
        <f t="shared" si="29"/>
        <v>0</v>
      </c>
      <c r="Q229" s="211"/>
      <c r="R229" s="19">
        <f t="shared" si="30"/>
        <v>0</v>
      </c>
      <c r="S229" s="211">
        <f t="shared" si="31"/>
        <v>0</v>
      </c>
      <c r="T229" s="20">
        <v>3</v>
      </c>
      <c r="U229" s="20"/>
      <c r="V229" s="210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209">
        <v>300350</v>
      </c>
      <c r="B230" s="206" t="s">
        <v>43</v>
      </c>
      <c r="C230" s="219" t="s">
        <v>48</v>
      </c>
      <c r="D230" s="219"/>
      <c r="E230" s="213" t="s">
        <v>49</v>
      </c>
      <c r="F230" s="212"/>
      <c r="G230" s="211"/>
      <c r="H230" s="211"/>
      <c r="I230" s="211"/>
      <c r="J230" s="211"/>
      <c r="K230" s="211">
        <f t="shared" si="26"/>
        <v>0</v>
      </c>
      <c r="L230" s="211">
        <f t="shared" si="27"/>
        <v>0</v>
      </c>
      <c r="M230" s="211">
        <v>209.9</v>
      </c>
      <c r="N230" s="211">
        <f>+M230*1000/(19*10*16*60)*T230</f>
        <v>2.3015350877192984</v>
      </c>
      <c r="O230" s="211"/>
      <c r="P230" s="211">
        <f t="shared" si="29"/>
        <v>0</v>
      </c>
      <c r="Q230" s="211"/>
      <c r="R230" s="19">
        <f t="shared" si="30"/>
        <v>0</v>
      </c>
      <c r="S230" s="211">
        <f t="shared" si="31"/>
        <v>0</v>
      </c>
      <c r="T230" s="20">
        <v>2</v>
      </c>
      <c r="U230" s="20"/>
      <c r="V230" s="210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209">
        <v>300113</v>
      </c>
      <c r="B231" s="206" t="s">
        <v>43</v>
      </c>
      <c r="C231" s="219" t="s">
        <v>50</v>
      </c>
      <c r="D231" s="219"/>
      <c r="E231" s="213" t="s">
        <v>40</v>
      </c>
      <c r="F231" s="212"/>
      <c r="G231" s="211"/>
      <c r="H231" s="211"/>
      <c r="I231" s="211"/>
      <c r="J231" s="211"/>
      <c r="K231" s="211">
        <f t="shared" si="26"/>
        <v>0</v>
      </c>
      <c r="L231" s="211">
        <f t="shared" si="27"/>
        <v>0</v>
      </c>
      <c r="M231" s="211">
        <v>210</v>
      </c>
      <c r="N231" s="211">
        <f>M231*1000/(19.2*10*17*60)*T231</f>
        <v>2.1446078431372548</v>
      </c>
      <c r="O231" s="211"/>
      <c r="P231" s="211">
        <f t="shared" si="29"/>
        <v>0</v>
      </c>
      <c r="Q231" s="211"/>
      <c r="R231" s="19">
        <f t="shared" si="30"/>
        <v>0</v>
      </c>
      <c r="S231" s="211">
        <f t="shared" si="31"/>
        <v>0</v>
      </c>
      <c r="T231" s="20">
        <v>2</v>
      </c>
      <c r="U231" s="20"/>
      <c r="V231" s="210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209">
        <v>300114</v>
      </c>
      <c r="B232" s="206" t="s">
        <v>43</v>
      </c>
      <c r="C232" s="219" t="s">
        <v>50</v>
      </c>
      <c r="D232" s="219"/>
      <c r="E232" s="213" t="s">
        <v>42</v>
      </c>
      <c r="F232" s="212"/>
      <c r="G232" s="211"/>
      <c r="H232" s="211"/>
      <c r="I232" s="211"/>
      <c r="J232" s="211"/>
      <c r="K232" s="211">
        <f t="shared" si="26"/>
        <v>0</v>
      </c>
      <c r="L232" s="211">
        <f t="shared" si="27"/>
        <v>0</v>
      </c>
      <c r="M232" s="211">
        <v>210</v>
      </c>
      <c r="N232" s="211">
        <f>M232*1000/(19.2*10*17*60)*T232</f>
        <v>2.1446078431372548</v>
      </c>
      <c r="O232" s="211"/>
      <c r="P232" s="211">
        <f t="shared" si="29"/>
        <v>0</v>
      </c>
      <c r="Q232" s="211"/>
      <c r="R232" s="19">
        <f t="shared" si="30"/>
        <v>0</v>
      </c>
      <c r="S232" s="211">
        <f t="shared" si="31"/>
        <v>0</v>
      </c>
      <c r="T232" s="20">
        <v>2</v>
      </c>
      <c r="U232" s="20"/>
      <c r="V232" s="210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209">
        <v>300115</v>
      </c>
      <c r="B233" s="206" t="s">
        <v>43</v>
      </c>
      <c r="C233" s="219" t="s">
        <v>50</v>
      </c>
      <c r="D233" s="219"/>
      <c r="E233" s="213" t="s">
        <v>41</v>
      </c>
      <c r="F233" s="212"/>
      <c r="G233" s="211"/>
      <c r="H233" s="211"/>
      <c r="I233" s="211"/>
      <c r="J233" s="211"/>
      <c r="K233" s="211">
        <f t="shared" si="26"/>
        <v>0</v>
      </c>
      <c r="L233" s="211">
        <f t="shared" si="27"/>
        <v>0</v>
      </c>
      <c r="M233" s="211">
        <v>210</v>
      </c>
      <c r="N233" s="211">
        <f>M233*1000/(19.2*10*17*60)*T233</f>
        <v>2.1446078431372548</v>
      </c>
      <c r="O233" s="211"/>
      <c r="P233" s="211">
        <f t="shared" si="29"/>
        <v>0</v>
      </c>
      <c r="Q233" s="211"/>
      <c r="R233" s="19">
        <f t="shared" si="30"/>
        <v>0</v>
      </c>
      <c r="S233" s="211">
        <f t="shared" si="31"/>
        <v>0</v>
      </c>
      <c r="T233" s="20">
        <v>2</v>
      </c>
      <c r="U233" s="20"/>
      <c r="V233" s="210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209">
        <v>300011</v>
      </c>
      <c r="B234" s="215" t="s">
        <v>325</v>
      </c>
      <c r="C234" s="219" t="s">
        <v>51</v>
      </c>
      <c r="D234" s="219"/>
      <c r="E234" s="213" t="s">
        <v>40</v>
      </c>
      <c r="F234" s="212">
        <v>2184</v>
      </c>
      <c r="G234" s="211">
        <v>4.8</v>
      </c>
      <c r="H234" s="211"/>
      <c r="I234" s="211">
        <f>6-J234/500</f>
        <v>4.8</v>
      </c>
      <c r="J234" s="211">
        <v>600</v>
      </c>
      <c r="K234" s="211">
        <f t="shared" si="26"/>
        <v>2518.08</v>
      </c>
      <c r="L234" s="211">
        <f t="shared" si="27"/>
        <v>2518.08</v>
      </c>
      <c r="M234" s="211">
        <v>524.6</v>
      </c>
      <c r="N234" s="211">
        <f>+M234*1000/(25.4*20*15*60)*T234</f>
        <v>3.4422572178477688</v>
      </c>
      <c r="O234" s="211">
        <v>0.5</v>
      </c>
      <c r="P234" s="211">
        <f t="shared" si="29"/>
        <v>18.022834645669288</v>
      </c>
      <c r="Q234" s="211">
        <v>12</v>
      </c>
      <c r="R234" s="19">
        <f t="shared" si="30"/>
        <v>36</v>
      </c>
      <c r="S234" s="211">
        <f t="shared" si="31"/>
        <v>17.977165354330712</v>
      </c>
      <c r="T234" s="20">
        <v>3</v>
      </c>
      <c r="U234" s="20">
        <v>3</v>
      </c>
      <c r="V234" s="210">
        <f t="array" ref="V234">IF(ISERROR(L234/K234),"",L234/K234)</f>
        <v>1</v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209">
        <v>300012</v>
      </c>
      <c r="B235" s="206" t="s">
        <v>43</v>
      </c>
      <c r="C235" s="219" t="s">
        <v>51</v>
      </c>
      <c r="D235" s="219"/>
      <c r="E235" s="213" t="s">
        <v>41</v>
      </c>
      <c r="F235" s="212"/>
      <c r="G235" s="211"/>
      <c r="H235" s="211"/>
      <c r="I235" s="211"/>
      <c r="J235" s="211"/>
      <c r="K235" s="211">
        <f t="shared" si="26"/>
        <v>0</v>
      </c>
      <c r="L235" s="211">
        <f t="shared" si="27"/>
        <v>0</v>
      </c>
      <c r="M235" s="211">
        <v>524.6</v>
      </c>
      <c r="N235" s="211">
        <f>+M235*1000/(25.4*20*15*60)*T235</f>
        <v>3.4422572178477688</v>
      </c>
      <c r="O235" s="211"/>
      <c r="P235" s="211">
        <f t="shared" si="29"/>
        <v>0</v>
      </c>
      <c r="Q235" s="211"/>
      <c r="R235" s="19">
        <f t="shared" si="30"/>
        <v>0</v>
      </c>
      <c r="S235" s="211">
        <f t="shared" si="31"/>
        <v>0</v>
      </c>
      <c r="T235" s="20">
        <v>3</v>
      </c>
      <c r="U235" s="20"/>
      <c r="V235" s="210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209">
        <v>300013</v>
      </c>
      <c r="B236" s="215" t="s">
        <v>325</v>
      </c>
      <c r="C236" s="219" t="s">
        <v>51</v>
      </c>
      <c r="D236" s="219"/>
      <c r="E236" s="213" t="s">
        <v>42</v>
      </c>
      <c r="F236" s="212">
        <v>2128</v>
      </c>
      <c r="G236" s="211">
        <v>11.3</v>
      </c>
      <c r="H236" s="211">
        <v>1.3</v>
      </c>
      <c r="I236" s="211">
        <f>10+H236</f>
        <v>11.3</v>
      </c>
      <c r="J236" s="211"/>
      <c r="K236" s="211">
        <f t="shared" si="26"/>
        <v>5927.9800000000005</v>
      </c>
      <c r="L236" s="211">
        <f t="shared" si="27"/>
        <v>5927.9800000000005</v>
      </c>
      <c r="M236" s="211">
        <v>524.6</v>
      </c>
      <c r="N236" s="211">
        <f>+M236*1000/(25.4*20*15*60)*T236</f>
        <v>3.4422572178477688</v>
      </c>
      <c r="O236" s="211"/>
      <c r="P236" s="211">
        <f t="shared" si="29"/>
        <v>38.897506561679791</v>
      </c>
      <c r="Q236" s="211">
        <v>9</v>
      </c>
      <c r="R236" s="19">
        <f t="shared" si="30"/>
        <v>27</v>
      </c>
      <c r="S236" s="211">
        <f t="shared" si="31"/>
        <v>-11.897506561679791</v>
      </c>
      <c r="T236" s="20">
        <v>3</v>
      </c>
      <c r="U236" s="20">
        <v>3</v>
      </c>
      <c r="V236" s="210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209">
        <v>300016</v>
      </c>
      <c r="B237" s="206" t="s">
        <v>43</v>
      </c>
      <c r="C237" s="219" t="s">
        <v>51</v>
      </c>
      <c r="D237" s="219"/>
      <c r="E237" s="213" t="s">
        <v>38</v>
      </c>
      <c r="F237" s="212"/>
      <c r="G237" s="211"/>
      <c r="H237" s="211"/>
      <c r="I237" s="211"/>
      <c r="J237" s="211"/>
      <c r="K237" s="211">
        <f t="shared" si="26"/>
        <v>0</v>
      </c>
      <c r="L237" s="211">
        <f t="shared" si="27"/>
        <v>0</v>
      </c>
      <c r="M237" s="211">
        <v>524.6</v>
      </c>
      <c r="N237" s="211">
        <f>+M237*1000/(25.4*20*15*60)*T237</f>
        <v>3.4422572178477688</v>
      </c>
      <c r="O237" s="211"/>
      <c r="P237" s="211">
        <f t="shared" si="29"/>
        <v>0</v>
      </c>
      <c r="Q237" s="211"/>
      <c r="R237" s="19">
        <f t="shared" si="30"/>
        <v>0</v>
      </c>
      <c r="S237" s="211">
        <f t="shared" si="31"/>
        <v>0</v>
      </c>
      <c r="T237" s="20">
        <v>3</v>
      </c>
      <c r="U237" s="20"/>
      <c r="V237" s="21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09">
        <v>3000435</v>
      </c>
      <c r="B238" s="206" t="s">
        <v>43</v>
      </c>
      <c r="C238" s="219" t="s">
        <v>51</v>
      </c>
      <c r="D238" s="219"/>
      <c r="E238" s="213" t="s">
        <v>301</v>
      </c>
      <c r="F238" s="212"/>
      <c r="G238" s="110"/>
      <c r="H238" s="110"/>
      <c r="I238" s="110"/>
      <c r="J238" s="110"/>
      <c r="K238" s="211">
        <f t="shared" si="26"/>
        <v>0</v>
      </c>
      <c r="L238" s="211">
        <f t="shared" si="27"/>
        <v>0</v>
      </c>
      <c r="M238" s="211">
        <v>524.6</v>
      </c>
      <c r="N238" s="211">
        <f>+M238*1000/(25.4*20*15*60)*T238</f>
        <v>3.4422572178477688</v>
      </c>
      <c r="O238" s="211"/>
      <c r="P238" s="211">
        <f t="shared" si="29"/>
        <v>0</v>
      </c>
      <c r="Q238" s="211"/>
      <c r="R238" s="19">
        <f t="shared" si="30"/>
        <v>0</v>
      </c>
      <c r="S238" s="211">
        <f t="shared" si="31"/>
        <v>0</v>
      </c>
      <c r="T238" s="20">
        <v>3</v>
      </c>
      <c r="U238" s="20"/>
      <c r="V238" s="216" t="str">
        <f t="array" ref="V238">IF(ISERROR(L238/K238),"",L238/K238)</f>
        <v/>
      </c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09">
        <v>300276</v>
      </c>
      <c r="B239" s="206" t="s">
        <v>43</v>
      </c>
      <c r="C239" s="219" t="s">
        <v>53</v>
      </c>
      <c r="D239" s="219"/>
      <c r="E239" s="213" t="s">
        <v>41</v>
      </c>
      <c r="F239" s="212"/>
      <c r="G239" s="110"/>
      <c r="H239" s="110"/>
      <c r="I239" s="110"/>
      <c r="J239" s="110"/>
      <c r="K239" s="211">
        <f t="shared" si="26"/>
        <v>0</v>
      </c>
      <c r="L239" s="211">
        <f t="shared" si="27"/>
        <v>0</v>
      </c>
      <c r="M239" s="211">
        <v>266</v>
      </c>
      <c r="N239" s="211">
        <f>+M239*1000/(29.8*10*13*60)*T239</f>
        <v>3.4331440371708828</v>
      </c>
      <c r="O239" s="211"/>
      <c r="P239" s="211">
        <f t="shared" si="29"/>
        <v>0</v>
      </c>
      <c r="Q239" s="211"/>
      <c r="R239" s="19">
        <f t="shared" si="30"/>
        <v>0</v>
      </c>
      <c r="S239" s="211">
        <f t="shared" si="31"/>
        <v>0</v>
      </c>
      <c r="T239" s="20">
        <v>3</v>
      </c>
      <c r="U239" s="20"/>
      <c r="V239" s="21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09">
        <v>300277</v>
      </c>
      <c r="B240" s="206" t="s">
        <v>43</v>
      </c>
      <c r="C240" s="219" t="s">
        <v>53</v>
      </c>
      <c r="D240" s="219"/>
      <c r="E240" s="213" t="s">
        <v>39</v>
      </c>
      <c r="F240" s="212"/>
      <c r="G240" s="110"/>
      <c r="H240" s="110"/>
      <c r="I240" s="110"/>
      <c r="J240" s="110"/>
      <c r="K240" s="211">
        <f t="shared" si="26"/>
        <v>0</v>
      </c>
      <c r="L240" s="211">
        <f t="shared" si="27"/>
        <v>0</v>
      </c>
      <c r="M240" s="211">
        <v>266</v>
      </c>
      <c r="N240" s="211">
        <f>+M240*1000/(29.8*10*13*60)*T240</f>
        <v>3.4331440371708828</v>
      </c>
      <c r="O240" s="211"/>
      <c r="P240" s="211">
        <f t="shared" si="29"/>
        <v>0</v>
      </c>
      <c r="Q240" s="211"/>
      <c r="R240" s="19">
        <f t="shared" si="30"/>
        <v>0</v>
      </c>
      <c r="S240" s="211">
        <f t="shared" si="31"/>
        <v>0</v>
      </c>
      <c r="T240" s="20">
        <v>3</v>
      </c>
      <c r="U240" s="20"/>
      <c r="V240" s="21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09">
        <v>300278</v>
      </c>
      <c r="B241" s="206" t="s">
        <v>43</v>
      </c>
      <c r="C241" s="219" t="s">
        <v>53</v>
      </c>
      <c r="D241" s="219"/>
      <c r="E241" s="213" t="s">
        <v>54</v>
      </c>
      <c r="F241" s="212"/>
      <c r="G241" s="110"/>
      <c r="H241" s="110"/>
      <c r="I241" s="110"/>
      <c r="J241" s="110"/>
      <c r="K241" s="211">
        <f t="shared" si="26"/>
        <v>0</v>
      </c>
      <c r="L241" s="211">
        <f t="shared" si="27"/>
        <v>0</v>
      </c>
      <c r="M241" s="211">
        <v>266</v>
      </c>
      <c r="N241" s="211">
        <f>+M241*1000/(29.8*10*13*60)*T241</f>
        <v>3.4331440371708828</v>
      </c>
      <c r="O241" s="211"/>
      <c r="P241" s="211">
        <f t="shared" si="29"/>
        <v>0</v>
      </c>
      <c r="Q241" s="211"/>
      <c r="R241" s="19">
        <f t="shared" si="30"/>
        <v>0</v>
      </c>
      <c r="S241" s="211">
        <f t="shared" si="31"/>
        <v>0</v>
      </c>
      <c r="T241" s="20">
        <v>3</v>
      </c>
      <c r="U241" s="20"/>
      <c r="V241" s="21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09">
        <v>300027</v>
      </c>
      <c r="B242" s="206" t="s">
        <v>55</v>
      </c>
      <c r="C242" s="219" t="s">
        <v>56</v>
      </c>
      <c r="D242" s="219"/>
      <c r="E242" s="213" t="s">
        <v>54</v>
      </c>
      <c r="F242" s="212"/>
      <c r="G242" s="211"/>
      <c r="H242" s="211"/>
      <c r="I242" s="211"/>
      <c r="J242" s="211"/>
      <c r="K242" s="211">
        <f t="shared" si="26"/>
        <v>0</v>
      </c>
      <c r="L242" s="211">
        <f t="shared" si="27"/>
        <v>0</v>
      </c>
      <c r="M242" s="211">
        <v>550.4</v>
      </c>
      <c r="N242" s="211">
        <f>+M242*1000/(31*20*15*60)*T242</f>
        <v>2.9591397849462364</v>
      </c>
      <c r="O242" s="211"/>
      <c r="P242" s="211">
        <f t="shared" si="29"/>
        <v>0</v>
      </c>
      <c r="Q242" s="211"/>
      <c r="R242" s="19">
        <f t="shared" si="30"/>
        <v>0</v>
      </c>
      <c r="S242" s="211">
        <f t="shared" si="31"/>
        <v>0</v>
      </c>
      <c r="T242" s="20">
        <v>3</v>
      </c>
      <c r="U242" s="20"/>
      <c r="V242" s="21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09">
        <v>300028</v>
      </c>
      <c r="B243" s="206" t="s">
        <v>55</v>
      </c>
      <c r="C243" s="219" t="s">
        <v>56</v>
      </c>
      <c r="D243" s="219"/>
      <c r="E243" s="213" t="s">
        <v>35</v>
      </c>
      <c r="F243" s="212"/>
      <c r="G243" s="211"/>
      <c r="H243" s="211"/>
      <c r="I243" s="211"/>
      <c r="J243" s="211"/>
      <c r="K243" s="211">
        <f t="shared" si="26"/>
        <v>0</v>
      </c>
      <c r="L243" s="211">
        <f t="shared" si="27"/>
        <v>0</v>
      </c>
      <c r="M243" s="211">
        <v>550.4</v>
      </c>
      <c r="N243" s="211">
        <f>+M243*1000/(31*20*15*60)*T243</f>
        <v>2.9591397849462364</v>
      </c>
      <c r="O243" s="211"/>
      <c r="P243" s="211">
        <f t="shared" si="29"/>
        <v>0</v>
      </c>
      <c r="Q243" s="211"/>
      <c r="R243" s="19">
        <f t="shared" si="30"/>
        <v>0</v>
      </c>
      <c r="S243" s="211">
        <f t="shared" si="31"/>
        <v>0</v>
      </c>
      <c r="T243" s="20">
        <v>3</v>
      </c>
      <c r="U243" s="20"/>
      <c r="V243" s="21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09">
        <v>300029</v>
      </c>
      <c r="B244" s="206" t="s">
        <v>55</v>
      </c>
      <c r="C244" s="219" t="s">
        <v>56</v>
      </c>
      <c r="D244" s="219"/>
      <c r="E244" s="213" t="s">
        <v>57</v>
      </c>
      <c r="F244" s="212"/>
      <c r="G244" s="211"/>
      <c r="H244" s="211"/>
      <c r="I244" s="211"/>
      <c r="J244" s="211"/>
      <c r="K244" s="211">
        <f t="shared" si="26"/>
        <v>0</v>
      </c>
      <c r="L244" s="211">
        <f t="shared" si="27"/>
        <v>0</v>
      </c>
      <c r="M244" s="211">
        <v>550.4</v>
      </c>
      <c r="N244" s="211">
        <f>+M244*1000/(31*20*15*60)*T244</f>
        <v>2.9591397849462364</v>
      </c>
      <c r="O244" s="211"/>
      <c r="P244" s="211">
        <f t="shared" si="29"/>
        <v>0</v>
      </c>
      <c r="Q244" s="211"/>
      <c r="R244" s="19">
        <f t="shared" si="30"/>
        <v>0</v>
      </c>
      <c r="S244" s="211">
        <f t="shared" si="31"/>
        <v>0</v>
      </c>
      <c r="T244" s="20">
        <v>3</v>
      </c>
      <c r="U244" s="20"/>
      <c r="V244" s="21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09">
        <v>300026</v>
      </c>
      <c r="B245" s="206" t="s">
        <v>55</v>
      </c>
      <c r="C245" s="219" t="s">
        <v>56</v>
      </c>
      <c r="D245" s="219"/>
      <c r="E245" s="213" t="s">
        <v>37</v>
      </c>
      <c r="F245" s="212"/>
      <c r="G245" s="211"/>
      <c r="H245" s="211"/>
      <c r="I245" s="211"/>
      <c r="J245" s="211"/>
      <c r="K245" s="211">
        <f t="shared" si="26"/>
        <v>0</v>
      </c>
      <c r="L245" s="211">
        <f t="shared" si="27"/>
        <v>0</v>
      </c>
      <c r="M245" s="211">
        <v>550.4</v>
      </c>
      <c r="N245" s="211">
        <f>+M245*1000/(31*20*15*60)*T245</f>
        <v>2.9591397849462364</v>
      </c>
      <c r="O245" s="211"/>
      <c r="P245" s="211">
        <f t="shared" si="29"/>
        <v>0</v>
      </c>
      <c r="Q245" s="211"/>
      <c r="R245" s="19">
        <f t="shared" si="30"/>
        <v>0</v>
      </c>
      <c r="S245" s="211">
        <f t="shared" si="31"/>
        <v>0</v>
      </c>
      <c r="T245" s="20">
        <v>3</v>
      </c>
      <c r="U245" s="20"/>
      <c r="V245" s="21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09">
        <v>300032</v>
      </c>
      <c r="B246" s="206">
        <v>3002</v>
      </c>
      <c r="C246" s="219" t="s">
        <v>58</v>
      </c>
      <c r="D246" s="219" t="s">
        <v>59</v>
      </c>
      <c r="E246" s="213" t="s">
        <v>35</v>
      </c>
      <c r="F246" s="212"/>
      <c r="G246" s="211"/>
      <c r="H246" s="211"/>
      <c r="I246" s="211"/>
      <c r="J246" s="211"/>
      <c r="K246" s="211">
        <f t="shared" si="26"/>
        <v>0</v>
      </c>
      <c r="L246" s="211">
        <f t="shared" si="27"/>
        <v>0</v>
      </c>
      <c r="M246" s="211">
        <v>285.7</v>
      </c>
      <c r="N246" s="211">
        <f>+M246*1000/(31*10*13*60)*T246</f>
        <v>7.0893300248138953</v>
      </c>
      <c r="O246" s="211"/>
      <c r="P246" s="211">
        <f t="shared" si="29"/>
        <v>0</v>
      </c>
      <c r="Q246" s="211"/>
      <c r="R246" s="19">
        <f t="shared" si="30"/>
        <v>0</v>
      </c>
      <c r="S246" s="211">
        <f t="shared" si="31"/>
        <v>0</v>
      </c>
      <c r="T246" s="20">
        <v>6</v>
      </c>
      <c r="U246" s="20"/>
      <c r="V246" s="216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09">
        <v>300413</v>
      </c>
      <c r="B247" s="206">
        <v>3002</v>
      </c>
      <c r="C247" s="230" t="s">
        <v>296</v>
      </c>
      <c r="D247" s="231"/>
      <c r="E247" s="213" t="s">
        <v>294</v>
      </c>
      <c r="F247" s="212"/>
      <c r="G247" s="110"/>
      <c r="H247" s="110"/>
      <c r="I247" s="110"/>
      <c r="J247" s="110"/>
      <c r="K247" s="211">
        <f t="shared" si="26"/>
        <v>0</v>
      </c>
      <c r="L247" s="211">
        <f t="shared" si="27"/>
        <v>0</v>
      </c>
      <c r="M247" s="211">
        <v>528.79999999999995</v>
      </c>
      <c r="N247" s="211">
        <f>+M247*1000/(31*10*13*60)*T247</f>
        <v>6.5607940446650126</v>
      </c>
      <c r="O247" s="211"/>
      <c r="P247" s="211">
        <f t="shared" si="29"/>
        <v>0</v>
      </c>
      <c r="Q247" s="211"/>
      <c r="R247" s="19">
        <f t="shared" si="30"/>
        <v>0</v>
      </c>
      <c r="S247" s="211">
        <f t="shared" si="31"/>
        <v>0</v>
      </c>
      <c r="T247" s="20">
        <v>3</v>
      </c>
      <c r="U247" s="20"/>
      <c r="V247" s="216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09">
        <v>300414</v>
      </c>
      <c r="B248" s="206">
        <v>3002</v>
      </c>
      <c r="C248" s="230" t="s">
        <v>296</v>
      </c>
      <c r="D248" s="231"/>
      <c r="E248" s="213" t="s">
        <v>291</v>
      </c>
      <c r="F248" s="212"/>
      <c r="G248" s="110"/>
      <c r="H248" s="110"/>
      <c r="I248" s="110"/>
      <c r="J248" s="110"/>
      <c r="K248" s="211">
        <f t="shared" si="26"/>
        <v>0</v>
      </c>
      <c r="L248" s="211">
        <f t="shared" si="27"/>
        <v>0</v>
      </c>
      <c r="M248" s="211">
        <v>528.79999999999995</v>
      </c>
      <c r="N248" s="211">
        <f>+M248*1000/(31*10*13*60)*T248</f>
        <v>6.5607940446650126</v>
      </c>
      <c r="O248" s="211"/>
      <c r="P248" s="211">
        <f t="shared" si="29"/>
        <v>0</v>
      </c>
      <c r="Q248" s="211"/>
      <c r="R248" s="19">
        <f t="shared" si="30"/>
        <v>0</v>
      </c>
      <c r="S248" s="211">
        <f t="shared" si="31"/>
        <v>0</v>
      </c>
      <c r="T248" s="20">
        <v>3</v>
      </c>
      <c r="U248" s="20"/>
      <c r="V248" s="216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09">
        <v>300415</v>
      </c>
      <c r="B249" s="206">
        <v>3002</v>
      </c>
      <c r="C249" s="230" t="s">
        <v>296</v>
      </c>
      <c r="D249" s="231"/>
      <c r="E249" s="213" t="s">
        <v>295</v>
      </c>
      <c r="F249" s="212"/>
      <c r="G249" s="110"/>
      <c r="H249" s="110"/>
      <c r="I249" s="110"/>
      <c r="J249" s="110"/>
      <c r="K249" s="211">
        <f t="shared" si="26"/>
        <v>0</v>
      </c>
      <c r="L249" s="211">
        <f t="shared" si="27"/>
        <v>0</v>
      </c>
      <c r="M249" s="211">
        <v>528.79999999999995</v>
      </c>
      <c r="N249" s="211">
        <f>+M249*1000/(31*10*13*60)*T249</f>
        <v>6.5607940446650126</v>
      </c>
      <c r="O249" s="211"/>
      <c r="P249" s="211">
        <f t="shared" si="29"/>
        <v>0</v>
      </c>
      <c r="Q249" s="211"/>
      <c r="R249" s="19">
        <f t="shared" si="30"/>
        <v>0</v>
      </c>
      <c r="S249" s="211">
        <f t="shared" si="31"/>
        <v>0</v>
      </c>
      <c r="T249" s="20">
        <v>3</v>
      </c>
      <c r="U249" s="20"/>
      <c r="V249" s="216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09">
        <v>300035</v>
      </c>
      <c r="B250" s="206" t="s">
        <v>60</v>
      </c>
      <c r="C250" s="219" t="s">
        <v>61</v>
      </c>
      <c r="D250" s="219" t="s">
        <v>62</v>
      </c>
      <c r="E250" s="213" t="s">
        <v>35</v>
      </c>
      <c r="F250" s="212"/>
      <c r="G250" s="211"/>
      <c r="H250" s="211"/>
      <c r="I250" s="211"/>
      <c r="J250" s="211"/>
      <c r="K250" s="211">
        <f t="shared" si="26"/>
        <v>0</v>
      </c>
      <c r="L250" s="211">
        <f t="shared" si="27"/>
        <v>0</v>
      </c>
      <c r="M250" s="211">
        <v>366.93</v>
      </c>
      <c r="N250" s="211">
        <f>+M250*1000/(35.8*10*13*60)*T250</f>
        <v>2.6280618822518265</v>
      </c>
      <c r="O250" s="211"/>
      <c r="P250" s="211">
        <f t="shared" si="29"/>
        <v>0</v>
      </c>
      <c r="Q250" s="211"/>
      <c r="R250" s="19">
        <f t="shared" si="30"/>
        <v>0</v>
      </c>
      <c r="S250" s="211">
        <f t="shared" si="31"/>
        <v>0</v>
      </c>
      <c r="T250" s="20">
        <v>2</v>
      </c>
      <c r="U250" s="20"/>
      <c r="V250" s="216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09">
        <v>300036</v>
      </c>
      <c r="B251" s="206" t="s">
        <v>60</v>
      </c>
      <c r="C251" s="219" t="s">
        <v>61</v>
      </c>
      <c r="D251" s="219" t="s">
        <v>62</v>
      </c>
      <c r="E251" s="213" t="s">
        <v>63</v>
      </c>
      <c r="F251" s="212"/>
      <c r="G251" s="211"/>
      <c r="H251" s="211"/>
      <c r="I251" s="211"/>
      <c r="J251" s="211"/>
      <c r="K251" s="211">
        <f t="shared" si="26"/>
        <v>0</v>
      </c>
      <c r="L251" s="211">
        <f t="shared" si="27"/>
        <v>0</v>
      </c>
      <c r="M251" s="211">
        <v>366.93</v>
      </c>
      <c r="N251" s="211">
        <f>+M251*1000/(35.8*10*13*60)*T251</f>
        <v>2.6280618822518265</v>
      </c>
      <c r="O251" s="211"/>
      <c r="P251" s="211">
        <f t="shared" si="29"/>
        <v>0</v>
      </c>
      <c r="Q251" s="211"/>
      <c r="R251" s="19">
        <f t="shared" si="30"/>
        <v>0</v>
      </c>
      <c r="S251" s="211">
        <f t="shared" si="31"/>
        <v>0</v>
      </c>
      <c r="T251" s="20">
        <v>2</v>
      </c>
      <c r="U251" s="20"/>
      <c r="V251" s="216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209">
        <v>300037</v>
      </c>
      <c r="B252" s="206" t="s">
        <v>60</v>
      </c>
      <c r="C252" s="219" t="s">
        <v>61</v>
      </c>
      <c r="D252" s="219" t="s">
        <v>62</v>
      </c>
      <c r="E252" s="213" t="s">
        <v>37</v>
      </c>
      <c r="F252" s="212"/>
      <c r="G252" s="211"/>
      <c r="H252" s="211"/>
      <c r="I252" s="211"/>
      <c r="J252" s="211"/>
      <c r="K252" s="211">
        <f t="shared" si="26"/>
        <v>0</v>
      </c>
      <c r="L252" s="211">
        <f t="shared" si="27"/>
        <v>0</v>
      </c>
      <c r="M252" s="211">
        <v>366.93</v>
      </c>
      <c r="N252" s="211">
        <f>+M252*1000/(35.8*10*13*60)*T252</f>
        <v>2.6280618822518265</v>
      </c>
      <c r="O252" s="211"/>
      <c r="P252" s="211">
        <f t="shared" si="29"/>
        <v>0</v>
      </c>
      <c r="Q252" s="211"/>
      <c r="R252" s="19">
        <f t="shared" si="30"/>
        <v>0</v>
      </c>
      <c r="S252" s="211">
        <f t="shared" si="31"/>
        <v>0</v>
      </c>
      <c r="T252" s="20">
        <v>2</v>
      </c>
      <c r="U252" s="20"/>
      <c r="V252" s="216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209">
        <v>300038</v>
      </c>
      <c r="B253" s="206" t="s">
        <v>60</v>
      </c>
      <c r="C253" s="219" t="s">
        <v>64</v>
      </c>
      <c r="D253" s="219" t="s">
        <v>65</v>
      </c>
      <c r="E253" s="213" t="s">
        <v>35</v>
      </c>
      <c r="F253" s="212"/>
      <c r="G253" s="211"/>
      <c r="H253" s="211"/>
      <c r="I253" s="211"/>
      <c r="J253" s="211"/>
      <c r="K253" s="211">
        <f t="shared" si="26"/>
        <v>0</v>
      </c>
      <c r="L253" s="211">
        <f t="shared" si="27"/>
        <v>0</v>
      </c>
      <c r="M253" s="211">
        <v>301.14</v>
      </c>
      <c r="N253" s="211">
        <f>+M253*1000/(35.8*10*13*60)*T253</f>
        <v>5.3921357971637294</v>
      </c>
      <c r="O253" s="211"/>
      <c r="P253" s="211">
        <f t="shared" si="29"/>
        <v>0</v>
      </c>
      <c r="Q253" s="211"/>
      <c r="R253" s="19">
        <f t="shared" si="30"/>
        <v>0</v>
      </c>
      <c r="S253" s="211">
        <f t="shared" si="31"/>
        <v>0</v>
      </c>
      <c r="T253" s="20">
        <v>5</v>
      </c>
      <c r="U253" s="20"/>
      <c r="V253" s="216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09">
        <v>300039</v>
      </c>
      <c r="B254" s="206" t="s">
        <v>60</v>
      </c>
      <c r="C254" s="219" t="s">
        <v>64</v>
      </c>
      <c r="D254" s="219" t="s">
        <v>65</v>
      </c>
      <c r="E254" s="213" t="s">
        <v>66</v>
      </c>
      <c r="F254" s="212"/>
      <c r="G254" s="211"/>
      <c r="H254" s="211"/>
      <c r="I254" s="211"/>
      <c r="J254" s="211"/>
      <c r="K254" s="211">
        <f t="shared" si="26"/>
        <v>0</v>
      </c>
      <c r="L254" s="211">
        <f t="shared" si="27"/>
        <v>0</v>
      </c>
      <c r="M254" s="211">
        <v>310.39999999999998</v>
      </c>
      <c r="N254" s="211">
        <f>+M254*1000/(35.8*10*13*60)*T254</f>
        <v>5.557942988110586</v>
      </c>
      <c r="O254" s="211"/>
      <c r="P254" s="211">
        <f t="shared" si="29"/>
        <v>0</v>
      </c>
      <c r="Q254" s="211"/>
      <c r="R254" s="19">
        <f t="shared" si="30"/>
        <v>0</v>
      </c>
      <c r="S254" s="211">
        <f t="shared" si="31"/>
        <v>0</v>
      </c>
      <c r="T254" s="20">
        <v>5</v>
      </c>
      <c r="U254" s="20"/>
      <c r="V254" s="216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09">
        <v>300416</v>
      </c>
      <c r="B255" s="206" t="s">
        <v>67</v>
      </c>
      <c r="C255" s="230" t="s">
        <v>68</v>
      </c>
      <c r="D255" s="231"/>
      <c r="E255" s="213" t="s">
        <v>69</v>
      </c>
      <c r="F255" s="212"/>
      <c r="G255" s="14"/>
      <c r="H255" s="14"/>
      <c r="I255" s="14"/>
      <c r="J255" s="14"/>
      <c r="K255" s="211">
        <f t="shared" si="26"/>
        <v>0</v>
      </c>
      <c r="L255" s="211">
        <f t="shared" si="27"/>
        <v>0</v>
      </c>
      <c r="M255" s="211">
        <v>385.6</v>
      </c>
      <c r="N255" s="211">
        <f>+M255*1000/(25.4*20*15*60)*T255</f>
        <v>2.5301837270341205</v>
      </c>
      <c r="O255" s="211"/>
      <c r="P255" s="211">
        <f t="shared" si="29"/>
        <v>0</v>
      </c>
      <c r="Q255" s="211"/>
      <c r="R255" s="19">
        <f t="shared" si="30"/>
        <v>0</v>
      </c>
      <c r="S255" s="211">
        <f t="shared" si="31"/>
        <v>0</v>
      </c>
      <c r="T255" s="20">
        <v>3</v>
      </c>
      <c r="U255" s="20"/>
      <c r="V255" s="216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209">
        <v>300417</v>
      </c>
      <c r="B256" s="206">
        <v>4503</v>
      </c>
      <c r="C256" s="230" t="s">
        <v>68</v>
      </c>
      <c r="D256" s="231"/>
      <c r="E256" s="213" t="s">
        <v>70</v>
      </c>
      <c r="F256" s="212">
        <v>2140</v>
      </c>
      <c r="G256" s="211">
        <v>8</v>
      </c>
      <c r="H256" s="211"/>
      <c r="I256" s="211">
        <v>8</v>
      </c>
      <c r="J256" s="211"/>
      <c r="K256" s="211">
        <f t="shared" si="26"/>
        <v>3084.8</v>
      </c>
      <c r="L256" s="211">
        <f t="shared" si="27"/>
        <v>3084.8</v>
      </c>
      <c r="M256" s="211">
        <v>385.6</v>
      </c>
      <c r="N256" s="211">
        <f>+M256*1000/(25.4*20*15*60)*T256</f>
        <v>2.5301837270341205</v>
      </c>
      <c r="O256" s="211"/>
      <c r="P256" s="211">
        <f t="shared" si="29"/>
        <v>20.241469816272964</v>
      </c>
      <c r="Q256" s="211">
        <v>9.5</v>
      </c>
      <c r="R256" s="19">
        <f t="shared" si="30"/>
        <v>19</v>
      </c>
      <c r="S256" s="211">
        <f t="shared" si="31"/>
        <v>-1.2414698162729643</v>
      </c>
      <c r="T256" s="20">
        <v>3</v>
      </c>
      <c r="U256" s="20">
        <v>2</v>
      </c>
      <c r="V256" s="216">
        <f t="array" ref="V256">IF(ISERROR(L256/K256),"",L256/K256)</f>
        <v>1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209">
        <v>300418</v>
      </c>
      <c r="B257" s="206">
        <v>4503</v>
      </c>
      <c r="C257" s="230" t="s">
        <v>68</v>
      </c>
      <c r="D257" s="231"/>
      <c r="E257" s="213" t="s">
        <v>71</v>
      </c>
      <c r="F257" s="212">
        <v>2185</v>
      </c>
      <c r="G257" s="211">
        <v>2.14</v>
      </c>
      <c r="H257" s="211"/>
      <c r="I257" s="211">
        <f>3-J257/350</f>
        <v>2.1428571428571428</v>
      </c>
      <c r="J257" s="211">
        <v>300</v>
      </c>
      <c r="K257" s="211">
        <f t="shared" si="26"/>
        <v>825.18400000000008</v>
      </c>
      <c r="L257" s="211">
        <f t="shared" si="27"/>
        <v>826.28571428571433</v>
      </c>
      <c r="M257" s="211">
        <v>385.6</v>
      </c>
      <c r="N257" s="211">
        <f>+M257*1000/(25.4*20*15*60)*T257</f>
        <v>2.5301837270341205</v>
      </c>
      <c r="O257" s="211">
        <v>0.5</v>
      </c>
      <c r="P257" s="211">
        <f t="shared" si="29"/>
        <v>6.4218222722159721</v>
      </c>
      <c r="Q257" s="211">
        <v>2</v>
      </c>
      <c r="R257" s="19">
        <f t="shared" si="30"/>
        <v>4</v>
      </c>
      <c r="S257" s="211">
        <f t="shared" si="31"/>
        <v>-2.4218222722159721</v>
      </c>
      <c r="T257" s="20">
        <v>3</v>
      </c>
      <c r="U257" s="20">
        <v>2</v>
      </c>
      <c r="V257" s="216">
        <f t="array" ref="V257">IF(ISERROR(L257/K257),"",L257/K257)</f>
        <v>1.0013351134846462</v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09">
        <v>300419</v>
      </c>
      <c r="B258" s="206" t="s">
        <v>67</v>
      </c>
      <c r="C258" s="230" t="s">
        <v>68</v>
      </c>
      <c r="D258" s="231"/>
      <c r="E258" s="213" t="s">
        <v>72</v>
      </c>
      <c r="F258" s="212"/>
      <c r="G258" s="211"/>
      <c r="H258" s="211"/>
      <c r="I258" s="211"/>
      <c r="J258" s="211"/>
      <c r="K258" s="211">
        <f t="shared" si="26"/>
        <v>0</v>
      </c>
      <c r="L258" s="211">
        <f t="shared" si="27"/>
        <v>0</v>
      </c>
      <c r="M258" s="211">
        <v>385.6</v>
      </c>
      <c r="N258" s="211">
        <f>+M258*1000/(25.4*20*15*60)*T258</f>
        <v>2.5301837270341205</v>
      </c>
      <c r="O258" s="211"/>
      <c r="P258" s="211">
        <f t="shared" si="29"/>
        <v>0</v>
      </c>
      <c r="Q258" s="211"/>
      <c r="R258" s="19">
        <f t="shared" si="30"/>
        <v>0</v>
      </c>
      <c r="S258" s="211">
        <f t="shared" si="31"/>
        <v>0</v>
      </c>
      <c r="T258" s="20">
        <v>3</v>
      </c>
      <c r="U258" s="20"/>
      <c r="V258" s="216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09">
        <v>300260</v>
      </c>
      <c r="B259" s="206" t="s">
        <v>67</v>
      </c>
      <c r="C259" s="219" t="s">
        <v>73</v>
      </c>
      <c r="D259" s="219"/>
      <c r="E259" s="213" t="s">
        <v>74</v>
      </c>
      <c r="F259" s="212"/>
      <c r="G259" s="211"/>
      <c r="H259" s="211"/>
      <c r="I259" s="211"/>
      <c r="J259" s="211"/>
      <c r="K259" s="211">
        <f t="shared" si="26"/>
        <v>0</v>
      </c>
      <c r="L259" s="211">
        <f t="shared" si="27"/>
        <v>0</v>
      </c>
      <c r="M259" s="211">
        <v>434.33</v>
      </c>
      <c r="N259" s="211">
        <f>+M259*1000/(42.7*10*15*60)*T259</f>
        <v>2.2603695029924538</v>
      </c>
      <c r="O259" s="211"/>
      <c r="P259" s="211">
        <f t="shared" si="29"/>
        <v>0</v>
      </c>
      <c r="Q259" s="211"/>
      <c r="R259" s="19">
        <f t="shared" si="30"/>
        <v>0</v>
      </c>
      <c r="S259" s="211">
        <f t="shared" si="31"/>
        <v>0</v>
      </c>
      <c r="T259" s="20">
        <v>2</v>
      </c>
      <c r="U259" s="20"/>
      <c r="V259" s="216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09">
        <v>300261</v>
      </c>
      <c r="B260" s="206" t="s">
        <v>67</v>
      </c>
      <c r="C260" s="219" t="s">
        <v>73</v>
      </c>
      <c r="D260" s="219"/>
      <c r="E260" s="213" t="s">
        <v>41</v>
      </c>
      <c r="F260" s="212"/>
      <c r="G260" s="211"/>
      <c r="H260" s="211"/>
      <c r="I260" s="211"/>
      <c r="J260" s="211"/>
      <c r="K260" s="211">
        <f t="shared" si="26"/>
        <v>0</v>
      </c>
      <c r="L260" s="211">
        <f t="shared" si="27"/>
        <v>0</v>
      </c>
      <c r="M260" s="211">
        <v>434.33</v>
      </c>
      <c r="N260" s="211">
        <f>+M260*1000/(42.7*10*15*60)*T260</f>
        <v>2.2603695029924538</v>
      </c>
      <c r="O260" s="211"/>
      <c r="P260" s="211">
        <f t="shared" si="29"/>
        <v>0</v>
      </c>
      <c r="Q260" s="211"/>
      <c r="R260" s="19">
        <f t="shared" si="30"/>
        <v>0</v>
      </c>
      <c r="S260" s="211">
        <f t="shared" si="31"/>
        <v>0</v>
      </c>
      <c r="T260" s="20">
        <v>2</v>
      </c>
      <c r="U260" s="20"/>
      <c r="V260" s="216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09">
        <v>300262</v>
      </c>
      <c r="B261" s="206" t="s">
        <v>67</v>
      </c>
      <c r="C261" s="219" t="s">
        <v>73</v>
      </c>
      <c r="D261" s="219"/>
      <c r="E261" s="213" t="s">
        <v>39</v>
      </c>
      <c r="F261" s="212"/>
      <c r="G261" s="211"/>
      <c r="H261" s="211"/>
      <c r="I261" s="211"/>
      <c r="J261" s="211"/>
      <c r="K261" s="211">
        <f t="shared" si="26"/>
        <v>0</v>
      </c>
      <c r="L261" s="211">
        <f t="shared" si="27"/>
        <v>0</v>
      </c>
      <c r="M261" s="211">
        <v>434.33</v>
      </c>
      <c r="N261" s="211">
        <f>+M261*1000/(42.7*10*15*60)*T261</f>
        <v>2.2603695029924538</v>
      </c>
      <c r="O261" s="211"/>
      <c r="P261" s="211">
        <f t="shared" si="29"/>
        <v>0</v>
      </c>
      <c r="Q261" s="211"/>
      <c r="R261" s="19">
        <f t="shared" si="30"/>
        <v>0</v>
      </c>
      <c r="S261" s="211">
        <f t="shared" si="31"/>
        <v>0</v>
      </c>
      <c r="T261" s="20">
        <v>2</v>
      </c>
      <c r="U261" s="20"/>
      <c r="V261" s="216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09">
        <v>300263</v>
      </c>
      <c r="B262" s="206" t="s">
        <v>67</v>
      </c>
      <c r="C262" s="219" t="s">
        <v>73</v>
      </c>
      <c r="D262" s="219"/>
      <c r="E262" s="213" t="s">
        <v>54</v>
      </c>
      <c r="F262" s="212"/>
      <c r="G262" s="211"/>
      <c r="H262" s="211"/>
      <c r="I262" s="211"/>
      <c r="J262" s="211"/>
      <c r="K262" s="211">
        <f t="shared" si="26"/>
        <v>0</v>
      </c>
      <c r="L262" s="211">
        <f t="shared" si="27"/>
        <v>0</v>
      </c>
      <c r="M262" s="211">
        <v>434.33</v>
      </c>
      <c r="N262" s="211">
        <f>+M262*1000/(42.7*10*15*60)*T262</f>
        <v>2.2603695029924538</v>
      </c>
      <c r="O262" s="211"/>
      <c r="P262" s="211">
        <f t="shared" si="29"/>
        <v>0</v>
      </c>
      <c r="Q262" s="211"/>
      <c r="R262" s="19">
        <f t="shared" si="30"/>
        <v>0</v>
      </c>
      <c r="S262" s="211">
        <f t="shared" si="31"/>
        <v>0</v>
      </c>
      <c r="T262" s="20">
        <v>2</v>
      </c>
      <c r="U262" s="20"/>
      <c r="V262" s="216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209">
        <v>300051</v>
      </c>
      <c r="B263" s="206" t="s">
        <v>67</v>
      </c>
      <c r="C263" s="219" t="s">
        <v>75</v>
      </c>
      <c r="D263" s="219" t="s">
        <v>76</v>
      </c>
      <c r="E263" s="213" t="s">
        <v>40</v>
      </c>
      <c r="F263" s="212"/>
      <c r="G263" s="211"/>
      <c r="H263" s="211"/>
      <c r="I263" s="211"/>
      <c r="J263" s="211"/>
      <c r="K263" s="211">
        <f t="shared" si="26"/>
        <v>0</v>
      </c>
      <c r="L263" s="211">
        <f t="shared" si="27"/>
        <v>0</v>
      </c>
      <c r="M263" s="211">
        <v>545.9</v>
      </c>
      <c r="N263" s="211">
        <f>+M263*1000/(41.5*10*16*60)*T263</f>
        <v>2.7404618473895583</v>
      </c>
      <c r="O263" s="211"/>
      <c r="P263" s="211">
        <f t="shared" si="29"/>
        <v>0</v>
      </c>
      <c r="Q263" s="211"/>
      <c r="R263" s="19">
        <f t="shared" si="30"/>
        <v>0</v>
      </c>
      <c r="S263" s="211">
        <f t="shared" si="31"/>
        <v>0</v>
      </c>
      <c r="T263" s="22">
        <v>2</v>
      </c>
      <c r="U263" s="20"/>
      <c r="V263" s="216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09">
        <v>300052</v>
      </c>
      <c r="B264" s="206" t="s">
        <v>67</v>
      </c>
      <c r="C264" s="219" t="s">
        <v>75</v>
      </c>
      <c r="D264" s="219" t="s">
        <v>76</v>
      </c>
      <c r="E264" s="213" t="s">
        <v>39</v>
      </c>
      <c r="F264" s="212"/>
      <c r="G264" s="211"/>
      <c r="H264" s="211"/>
      <c r="I264" s="211"/>
      <c r="J264" s="211"/>
      <c r="K264" s="211">
        <f t="shared" si="26"/>
        <v>0</v>
      </c>
      <c r="L264" s="211">
        <f t="shared" si="27"/>
        <v>0</v>
      </c>
      <c r="M264" s="211">
        <v>545.9</v>
      </c>
      <c r="N264" s="211">
        <f>+M264*1000/(41.5*10*16*60)*T264</f>
        <v>2.7404618473895583</v>
      </c>
      <c r="O264" s="211"/>
      <c r="P264" s="211">
        <f t="shared" si="29"/>
        <v>0</v>
      </c>
      <c r="Q264" s="211"/>
      <c r="R264" s="19">
        <f t="shared" si="30"/>
        <v>0</v>
      </c>
      <c r="S264" s="211">
        <f t="shared" si="31"/>
        <v>0</v>
      </c>
      <c r="T264" s="20">
        <v>2</v>
      </c>
      <c r="U264" s="20"/>
      <c r="V264" s="216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09">
        <v>300054</v>
      </c>
      <c r="B265" s="206" t="s">
        <v>67</v>
      </c>
      <c r="C265" s="219" t="s">
        <v>75</v>
      </c>
      <c r="D265" s="219" t="s">
        <v>76</v>
      </c>
      <c r="E265" s="213" t="s">
        <v>38</v>
      </c>
      <c r="F265" s="212"/>
      <c r="G265" s="211"/>
      <c r="H265" s="211"/>
      <c r="I265" s="211"/>
      <c r="J265" s="211"/>
      <c r="K265" s="211">
        <f t="shared" si="26"/>
        <v>0</v>
      </c>
      <c r="L265" s="211">
        <f t="shared" si="27"/>
        <v>0</v>
      </c>
      <c r="M265" s="211">
        <v>545.9</v>
      </c>
      <c r="N265" s="211">
        <f>+M265*1000/(41.5*10*16*60)*T265</f>
        <v>2.7404618473895583</v>
      </c>
      <c r="O265" s="211"/>
      <c r="P265" s="211">
        <f t="shared" si="29"/>
        <v>0</v>
      </c>
      <c r="Q265" s="211"/>
      <c r="R265" s="19">
        <f t="shared" si="30"/>
        <v>0</v>
      </c>
      <c r="S265" s="211">
        <f t="shared" si="31"/>
        <v>0</v>
      </c>
      <c r="T265" s="20">
        <v>2</v>
      </c>
      <c r="U265" s="20"/>
      <c r="V265" s="216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209">
        <v>300436</v>
      </c>
      <c r="B266" s="206" t="s">
        <v>67</v>
      </c>
      <c r="C266" s="219" t="s">
        <v>75</v>
      </c>
      <c r="D266" s="219" t="s">
        <v>76</v>
      </c>
      <c r="E266" s="213" t="s">
        <v>301</v>
      </c>
      <c r="F266" s="212"/>
      <c r="G266" s="211"/>
      <c r="H266" s="211"/>
      <c r="I266" s="211"/>
      <c r="J266" s="211"/>
      <c r="K266" s="211">
        <f t="shared" si="26"/>
        <v>0</v>
      </c>
      <c r="L266" s="211">
        <f t="shared" si="27"/>
        <v>0</v>
      </c>
      <c r="M266" s="211">
        <v>545.9</v>
      </c>
      <c r="N266" s="211">
        <f>+M266*1000/(41.5*10*16*60)*T266</f>
        <v>2.7404618473895583</v>
      </c>
      <c r="O266" s="211"/>
      <c r="P266" s="211">
        <f t="shared" si="29"/>
        <v>0</v>
      </c>
      <c r="Q266" s="211"/>
      <c r="R266" s="19">
        <f t="shared" si="30"/>
        <v>0</v>
      </c>
      <c r="S266" s="211">
        <f t="shared" si="31"/>
        <v>0</v>
      </c>
      <c r="T266" s="20">
        <v>2</v>
      </c>
      <c r="U266" s="20"/>
      <c r="V266" s="216" t="str">
        <f t="array" ref="V266">IF(ISERROR(L266/K266),"",L266/K266)</f>
        <v/>
      </c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209">
        <v>300050</v>
      </c>
      <c r="B267" s="206" t="s">
        <v>67</v>
      </c>
      <c r="C267" s="219" t="s">
        <v>77</v>
      </c>
      <c r="D267" s="219" t="s">
        <v>78</v>
      </c>
      <c r="E267" s="213" t="s">
        <v>79</v>
      </c>
      <c r="F267" s="212"/>
      <c r="G267" s="211"/>
      <c r="H267" s="211"/>
      <c r="I267" s="211"/>
      <c r="J267" s="211"/>
      <c r="K267" s="211">
        <f t="shared" si="26"/>
        <v>0</v>
      </c>
      <c r="L267" s="211">
        <f t="shared" si="27"/>
        <v>0</v>
      </c>
      <c r="M267" s="211">
        <v>427.5</v>
      </c>
      <c r="N267" s="211">
        <f>+M267*1000/(45*10*14*60)*T267</f>
        <v>5.6547619047619051</v>
      </c>
      <c r="O267" s="211"/>
      <c r="P267" s="211">
        <f t="shared" si="29"/>
        <v>0</v>
      </c>
      <c r="Q267" s="211"/>
      <c r="R267" s="19">
        <f t="shared" si="30"/>
        <v>0</v>
      </c>
      <c r="S267" s="211">
        <f t="shared" si="31"/>
        <v>0</v>
      </c>
      <c r="T267" s="20">
        <v>5</v>
      </c>
      <c r="U267" s="20"/>
      <c r="V267" s="216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09">
        <v>300045</v>
      </c>
      <c r="B268" s="206" t="s">
        <v>67</v>
      </c>
      <c r="C268" s="219" t="s">
        <v>77</v>
      </c>
      <c r="D268" s="219" t="s">
        <v>78</v>
      </c>
      <c r="E268" s="213" t="s">
        <v>35</v>
      </c>
      <c r="F268" s="212"/>
      <c r="G268" s="211"/>
      <c r="H268" s="211"/>
      <c r="I268" s="211"/>
      <c r="J268" s="211"/>
      <c r="K268" s="211">
        <f t="shared" si="26"/>
        <v>0</v>
      </c>
      <c r="L268" s="211">
        <f t="shared" si="27"/>
        <v>0</v>
      </c>
      <c r="M268" s="211">
        <v>406.6</v>
      </c>
      <c r="N268" s="211">
        <f>+M268*1000/(45*10*13*60)*T268</f>
        <v>5.7920227920227916</v>
      </c>
      <c r="O268" s="211"/>
      <c r="P268" s="211">
        <f t="shared" si="29"/>
        <v>0</v>
      </c>
      <c r="Q268" s="211"/>
      <c r="R268" s="19">
        <f t="shared" si="30"/>
        <v>0</v>
      </c>
      <c r="S268" s="211">
        <f t="shared" si="31"/>
        <v>0</v>
      </c>
      <c r="T268" s="20">
        <v>5</v>
      </c>
      <c r="U268" s="20"/>
      <c r="V268" s="216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09">
        <v>300422</v>
      </c>
      <c r="B269" s="206" t="s">
        <v>67</v>
      </c>
      <c r="C269" s="230" t="s">
        <v>293</v>
      </c>
      <c r="D269" s="231"/>
      <c r="E269" s="213" t="s">
        <v>54</v>
      </c>
      <c r="F269" s="212"/>
      <c r="G269" s="211"/>
      <c r="H269" s="211"/>
      <c r="I269" s="211"/>
      <c r="J269" s="211"/>
      <c r="K269" s="211">
        <f t="shared" si="26"/>
        <v>0</v>
      </c>
      <c r="L269" s="211">
        <f t="shared" si="27"/>
        <v>0</v>
      </c>
      <c r="M269" s="211">
        <v>429.8</v>
      </c>
      <c r="N269" s="211">
        <f>+M269*1000/(45*10*13*60)*T269</f>
        <v>3.6735042735042738</v>
      </c>
      <c r="O269" s="211"/>
      <c r="P269" s="211">
        <f t="shared" si="29"/>
        <v>0</v>
      </c>
      <c r="Q269" s="211"/>
      <c r="R269" s="19">
        <f t="shared" si="30"/>
        <v>0</v>
      </c>
      <c r="S269" s="211">
        <f t="shared" si="31"/>
        <v>0</v>
      </c>
      <c r="T269" s="20">
        <v>3</v>
      </c>
      <c r="U269" s="20"/>
      <c r="V269" s="216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09">
        <v>300421</v>
      </c>
      <c r="B270" s="206" t="s">
        <v>67</v>
      </c>
      <c r="C270" s="230" t="s">
        <v>293</v>
      </c>
      <c r="D270" s="231"/>
      <c r="E270" s="213" t="s">
        <v>80</v>
      </c>
      <c r="F270" s="212"/>
      <c r="G270" s="211"/>
      <c r="H270" s="211"/>
      <c r="I270" s="211"/>
      <c r="J270" s="211"/>
      <c r="K270" s="211">
        <f t="shared" si="26"/>
        <v>0</v>
      </c>
      <c r="L270" s="211">
        <f t="shared" si="27"/>
        <v>0</v>
      </c>
      <c r="M270" s="211">
        <v>429.8</v>
      </c>
      <c r="N270" s="211">
        <f>+M270*1000/(45*10*13*60)*T270</f>
        <v>3.6735042735042738</v>
      </c>
      <c r="O270" s="211"/>
      <c r="P270" s="211">
        <f t="shared" si="29"/>
        <v>0</v>
      </c>
      <c r="Q270" s="211"/>
      <c r="R270" s="19">
        <f t="shared" si="30"/>
        <v>0</v>
      </c>
      <c r="S270" s="211">
        <f t="shared" si="31"/>
        <v>0</v>
      </c>
      <c r="T270" s="20">
        <v>3</v>
      </c>
      <c r="U270" s="20"/>
      <c r="V270" s="216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09">
        <v>300149</v>
      </c>
      <c r="B271" s="206" t="s">
        <v>67</v>
      </c>
      <c r="C271" s="219" t="s">
        <v>81</v>
      </c>
      <c r="D271" s="219" t="s">
        <v>82</v>
      </c>
      <c r="E271" s="213" t="s">
        <v>80</v>
      </c>
      <c r="F271" s="212"/>
      <c r="G271" s="211"/>
      <c r="H271" s="211"/>
      <c r="I271" s="211"/>
      <c r="J271" s="211"/>
      <c r="K271" s="211">
        <f t="shared" si="26"/>
        <v>0</v>
      </c>
      <c r="L271" s="211">
        <f t="shared" si="27"/>
        <v>0</v>
      </c>
      <c r="M271" s="211">
        <v>589.1</v>
      </c>
      <c r="N271" s="211">
        <f>+M271*1000/(67.1*10*13*60)*T271</f>
        <v>3.3767052619511633</v>
      </c>
      <c r="O271" s="211"/>
      <c r="P271" s="211">
        <f t="shared" si="29"/>
        <v>0</v>
      </c>
      <c r="Q271" s="211"/>
      <c r="R271" s="19">
        <f t="shared" si="30"/>
        <v>0</v>
      </c>
      <c r="S271" s="211">
        <f t="shared" si="31"/>
        <v>0</v>
      </c>
      <c r="T271" s="20">
        <v>3</v>
      </c>
      <c r="U271" s="20"/>
      <c r="V271" s="216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09">
        <v>300150</v>
      </c>
      <c r="B272" s="206" t="s">
        <v>67</v>
      </c>
      <c r="C272" s="219" t="s">
        <v>81</v>
      </c>
      <c r="D272" s="219" t="s">
        <v>82</v>
      </c>
      <c r="E272" s="213" t="s">
        <v>54</v>
      </c>
      <c r="F272" s="212"/>
      <c r="G272" s="211"/>
      <c r="H272" s="211"/>
      <c r="I272" s="211"/>
      <c r="J272" s="211"/>
      <c r="K272" s="211">
        <f t="shared" si="26"/>
        <v>0</v>
      </c>
      <c r="L272" s="211">
        <f t="shared" si="27"/>
        <v>0</v>
      </c>
      <c r="M272" s="211">
        <v>589.1</v>
      </c>
      <c r="N272" s="211">
        <f>+M272*1000/(67.1*10*13*60)*T272</f>
        <v>3.3767052619511633</v>
      </c>
      <c r="O272" s="211"/>
      <c r="P272" s="211">
        <f t="shared" si="29"/>
        <v>0</v>
      </c>
      <c r="Q272" s="211"/>
      <c r="R272" s="19">
        <f t="shared" si="30"/>
        <v>0</v>
      </c>
      <c r="S272" s="211">
        <f t="shared" si="31"/>
        <v>0</v>
      </c>
      <c r="T272" s="20">
        <v>3</v>
      </c>
      <c r="U272" s="20"/>
      <c r="V272" s="216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09">
        <v>300330</v>
      </c>
      <c r="B273" s="206" t="s">
        <v>67</v>
      </c>
      <c r="C273" s="230" t="s">
        <v>83</v>
      </c>
      <c r="D273" s="231"/>
      <c r="E273" s="213" t="s">
        <v>84</v>
      </c>
      <c r="F273" s="212"/>
      <c r="G273" s="211"/>
      <c r="H273" s="211"/>
      <c r="I273" s="211"/>
      <c r="J273" s="211"/>
      <c r="K273" s="211">
        <f t="shared" si="26"/>
        <v>0</v>
      </c>
      <c r="L273" s="211">
        <f t="shared" si="27"/>
        <v>0</v>
      </c>
      <c r="M273" s="211">
        <v>416.3</v>
      </c>
      <c r="N273" s="211">
        <f t="shared" ref="N273:N278" si="32">+M273*1000/(45*10*18*60)*T273</f>
        <v>1.7131687242798355</v>
      </c>
      <c r="O273" s="211"/>
      <c r="P273" s="211">
        <f t="shared" si="29"/>
        <v>0</v>
      </c>
      <c r="Q273" s="211"/>
      <c r="R273" s="19">
        <f t="shared" si="30"/>
        <v>0</v>
      </c>
      <c r="S273" s="211">
        <f t="shared" si="31"/>
        <v>0</v>
      </c>
      <c r="T273" s="20">
        <v>2</v>
      </c>
      <c r="U273" s="20"/>
      <c r="V273" s="216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09">
        <v>300331</v>
      </c>
      <c r="B274" s="206" t="s">
        <v>67</v>
      </c>
      <c r="C274" s="230" t="s">
        <v>83</v>
      </c>
      <c r="D274" s="231"/>
      <c r="E274" s="213" t="s">
        <v>49</v>
      </c>
      <c r="F274" s="212"/>
      <c r="G274" s="211"/>
      <c r="H274" s="211"/>
      <c r="I274" s="211"/>
      <c r="J274" s="211"/>
      <c r="K274" s="211">
        <f t="shared" si="26"/>
        <v>0</v>
      </c>
      <c r="L274" s="211">
        <f t="shared" si="27"/>
        <v>0</v>
      </c>
      <c r="M274" s="211">
        <v>416.3</v>
      </c>
      <c r="N274" s="211">
        <f t="shared" si="32"/>
        <v>1.7131687242798355</v>
      </c>
      <c r="O274" s="211"/>
      <c r="P274" s="211">
        <f t="shared" si="29"/>
        <v>0</v>
      </c>
      <c r="Q274" s="211"/>
      <c r="R274" s="19">
        <f t="shared" si="30"/>
        <v>0</v>
      </c>
      <c r="S274" s="211">
        <f t="shared" si="31"/>
        <v>0</v>
      </c>
      <c r="T274" s="20">
        <v>2</v>
      </c>
      <c r="U274" s="20"/>
      <c r="V274" s="216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09">
        <v>300332</v>
      </c>
      <c r="B275" s="206" t="s">
        <v>67</v>
      </c>
      <c r="C275" s="230" t="s">
        <v>83</v>
      </c>
      <c r="D275" s="231"/>
      <c r="E275" s="213" t="s">
        <v>85</v>
      </c>
      <c r="F275" s="212"/>
      <c r="G275" s="211"/>
      <c r="H275" s="211"/>
      <c r="I275" s="211"/>
      <c r="J275" s="211"/>
      <c r="K275" s="211">
        <f t="shared" si="26"/>
        <v>0</v>
      </c>
      <c r="L275" s="211">
        <f t="shared" si="27"/>
        <v>0</v>
      </c>
      <c r="M275" s="211">
        <v>416.3</v>
      </c>
      <c r="N275" s="211">
        <f t="shared" si="32"/>
        <v>1.7131687242798355</v>
      </c>
      <c r="O275" s="211"/>
      <c r="P275" s="211">
        <f t="shared" si="29"/>
        <v>0</v>
      </c>
      <c r="Q275" s="211"/>
      <c r="R275" s="19">
        <f t="shared" si="30"/>
        <v>0</v>
      </c>
      <c r="S275" s="211">
        <f t="shared" si="31"/>
        <v>0</v>
      </c>
      <c r="T275" s="20">
        <v>2</v>
      </c>
      <c r="U275" s="20"/>
      <c r="V275" s="216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09">
        <v>300333</v>
      </c>
      <c r="B276" s="206" t="s">
        <v>67</v>
      </c>
      <c r="C276" s="230" t="s">
        <v>86</v>
      </c>
      <c r="D276" s="231"/>
      <c r="E276" s="213" t="s">
        <v>84</v>
      </c>
      <c r="F276" s="212"/>
      <c r="G276" s="211"/>
      <c r="H276" s="211"/>
      <c r="I276" s="211"/>
      <c r="J276" s="211"/>
      <c r="K276" s="211">
        <f t="shared" si="26"/>
        <v>0</v>
      </c>
      <c r="L276" s="211">
        <f t="shared" si="27"/>
        <v>0</v>
      </c>
      <c r="M276" s="211">
        <v>416.3</v>
      </c>
      <c r="N276" s="211">
        <f t="shared" si="32"/>
        <v>1.7131687242798355</v>
      </c>
      <c r="O276" s="211"/>
      <c r="P276" s="211">
        <f t="shared" si="29"/>
        <v>0</v>
      </c>
      <c r="Q276" s="211"/>
      <c r="R276" s="19">
        <f t="shared" si="30"/>
        <v>0</v>
      </c>
      <c r="S276" s="211">
        <f t="shared" si="31"/>
        <v>0</v>
      </c>
      <c r="T276" s="20">
        <v>2</v>
      </c>
      <c r="U276" s="20"/>
      <c r="V276" s="216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09">
        <v>300334</v>
      </c>
      <c r="B277" s="206" t="s">
        <v>67</v>
      </c>
      <c r="C277" s="230" t="s">
        <v>86</v>
      </c>
      <c r="D277" s="231"/>
      <c r="E277" s="213" t="s">
        <v>85</v>
      </c>
      <c r="F277" s="212"/>
      <c r="G277" s="211"/>
      <c r="H277" s="211"/>
      <c r="I277" s="211"/>
      <c r="J277" s="211"/>
      <c r="K277" s="211">
        <f t="shared" si="26"/>
        <v>0</v>
      </c>
      <c r="L277" s="211">
        <f t="shared" si="27"/>
        <v>0</v>
      </c>
      <c r="M277" s="211">
        <v>416.3</v>
      </c>
      <c r="N277" s="211">
        <f t="shared" si="32"/>
        <v>1.7131687242798355</v>
      </c>
      <c r="O277" s="211"/>
      <c r="P277" s="211">
        <f t="shared" si="29"/>
        <v>0</v>
      </c>
      <c r="Q277" s="211"/>
      <c r="R277" s="19">
        <f t="shared" si="30"/>
        <v>0</v>
      </c>
      <c r="S277" s="211">
        <f t="shared" si="31"/>
        <v>0</v>
      </c>
      <c r="T277" s="20">
        <v>2</v>
      </c>
      <c r="U277" s="20"/>
      <c r="V277" s="216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09">
        <v>300335</v>
      </c>
      <c r="B278" s="206" t="s">
        <v>67</v>
      </c>
      <c r="C278" s="230" t="s">
        <v>86</v>
      </c>
      <c r="D278" s="231"/>
      <c r="E278" s="213" t="s">
        <v>49</v>
      </c>
      <c r="F278" s="212"/>
      <c r="G278" s="211"/>
      <c r="H278" s="211"/>
      <c r="I278" s="211"/>
      <c r="J278" s="211"/>
      <c r="K278" s="211">
        <f t="shared" si="26"/>
        <v>0</v>
      </c>
      <c r="L278" s="211">
        <f t="shared" si="27"/>
        <v>0</v>
      </c>
      <c r="M278" s="211">
        <v>416.3</v>
      </c>
      <c r="N278" s="211">
        <f t="shared" si="32"/>
        <v>1.7131687242798355</v>
      </c>
      <c r="O278" s="211"/>
      <c r="P278" s="211">
        <f t="shared" si="29"/>
        <v>0</v>
      </c>
      <c r="Q278" s="211"/>
      <c r="R278" s="19">
        <f t="shared" si="30"/>
        <v>0</v>
      </c>
      <c r="S278" s="211">
        <f t="shared" si="31"/>
        <v>0</v>
      </c>
      <c r="T278" s="20">
        <v>2</v>
      </c>
      <c r="U278" s="20"/>
      <c r="V278" s="216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09">
        <v>300291</v>
      </c>
      <c r="B279" s="206" t="s">
        <v>87</v>
      </c>
      <c r="C279" s="219" t="s">
        <v>88</v>
      </c>
      <c r="D279" s="219" t="s">
        <v>89</v>
      </c>
      <c r="E279" s="213" t="s">
        <v>42</v>
      </c>
      <c r="F279" s="212"/>
      <c r="G279" s="211"/>
      <c r="H279" s="211"/>
      <c r="I279" s="211"/>
      <c r="J279" s="211"/>
      <c r="K279" s="211">
        <f t="shared" si="26"/>
        <v>0</v>
      </c>
      <c r="L279" s="211">
        <f t="shared" si="27"/>
        <v>0</v>
      </c>
      <c r="M279" s="211">
        <v>517.79999999999995</v>
      </c>
      <c r="N279" s="211">
        <f>+M279*1000/(66.6*1*110*60)*T279</f>
        <v>4.7119847119847122</v>
      </c>
      <c r="O279" s="211"/>
      <c r="P279" s="211">
        <f t="shared" si="29"/>
        <v>0</v>
      </c>
      <c r="Q279" s="211"/>
      <c r="R279" s="19">
        <f t="shared" si="30"/>
        <v>0</v>
      </c>
      <c r="S279" s="211">
        <f t="shared" si="31"/>
        <v>0</v>
      </c>
      <c r="T279" s="20">
        <v>4</v>
      </c>
      <c r="U279" s="20"/>
      <c r="V279" s="216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09">
        <v>300292</v>
      </c>
      <c r="B280" s="206" t="s">
        <v>87</v>
      </c>
      <c r="C280" s="219" t="s">
        <v>88</v>
      </c>
      <c r="D280" s="219" t="s">
        <v>89</v>
      </c>
      <c r="E280" s="213" t="s">
        <v>41</v>
      </c>
      <c r="F280" s="212"/>
      <c r="G280" s="211"/>
      <c r="H280" s="211"/>
      <c r="I280" s="211"/>
      <c r="J280" s="211"/>
      <c r="K280" s="211">
        <f t="shared" si="26"/>
        <v>0</v>
      </c>
      <c r="L280" s="211">
        <f t="shared" si="27"/>
        <v>0</v>
      </c>
      <c r="M280" s="211">
        <v>517.79999999999995</v>
      </c>
      <c r="N280" s="211">
        <f>+M280*1000/(66.8*1*110*60)*T280</f>
        <v>4.6978769733260748</v>
      </c>
      <c r="O280" s="211"/>
      <c r="P280" s="211">
        <f t="shared" si="29"/>
        <v>0</v>
      </c>
      <c r="Q280" s="211"/>
      <c r="R280" s="19">
        <f t="shared" si="30"/>
        <v>0</v>
      </c>
      <c r="S280" s="211">
        <f t="shared" si="31"/>
        <v>0</v>
      </c>
      <c r="T280" s="20">
        <v>4</v>
      </c>
      <c r="U280" s="20"/>
      <c r="V280" s="216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09">
        <v>300293</v>
      </c>
      <c r="B281" s="206" t="s">
        <v>87</v>
      </c>
      <c r="C281" s="219" t="s">
        <v>88</v>
      </c>
      <c r="D281" s="219" t="s">
        <v>89</v>
      </c>
      <c r="E281" s="213" t="s">
        <v>57</v>
      </c>
      <c r="F281" s="212"/>
      <c r="G281" s="211"/>
      <c r="H281" s="211"/>
      <c r="I281" s="211"/>
      <c r="J281" s="211"/>
      <c r="K281" s="211">
        <f t="shared" si="26"/>
        <v>0</v>
      </c>
      <c r="L281" s="211">
        <f t="shared" si="27"/>
        <v>0</v>
      </c>
      <c r="M281" s="211">
        <v>517.9</v>
      </c>
      <c r="N281" s="211">
        <f>+M281*1000/(67.1*1*110*60)*T281</f>
        <v>4.6777762724111467</v>
      </c>
      <c r="O281" s="211"/>
      <c r="P281" s="211">
        <f t="shared" si="29"/>
        <v>0</v>
      </c>
      <c r="Q281" s="211"/>
      <c r="R281" s="19">
        <f t="shared" si="30"/>
        <v>0</v>
      </c>
      <c r="S281" s="211">
        <f t="shared" si="31"/>
        <v>0</v>
      </c>
      <c r="T281" s="20">
        <v>4</v>
      </c>
      <c r="U281" s="20"/>
      <c r="V281" s="216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09">
        <v>300290</v>
      </c>
      <c r="B282" s="206" t="s">
        <v>87</v>
      </c>
      <c r="C282" s="219" t="s">
        <v>88</v>
      </c>
      <c r="D282" s="219" t="s">
        <v>89</v>
      </c>
      <c r="E282" s="213" t="s">
        <v>35</v>
      </c>
      <c r="F282" s="212"/>
      <c r="G282" s="211"/>
      <c r="H282" s="211"/>
      <c r="I282" s="211"/>
      <c r="J282" s="211"/>
      <c r="K282" s="211">
        <f t="shared" si="26"/>
        <v>0</v>
      </c>
      <c r="L282" s="211">
        <f t="shared" si="27"/>
        <v>0</v>
      </c>
      <c r="M282" s="211">
        <v>520</v>
      </c>
      <c r="N282" s="211">
        <f>+M282*1000/(67.5*1*110*60)*T282</f>
        <v>4.6689113355780023</v>
      </c>
      <c r="O282" s="211"/>
      <c r="P282" s="211">
        <f t="shared" si="29"/>
        <v>0</v>
      </c>
      <c r="Q282" s="211"/>
      <c r="R282" s="19">
        <f t="shared" si="30"/>
        <v>0</v>
      </c>
      <c r="S282" s="211">
        <f t="shared" si="31"/>
        <v>0</v>
      </c>
      <c r="T282" s="20">
        <v>4</v>
      </c>
      <c r="U282" s="20"/>
      <c r="V282" s="216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09">
        <v>300389</v>
      </c>
      <c r="B283" s="206" t="s">
        <v>87</v>
      </c>
      <c r="C283" s="219" t="s">
        <v>308</v>
      </c>
      <c r="D283" s="219" t="s">
        <v>89</v>
      </c>
      <c r="E283" s="213" t="s">
        <v>35</v>
      </c>
      <c r="F283" s="212"/>
      <c r="G283" s="211"/>
      <c r="H283" s="211"/>
      <c r="I283" s="211"/>
      <c r="J283" s="211"/>
      <c r="K283" s="211">
        <f t="shared" si="26"/>
        <v>0</v>
      </c>
      <c r="L283" s="211">
        <f t="shared" si="27"/>
        <v>0</v>
      </c>
      <c r="M283" s="211">
        <v>429.4</v>
      </c>
      <c r="N283" s="211">
        <f>+M283*1000/(47*1*110*60)*T283</f>
        <v>5.5370728562217923</v>
      </c>
      <c r="O283" s="211"/>
      <c r="P283" s="211">
        <f t="shared" si="29"/>
        <v>0</v>
      </c>
      <c r="Q283" s="211"/>
      <c r="R283" s="19">
        <f t="shared" si="30"/>
        <v>0</v>
      </c>
      <c r="S283" s="211">
        <f t="shared" si="31"/>
        <v>0</v>
      </c>
      <c r="T283" s="20">
        <v>4</v>
      </c>
      <c r="U283" s="20"/>
      <c r="V283" s="216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09">
        <v>300058</v>
      </c>
      <c r="B284" s="206" t="s">
        <v>87</v>
      </c>
      <c r="C284" s="219" t="s">
        <v>308</v>
      </c>
      <c r="D284" s="219" t="s">
        <v>89</v>
      </c>
      <c r="E284" s="213" t="s">
        <v>42</v>
      </c>
      <c r="F284" s="212"/>
      <c r="G284" s="211"/>
      <c r="H284" s="211"/>
      <c r="I284" s="211"/>
      <c r="J284" s="211"/>
      <c r="K284" s="211">
        <f t="shared" si="26"/>
        <v>0</v>
      </c>
      <c r="L284" s="211">
        <f t="shared" si="27"/>
        <v>0</v>
      </c>
      <c r="M284" s="211">
        <v>419.2</v>
      </c>
      <c r="N284" s="211">
        <f>+M284*1000/(51.5*1*110*60)*T284</f>
        <v>4.9332156516622536</v>
      </c>
      <c r="O284" s="211"/>
      <c r="P284" s="211">
        <f t="shared" si="29"/>
        <v>0</v>
      </c>
      <c r="Q284" s="211"/>
      <c r="R284" s="19">
        <f t="shared" si="30"/>
        <v>0</v>
      </c>
      <c r="S284" s="211">
        <f t="shared" si="31"/>
        <v>0</v>
      </c>
      <c r="T284" s="20">
        <v>4</v>
      </c>
      <c r="U284" s="20"/>
      <c r="V284" s="216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09">
        <v>300061</v>
      </c>
      <c r="B285" s="206" t="s">
        <v>87</v>
      </c>
      <c r="C285" s="219" t="s">
        <v>309</v>
      </c>
      <c r="D285" s="219" t="s">
        <v>91</v>
      </c>
      <c r="E285" s="213" t="s">
        <v>41</v>
      </c>
      <c r="F285" s="212"/>
      <c r="G285" s="211"/>
      <c r="H285" s="211"/>
      <c r="I285" s="211"/>
      <c r="J285" s="211"/>
      <c r="K285" s="211">
        <f t="shared" si="26"/>
        <v>0</v>
      </c>
      <c r="L285" s="211">
        <f t="shared" si="27"/>
        <v>0</v>
      </c>
      <c r="M285" s="211">
        <v>418.4</v>
      </c>
      <c r="N285" s="211">
        <f>+M285*1000/(51*1*110*60)*T285</f>
        <v>4.9720736779560308</v>
      </c>
      <c r="O285" s="211"/>
      <c r="P285" s="211">
        <f t="shared" si="29"/>
        <v>0</v>
      </c>
      <c r="Q285" s="211"/>
      <c r="R285" s="19">
        <f t="shared" si="30"/>
        <v>0</v>
      </c>
      <c r="S285" s="211">
        <f t="shared" si="31"/>
        <v>0</v>
      </c>
      <c r="T285" s="20">
        <v>4</v>
      </c>
      <c r="U285" s="20"/>
      <c r="V285" s="216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09">
        <v>300064</v>
      </c>
      <c r="B286" s="206">
        <v>5002</v>
      </c>
      <c r="C286" s="219" t="s">
        <v>309</v>
      </c>
      <c r="D286" s="219" t="s">
        <v>91</v>
      </c>
      <c r="E286" s="213" t="s">
        <v>35</v>
      </c>
      <c r="F286" s="212"/>
      <c r="G286" s="211"/>
      <c r="H286" s="211"/>
      <c r="I286" s="211"/>
      <c r="J286" s="211"/>
      <c r="K286" s="211">
        <f t="shared" ref="K286:K362" si="33">G286*M286</f>
        <v>0</v>
      </c>
      <c r="L286" s="211">
        <f t="shared" ref="L286:L362" si="34">I286*M286</f>
        <v>0</v>
      </c>
      <c r="M286" s="211">
        <v>419.2</v>
      </c>
      <c r="N286" s="211">
        <f>+M286*1000/(51.9*1*110*60)*T286</f>
        <v>4.8951947217843168</v>
      </c>
      <c r="O286" s="211"/>
      <c r="P286" s="211">
        <f t="shared" ref="P286:P362" si="35">N286*I286+O286*U286</f>
        <v>0</v>
      </c>
      <c r="Q286" s="211"/>
      <c r="R286" s="19">
        <f t="shared" ref="R286:R362" si="36">Q286*U286</f>
        <v>0</v>
      </c>
      <c r="S286" s="211">
        <f t="shared" ref="S286:S362" si="37">R286-P286</f>
        <v>0</v>
      </c>
      <c r="T286" s="20">
        <v>4</v>
      </c>
      <c r="U286" s="20"/>
      <c r="V286" s="216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209">
        <v>300060</v>
      </c>
      <c r="B287" s="206" t="s">
        <v>87</v>
      </c>
      <c r="C287" s="219" t="s">
        <v>309</v>
      </c>
      <c r="D287" s="219" t="s">
        <v>91</v>
      </c>
      <c r="E287" s="213" t="s">
        <v>57</v>
      </c>
      <c r="F287" s="212"/>
      <c r="G287" s="211"/>
      <c r="H287" s="211"/>
      <c r="I287" s="211"/>
      <c r="J287" s="211"/>
      <c r="K287" s="211">
        <f t="shared" si="33"/>
        <v>0</v>
      </c>
      <c r="L287" s="211">
        <f t="shared" si="34"/>
        <v>0</v>
      </c>
      <c r="M287" s="211">
        <v>416.9</v>
      </c>
      <c r="N287" s="211">
        <f>+M287*1000/(51*1*110*60)*T287</f>
        <v>4.9542483660130721</v>
      </c>
      <c r="O287" s="211"/>
      <c r="P287" s="211">
        <f t="shared" si="35"/>
        <v>0</v>
      </c>
      <c r="Q287" s="211"/>
      <c r="R287" s="19">
        <f t="shared" si="36"/>
        <v>0</v>
      </c>
      <c r="S287" s="211">
        <f t="shared" si="37"/>
        <v>0</v>
      </c>
      <c r="T287" s="20">
        <v>4</v>
      </c>
      <c r="U287" s="20"/>
      <c r="V287" s="216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09">
        <v>300068</v>
      </c>
      <c r="B288" s="206" t="s">
        <v>87</v>
      </c>
      <c r="C288" s="219" t="s">
        <v>92</v>
      </c>
      <c r="D288" s="219" t="s">
        <v>93</v>
      </c>
      <c r="E288" s="213" t="s">
        <v>37</v>
      </c>
      <c r="F288" s="212"/>
      <c r="G288" s="211"/>
      <c r="H288" s="211"/>
      <c r="I288" s="211"/>
      <c r="J288" s="211"/>
      <c r="K288" s="211">
        <f t="shared" si="33"/>
        <v>0</v>
      </c>
      <c r="L288" s="211">
        <f t="shared" si="34"/>
        <v>0</v>
      </c>
      <c r="M288" s="211">
        <v>438.4</v>
      </c>
      <c r="N288" s="211">
        <f>+M288*1000/(50*1*120*60)*T288</f>
        <v>4.8711111111111114</v>
      </c>
      <c r="O288" s="211"/>
      <c r="P288" s="211">
        <f t="shared" si="35"/>
        <v>0</v>
      </c>
      <c r="Q288" s="211"/>
      <c r="R288" s="19">
        <f t="shared" si="36"/>
        <v>0</v>
      </c>
      <c r="S288" s="211">
        <f t="shared" si="37"/>
        <v>0</v>
      </c>
      <c r="T288" s="20">
        <v>4</v>
      </c>
      <c r="U288" s="20"/>
      <c r="V288" s="216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09">
        <v>300065</v>
      </c>
      <c r="B289" s="206" t="s">
        <v>87</v>
      </c>
      <c r="C289" s="219" t="s">
        <v>92</v>
      </c>
      <c r="D289" s="219" t="s">
        <v>93</v>
      </c>
      <c r="E289" s="213" t="s">
        <v>35</v>
      </c>
      <c r="F289" s="212"/>
      <c r="G289" s="211"/>
      <c r="H289" s="211"/>
      <c r="I289" s="211"/>
      <c r="J289" s="211"/>
      <c r="K289" s="211">
        <f t="shared" si="33"/>
        <v>0</v>
      </c>
      <c r="L289" s="211">
        <f t="shared" si="34"/>
        <v>0</v>
      </c>
      <c r="M289" s="211">
        <v>438.8</v>
      </c>
      <c r="N289" s="211">
        <f>+M289*1000/(50*1*120*60)*T289</f>
        <v>4.8755555555555556</v>
      </c>
      <c r="O289" s="211"/>
      <c r="P289" s="211">
        <f t="shared" si="35"/>
        <v>0</v>
      </c>
      <c r="Q289" s="211"/>
      <c r="R289" s="19">
        <f t="shared" si="36"/>
        <v>0</v>
      </c>
      <c r="S289" s="211">
        <f t="shared" si="37"/>
        <v>0</v>
      </c>
      <c r="T289" s="20">
        <v>4</v>
      </c>
      <c r="U289" s="209"/>
      <c r="V289" s="216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09">
        <v>300066</v>
      </c>
      <c r="B290" s="206" t="s">
        <v>87</v>
      </c>
      <c r="C290" s="219" t="s">
        <v>92</v>
      </c>
      <c r="D290" s="219" t="s">
        <v>93</v>
      </c>
      <c r="E290" s="213" t="s">
        <v>66</v>
      </c>
      <c r="F290" s="212"/>
      <c r="G290" s="211"/>
      <c r="H290" s="211"/>
      <c r="I290" s="211"/>
      <c r="J290" s="211"/>
      <c r="K290" s="211">
        <f t="shared" si="33"/>
        <v>0</v>
      </c>
      <c r="L290" s="211">
        <f t="shared" si="34"/>
        <v>0</v>
      </c>
      <c r="M290" s="211">
        <v>438.4</v>
      </c>
      <c r="N290" s="211">
        <f>+M290*1000/(50*1*120*60)*T290</f>
        <v>4.8711111111111114</v>
      </c>
      <c r="O290" s="211"/>
      <c r="P290" s="211">
        <f t="shared" si="35"/>
        <v>0</v>
      </c>
      <c r="Q290" s="211"/>
      <c r="R290" s="19">
        <f t="shared" si="36"/>
        <v>0</v>
      </c>
      <c r="S290" s="211">
        <f t="shared" si="37"/>
        <v>0</v>
      </c>
      <c r="T290" s="20">
        <v>4</v>
      </c>
      <c r="U290" s="209"/>
      <c r="V290" s="216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09">
        <v>300067</v>
      </c>
      <c r="B291" s="206" t="s">
        <v>87</v>
      </c>
      <c r="C291" s="219" t="s">
        <v>92</v>
      </c>
      <c r="D291" s="219" t="s">
        <v>93</v>
      </c>
      <c r="E291" s="213" t="s">
        <v>41</v>
      </c>
      <c r="F291" s="212"/>
      <c r="G291" s="211"/>
      <c r="H291" s="211"/>
      <c r="I291" s="211"/>
      <c r="J291" s="211"/>
      <c r="K291" s="211">
        <f t="shared" si="33"/>
        <v>0</v>
      </c>
      <c r="L291" s="211">
        <f t="shared" si="34"/>
        <v>0</v>
      </c>
      <c r="M291" s="211">
        <v>438.8</v>
      </c>
      <c r="N291" s="211">
        <f>+M291*1000/(50*1*120*60)*T291</f>
        <v>4.8755555555555556</v>
      </c>
      <c r="O291" s="211"/>
      <c r="P291" s="211">
        <f t="shared" si="35"/>
        <v>0</v>
      </c>
      <c r="Q291" s="211"/>
      <c r="R291" s="19">
        <f t="shared" si="36"/>
        <v>0</v>
      </c>
      <c r="S291" s="211">
        <f t="shared" si="37"/>
        <v>0</v>
      </c>
      <c r="T291" s="20">
        <v>4</v>
      </c>
      <c r="U291" s="20"/>
      <c r="V291" s="216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09">
        <v>300437</v>
      </c>
      <c r="B292" s="206" t="s">
        <v>87</v>
      </c>
      <c r="C292" s="219" t="s">
        <v>92</v>
      </c>
      <c r="D292" s="219" t="s">
        <v>93</v>
      </c>
      <c r="E292" s="213" t="s">
        <v>302</v>
      </c>
      <c r="F292" s="212"/>
      <c r="G292" s="211"/>
      <c r="H292" s="211"/>
      <c r="I292" s="211"/>
      <c r="J292" s="211"/>
      <c r="K292" s="211">
        <f t="shared" si="33"/>
        <v>0</v>
      </c>
      <c r="L292" s="211">
        <f t="shared" si="34"/>
        <v>0</v>
      </c>
      <c r="M292" s="211">
        <v>438.8</v>
      </c>
      <c r="N292" s="211">
        <f>+M292*1000/(50*1*120*60)*T292</f>
        <v>4.8755555555555556</v>
      </c>
      <c r="O292" s="211"/>
      <c r="P292" s="211">
        <f t="shared" si="35"/>
        <v>0</v>
      </c>
      <c r="Q292" s="211"/>
      <c r="R292" s="19">
        <f t="shared" si="36"/>
        <v>0</v>
      </c>
      <c r="S292" s="211">
        <f t="shared" si="37"/>
        <v>0</v>
      </c>
      <c r="T292" s="20">
        <v>4</v>
      </c>
      <c r="U292" s="20"/>
      <c r="V292" s="216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09">
        <v>300384</v>
      </c>
      <c r="B293" s="206" t="s">
        <v>87</v>
      </c>
      <c r="C293" s="219" t="s">
        <v>94</v>
      </c>
      <c r="D293" s="219" t="s">
        <v>95</v>
      </c>
      <c r="E293" s="213" t="s">
        <v>35</v>
      </c>
      <c r="F293" s="212"/>
      <c r="G293" s="211"/>
      <c r="H293" s="211"/>
      <c r="I293" s="211"/>
      <c r="J293" s="211"/>
      <c r="K293" s="211">
        <f t="shared" si="33"/>
        <v>0</v>
      </c>
      <c r="L293" s="211">
        <f t="shared" si="34"/>
        <v>0</v>
      </c>
      <c r="M293" s="211">
        <v>415.5</v>
      </c>
      <c r="N293" s="211">
        <f>+M293*1000/(51*1*110*60)*T293</f>
        <v>8.6408199643493759</v>
      </c>
      <c r="O293" s="211"/>
      <c r="P293" s="211">
        <f t="shared" si="35"/>
        <v>0</v>
      </c>
      <c r="Q293" s="211"/>
      <c r="R293" s="19">
        <f t="shared" si="36"/>
        <v>0</v>
      </c>
      <c r="S293" s="211">
        <f t="shared" si="37"/>
        <v>0</v>
      </c>
      <c r="T293" s="20">
        <v>7</v>
      </c>
      <c r="U293" s="20"/>
      <c r="V293" s="216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09">
        <v>300383</v>
      </c>
      <c r="B294" s="206" t="s">
        <v>87</v>
      </c>
      <c r="C294" s="219" t="s">
        <v>94</v>
      </c>
      <c r="D294" s="219" t="s">
        <v>96</v>
      </c>
      <c r="E294" s="213" t="s">
        <v>41</v>
      </c>
      <c r="F294" s="212"/>
      <c r="G294" s="211"/>
      <c r="H294" s="211"/>
      <c r="I294" s="211"/>
      <c r="J294" s="211"/>
      <c r="K294" s="211">
        <f t="shared" si="33"/>
        <v>0</v>
      </c>
      <c r="L294" s="211">
        <f t="shared" si="34"/>
        <v>0</v>
      </c>
      <c r="M294" s="211">
        <v>415.5</v>
      </c>
      <c r="N294" s="211">
        <f>+M294*1000/(51*1*110*60)*T294</f>
        <v>8.6408199643493759</v>
      </c>
      <c r="O294" s="211"/>
      <c r="P294" s="211">
        <f t="shared" si="35"/>
        <v>0</v>
      </c>
      <c r="Q294" s="211"/>
      <c r="R294" s="19">
        <f t="shared" si="36"/>
        <v>0</v>
      </c>
      <c r="S294" s="211">
        <f t="shared" si="37"/>
        <v>0</v>
      </c>
      <c r="T294" s="20">
        <v>7</v>
      </c>
      <c r="U294" s="20"/>
      <c r="V294" s="216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09">
        <v>300386</v>
      </c>
      <c r="B295" s="206" t="s">
        <v>87</v>
      </c>
      <c r="C295" s="219" t="s">
        <v>94</v>
      </c>
      <c r="D295" s="219" t="s">
        <v>97</v>
      </c>
      <c r="E295" s="213" t="s">
        <v>66</v>
      </c>
      <c r="F295" s="212"/>
      <c r="G295" s="211"/>
      <c r="H295" s="211"/>
      <c r="I295" s="211"/>
      <c r="J295" s="211"/>
      <c r="K295" s="211">
        <f t="shared" si="33"/>
        <v>0</v>
      </c>
      <c r="L295" s="211">
        <f t="shared" si="34"/>
        <v>0</v>
      </c>
      <c r="M295" s="211">
        <v>415.5</v>
      </c>
      <c r="N295" s="211">
        <f>+M295*1000/(51*1*110*60)*T295</f>
        <v>8.6408199643493759</v>
      </c>
      <c r="O295" s="211"/>
      <c r="P295" s="211">
        <f t="shared" si="35"/>
        <v>0</v>
      </c>
      <c r="Q295" s="211"/>
      <c r="R295" s="19">
        <f t="shared" si="36"/>
        <v>0</v>
      </c>
      <c r="S295" s="211">
        <f t="shared" si="37"/>
        <v>0</v>
      </c>
      <c r="T295" s="20">
        <v>7</v>
      </c>
      <c r="U295" s="20"/>
      <c r="V295" s="216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09">
        <v>300385</v>
      </c>
      <c r="B296" s="206" t="s">
        <v>87</v>
      </c>
      <c r="C296" s="219" t="s">
        <v>94</v>
      </c>
      <c r="D296" s="219" t="s">
        <v>98</v>
      </c>
      <c r="E296" s="213" t="s">
        <v>99</v>
      </c>
      <c r="F296" s="212"/>
      <c r="G296" s="211"/>
      <c r="H296" s="211"/>
      <c r="I296" s="211"/>
      <c r="J296" s="211"/>
      <c r="K296" s="211">
        <f t="shared" si="33"/>
        <v>0</v>
      </c>
      <c r="L296" s="211">
        <f t="shared" si="34"/>
        <v>0</v>
      </c>
      <c r="M296" s="211">
        <v>415.5</v>
      </c>
      <c r="N296" s="211">
        <f>+M296*1000/(51*1*110*60)*T296</f>
        <v>8.6408199643493759</v>
      </c>
      <c r="O296" s="211"/>
      <c r="P296" s="211">
        <f t="shared" si="35"/>
        <v>0</v>
      </c>
      <c r="Q296" s="211"/>
      <c r="R296" s="19">
        <f t="shared" si="36"/>
        <v>0</v>
      </c>
      <c r="S296" s="211">
        <f t="shared" si="37"/>
        <v>0</v>
      </c>
      <c r="T296" s="20">
        <v>7</v>
      </c>
      <c r="U296" s="20"/>
      <c r="V296" s="216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09">
        <v>300352</v>
      </c>
      <c r="B297" s="206" t="s">
        <v>87</v>
      </c>
      <c r="C297" s="219" t="s">
        <v>100</v>
      </c>
      <c r="D297" s="219" t="s">
        <v>95</v>
      </c>
      <c r="E297" s="213" t="s">
        <v>35</v>
      </c>
      <c r="F297" s="212"/>
      <c r="G297" s="211"/>
      <c r="H297" s="211"/>
      <c r="I297" s="211"/>
      <c r="J297" s="211"/>
      <c r="K297" s="211">
        <f t="shared" si="33"/>
        <v>0</v>
      </c>
      <c r="L297" s="211">
        <f t="shared" si="34"/>
        <v>0</v>
      </c>
      <c r="M297" s="211">
        <v>515.9</v>
      </c>
      <c r="N297" s="211">
        <f>+M297*1000/(80*1*110*60)*T297</f>
        <v>6.8395833333333336</v>
      </c>
      <c r="O297" s="211"/>
      <c r="P297" s="211">
        <f t="shared" si="35"/>
        <v>0</v>
      </c>
      <c r="Q297" s="211"/>
      <c r="R297" s="19">
        <f t="shared" si="36"/>
        <v>0</v>
      </c>
      <c r="S297" s="211">
        <f t="shared" si="37"/>
        <v>0</v>
      </c>
      <c r="T297" s="20">
        <v>7</v>
      </c>
      <c r="U297" s="20"/>
      <c r="V297" s="216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09">
        <v>300353</v>
      </c>
      <c r="B298" s="206" t="s">
        <v>87</v>
      </c>
      <c r="C298" s="219" t="s">
        <v>100</v>
      </c>
      <c r="D298" s="219" t="s">
        <v>95</v>
      </c>
      <c r="E298" s="213" t="s">
        <v>99</v>
      </c>
      <c r="F298" s="212"/>
      <c r="G298" s="211"/>
      <c r="H298" s="211"/>
      <c r="I298" s="211"/>
      <c r="J298" s="211"/>
      <c r="K298" s="211">
        <f t="shared" si="33"/>
        <v>0</v>
      </c>
      <c r="L298" s="211">
        <f t="shared" si="34"/>
        <v>0</v>
      </c>
      <c r="M298" s="211">
        <v>515.9</v>
      </c>
      <c r="N298" s="211">
        <f>+M298*1000/(80*1*110*60)*T298</f>
        <v>6.8395833333333336</v>
      </c>
      <c r="O298" s="211"/>
      <c r="P298" s="211">
        <f t="shared" si="35"/>
        <v>0</v>
      </c>
      <c r="Q298" s="211"/>
      <c r="R298" s="19">
        <f t="shared" si="36"/>
        <v>0</v>
      </c>
      <c r="S298" s="211">
        <f t="shared" si="37"/>
        <v>0</v>
      </c>
      <c r="T298" s="20">
        <v>7</v>
      </c>
      <c r="U298" s="20"/>
      <c r="V298" s="216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09">
        <v>300351</v>
      </c>
      <c r="B299" s="206" t="s">
        <v>87</v>
      </c>
      <c r="C299" s="219" t="s">
        <v>100</v>
      </c>
      <c r="D299" s="219" t="s">
        <v>95</v>
      </c>
      <c r="E299" s="213" t="s">
        <v>41</v>
      </c>
      <c r="F299" s="212"/>
      <c r="G299" s="211"/>
      <c r="H299" s="211"/>
      <c r="I299" s="211"/>
      <c r="J299" s="211"/>
      <c r="K299" s="211">
        <f t="shared" si="33"/>
        <v>0</v>
      </c>
      <c r="L299" s="211">
        <f t="shared" si="34"/>
        <v>0</v>
      </c>
      <c r="M299" s="211">
        <v>515.9</v>
      </c>
      <c r="N299" s="211">
        <f>+M299*1000/(80*1*110*60)*T299</f>
        <v>6.8395833333333336</v>
      </c>
      <c r="O299" s="211"/>
      <c r="P299" s="211">
        <f t="shared" si="35"/>
        <v>0</v>
      </c>
      <c r="Q299" s="211"/>
      <c r="R299" s="19">
        <f t="shared" si="36"/>
        <v>0</v>
      </c>
      <c r="S299" s="211">
        <f t="shared" si="37"/>
        <v>0</v>
      </c>
      <c r="T299" s="20">
        <v>7</v>
      </c>
      <c r="U299" s="20"/>
      <c r="V299" s="216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09">
        <v>300354</v>
      </c>
      <c r="B300" s="206" t="s">
        <v>87</v>
      </c>
      <c r="C300" s="219" t="s">
        <v>100</v>
      </c>
      <c r="D300" s="219" t="s">
        <v>95</v>
      </c>
      <c r="E300" s="213" t="s">
        <v>66</v>
      </c>
      <c r="F300" s="212"/>
      <c r="G300" s="211"/>
      <c r="H300" s="211"/>
      <c r="I300" s="211"/>
      <c r="J300" s="211"/>
      <c r="K300" s="211">
        <f t="shared" si="33"/>
        <v>0</v>
      </c>
      <c r="L300" s="211">
        <f t="shared" si="34"/>
        <v>0</v>
      </c>
      <c r="M300" s="211">
        <v>515.9</v>
      </c>
      <c r="N300" s="211">
        <f>+M300*1000/(80*1*110*60)*T300</f>
        <v>6.8395833333333336</v>
      </c>
      <c r="O300" s="211"/>
      <c r="P300" s="211">
        <f t="shared" si="35"/>
        <v>0</v>
      </c>
      <c r="Q300" s="211"/>
      <c r="R300" s="19">
        <f t="shared" si="36"/>
        <v>0</v>
      </c>
      <c r="S300" s="211">
        <f t="shared" si="37"/>
        <v>0</v>
      </c>
      <c r="T300" s="20">
        <v>7</v>
      </c>
      <c r="U300" s="20"/>
      <c r="V300" s="216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09">
        <v>300250</v>
      </c>
      <c r="B301" s="206" t="s">
        <v>87</v>
      </c>
      <c r="C301" s="219" t="s">
        <v>101</v>
      </c>
      <c r="D301" s="219" t="s">
        <v>95</v>
      </c>
      <c r="E301" s="213" t="s">
        <v>35</v>
      </c>
      <c r="F301" s="212"/>
      <c r="G301" s="211"/>
      <c r="H301" s="211"/>
      <c r="I301" s="211"/>
      <c r="J301" s="211"/>
      <c r="K301" s="211">
        <f t="shared" si="33"/>
        <v>0</v>
      </c>
      <c r="L301" s="211">
        <f t="shared" si="34"/>
        <v>0</v>
      </c>
      <c r="M301" s="211">
        <v>412.5</v>
      </c>
      <c r="N301" s="211">
        <f>+M301*1000/(84*1*110*60)*T301</f>
        <v>5.2083333333333339</v>
      </c>
      <c r="O301" s="211"/>
      <c r="P301" s="211">
        <f t="shared" si="35"/>
        <v>0</v>
      </c>
      <c r="Q301" s="211"/>
      <c r="R301" s="19">
        <f t="shared" si="36"/>
        <v>0</v>
      </c>
      <c r="S301" s="211">
        <f t="shared" si="37"/>
        <v>0</v>
      </c>
      <c r="T301" s="20">
        <v>7</v>
      </c>
      <c r="U301" s="20"/>
      <c r="V301" s="216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09">
        <v>300251</v>
      </c>
      <c r="B302" s="206" t="s">
        <v>87</v>
      </c>
      <c r="C302" s="219" t="s">
        <v>101</v>
      </c>
      <c r="D302" s="219" t="s">
        <v>95</v>
      </c>
      <c r="E302" s="213" t="s">
        <v>99</v>
      </c>
      <c r="F302" s="212"/>
      <c r="G302" s="211"/>
      <c r="H302" s="211"/>
      <c r="I302" s="211"/>
      <c r="J302" s="211"/>
      <c r="K302" s="211">
        <f t="shared" si="33"/>
        <v>0</v>
      </c>
      <c r="L302" s="211">
        <f t="shared" si="34"/>
        <v>0</v>
      </c>
      <c r="M302" s="211">
        <v>412.5</v>
      </c>
      <c r="N302" s="211">
        <f>+M302*1000/(84*1*110*60)*T302</f>
        <v>5.2083333333333339</v>
      </c>
      <c r="O302" s="211"/>
      <c r="P302" s="211">
        <f t="shared" si="35"/>
        <v>0</v>
      </c>
      <c r="Q302" s="211"/>
      <c r="R302" s="19">
        <f t="shared" si="36"/>
        <v>0</v>
      </c>
      <c r="S302" s="211">
        <f t="shared" si="37"/>
        <v>0</v>
      </c>
      <c r="T302" s="20">
        <v>7</v>
      </c>
      <c r="U302" s="20"/>
      <c r="V302" s="216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09">
        <v>300254</v>
      </c>
      <c r="B303" s="206" t="s">
        <v>87</v>
      </c>
      <c r="C303" s="219" t="s">
        <v>101</v>
      </c>
      <c r="D303" s="219" t="s">
        <v>95</v>
      </c>
      <c r="E303" s="213" t="s">
        <v>41</v>
      </c>
      <c r="F303" s="212"/>
      <c r="G303" s="211"/>
      <c r="H303" s="211"/>
      <c r="I303" s="211"/>
      <c r="J303" s="211"/>
      <c r="K303" s="211">
        <f t="shared" si="33"/>
        <v>0</v>
      </c>
      <c r="L303" s="211">
        <f t="shared" si="34"/>
        <v>0</v>
      </c>
      <c r="M303" s="211">
        <v>412.5</v>
      </c>
      <c r="N303" s="211">
        <f>+M303*1000/(84*1*110*60)*T303</f>
        <v>5.2083333333333339</v>
      </c>
      <c r="O303" s="211"/>
      <c r="P303" s="211">
        <f t="shared" si="35"/>
        <v>0</v>
      </c>
      <c r="Q303" s="211"/>
      <c r="R303" s="19">
        <f t="shared" si="36"/>
        <v>0</v>
      </c>
      <c r="S303" s="211">
        <f t="shared" si="37"/>
        <v>0</v>
      </c>
      <c r="T303" s="20">
        <v>7</v>
      </c>
      <c r="U303" s="20"/>
      <c r="V303" s="216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09">
        <v>300253</v>
      </c>
      <c r="B304" s="206" t="s">
        <v>87</v>
      </c>
      <c r="C304" s="219" t="s">
        <v>101</v>
      </c>
      <c r="D304" s="219" t="s">
        <v>95</v>
      </c>
      <c r="E304" s="213" t="s">
        <v>66</v>
      </c>
      <c r="F304" s="212"/>
      <c r="G304" s="211"/>
      <c r="H304" s="211"/>
      <c r="I304" s="211"/>
      <c r="J304" s="211"/>
      <c r="K304" s="211">
        <f t="shared" si="33"/>
        <v>0</v>
      </c>
      <c r="L304" s="211">
        <f t="shared" si="34"/>
        <v>0</v>
      </c>
      <c r="M304" s="211">
        <v>412.5</v>
      </c>
      <c r="N304" s="211">
        <f>+M304*1000/(84*1*110*60)*T304</f>
        <v>5.2083333333333339</v>
      </c>
      <c r="O304" s="211"/>
      <c r="P304" s="211">
        <f t="shared" si="35"/>
        <v>0</v>
      </c>
      <c r="Q304" s="211"/>
      <c r="R304" s="19">
        <f t="shared" si="36"/>
        <v>0</v>
      </c>
      <c r="S304" s="211">
        <f t="shared" si="37"/>
        <v>0</v>
      </c>
      <c r="T304" s="20">
        <v>7</v>
      </c>
      <c r="U304" s="20"/>
      <c r="V304" s="216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09">
        <v>300255</v>
      </c>
      <c r="B305" s="206" t="s">
        <v>87</v>
      </c>
      <c r="C305" s="219" t="s">
        <v>101</v>
      </c>
      <c r="D305" s="219" t="s">
        <v>95</v>
      </c>
      <c r="E305" s="213" t="s">
        <v>102</v>
      </c>
      <c r="F305" s="212"/>
      <c r="G305" s="211"/>
      <c r="H305" s="211"/>
      <c r="I305" s="211"/>
      <c r="J305" s="211"/>
      <c r="K305" s="211">
        <f t="shared" si="33"/>
        <v>0</v>
      </c>
      <c r="L305" s="211">
        <f t="shared" si="34"/>
        <v>0</v>
      </c>
      <c r="M305" s="211">
        <v>412.5</v>
      </c>
      <c r="N305" s="211">
        <f>+M305*1000/(84*1*110*60)*T305</f>
        <v>5.2083333333333339</v>
      </c>
      <c r="O305" s="211"/>
      <c r="P305" s="211">
        <f t="shared" si="35"/>
        <v>0</v>
      </c>
      <c r="Q305" s="211"/>
      <c r="R305" s="19">
        <f t="shared" si="36"/>
        <v>0</v>
      </c>
      <c r="S305" s="211">
        <f t="shared" si="37"/>
        <v>0</v>
      </c>
      <c r="T305" s="20">
        <v>7</v>
      </c>
      <c r="U305" s="20"/>
      <c r="V305" s="216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09">
        <v>300392</v>
      </c>
      <c r="B306" s="206" t="s">
        <v>87</v>
      </c>
      <c r="C306" s="230" t="s">
        <v>103</v>
      </c>
      <c r="D306" s="231"/>
      <c r="E306" s="213" t="s">
        <v>99</v>
      </c>
      <c r="F306" s="209"/>
      <c r="G306" s="211"/>
      <c r="H306" s="211"/>
      <c r="I306" s="211"/>
      <c r="J306" s="211"/>
      <c r="K306" s="211">
        <f t="shared" si="33"/>
        <v>0</v>
      </c>
      <c r="L306" s="211">
        <f t="shared" si="34"/>
        <v>0</v>
      </c>
      <c r="M306" s="211">
        <v>523</v>
      </c>
      <c r="N306" s="211">
        <f>+M306*1000/(98*1*80*60)*T306</f>
        <v>7.7827380952380958</v>
      </c>
      <c r="O306" s="211"/>
      <c r="P306" s="211">
        <f t="shared" si="35"/>
        <v>0</v>
      </c>
      <c r="Q306" s="211"/>
      <c r="R306" s="19">
        <f t="shared" si="36"/>
        <v>0</v>
      </c>
      <c r="S306" s="211">
        <f t="shared" si="37"/>
        <v>0</v>
      </c>
      <c r="T306" s="20">
        <v>7</v>
      </c>
      <c r="U306" s="20"/>
      <c r="V306" s="216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09">
        <v>300088</v>
      </c>
      <c r="B307" s="206" t="s">
        <v>87</v>
      </c>
      <c r="C307" s="219" t="s">
        <v>310</v>
      </c>
      <c r="D307" s="219" t="s">
        <v>91</v>
      </c>
      <c r="E307" s="213" t="s">
        <v>39</v>
      </c>
      <c r="F307" s="212"/>
      <c r="G307" s="211"/>
      <c r="H307" s="211"/>
      <c r="I307" s="211"/>
      <c r="J307" s="211"/>
      <c r="K307" s="211">
        <f t="shared" si="33"/>
        <v>0</v>
      </c>
      <c r="L307" s="211">
        <f t="shared" si="34"/>
        <v>0</v>
      </c>
      <c r="M307" s="211">
        <v>617.79999999999995</v>
      </c>
      <c r="N307" s="211">
        <f>+M307*1000/(123*1*80*60)*T307</f>
        <v>3.1392276422764223</v>
      </c>
      <c r="O307" s="211"/>
      <c r="P307" s="211">
        <f t="shared" si="35"/>
        <v>0</v>
      </c>
      <c r="Q307" s="211"/>
      <c r="R307" s="19">
        <f t="shared" si="36"/>
        <v>0</v>
      </c>
      <c r="S307" s="211">
        <f t="shared" si="37"/>
        <v>0</v>
      </c>
      <c r="T307" s="20">
        <v>3</v>
      </c>
      <c r="U307" s="20"/>
      <c r="V307" s="216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09">
        <v>300089</v>
      </c>
      <c r="B308" s="206" t="s">
        <v>87</v>
      </c>
      <c r="C308" s="219" t="s">
        <v>310</v>
      </c>
      <c r="D308" s="219" t="s">
        <v>91</v>
      </c>
      <c r="E308" s="213" t="s">
        <v>42</v>
      </c>
      <c r="F308" s="212"/>
      <c r="G308" s="211"/>
      <c r="H308" s="211"/>
      <c r="I308" s="211"/>
      <c r="J308" s="211"/>
      <c r="K308" s="211">
        <f t="shared" si="33"/>
        <v>0</v>
      </c>
      <c r="L308" s="211">
        <f t="shared" si="34"/>
        <v>0</v>
      </c>
      <c r="M308" s="211">
        <v>618.6</v>
      </c>
      <c r="N308" s="211">
        <f>+M308*1000/(124*1*80*60)*T308</f>
        <v>3.117943548387097</v>
      </c>
      <c r="O308" s="211"/>
      <c r="P308" s="211">
        <f t="shared" si="35"/>
        <v>0</v>
      </c>
      <c r="Q308" s="211"/>
      <c r="R308" s="19">
        <f t="shared" si="36"/>
        <v>0</v>
      </c>
      <c r="S308" s="211">
        <f t="shared" si="37"/>
        <v>0</v>
      </c>
      <c r="T308" s="20">
        <v>3</v>
      </c>
      <c r="U308" s="20"/>
      <c r="V308" s="216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09">
        <v>300128</v>
      </c>
      <c r="B309" s="206" t="s">
        <v>87</v>
      </c>
      <c r="C309" s="219" t="s">
        <v>104</v>
      </c>
      <c r="D309" s="219" t="s">
        <v>105</v>
      </c>
      <c r="E309" s="213" t="s">
        <v>35</v>
      </c>
      <c r="F309" s="212"/>
      <c r="G309" s="211"/>
      <c r="H309" s="211"/>
      <c r="I309" s="211"/>
      <c r="J309" s="211"/>
      <c r="K309" s="211">
        <f t="shared" si="33"/>
        <v>0</v>
      </c>
      <c r="L309" s="211">
        <f t="shared" si="34"/>
        <v>0</v>
      </c>
      <c r="M309" s="211">
        <v>621.29999999999995</v>
      </c>
      <c r="N309" s="211">
        <f t="shared" ref="N309:N314" si="38">+M309*1000/(130.5*1*80*60)*T309</f>
        <v>3.9674329501915708</v>
      </c>
      <c r="O309" s="211"/>
      <c r="P309" s="211">
        <f t="shared" si="35"/>
        <v>0</v>
      </c>
      <c r="Q309" s="211"/>
      <c r="R309" s="19">
        <f t="shared" si="36"/>
        <v>0</v>
      </c>
      <c r="S309" s="211">
        <f t="shared" si="37"/>
        <v>0</v>
      </c>
      <c r="T309" s="20">
        <v>4</v>
      </c>
      <c r="U309" s="20"/>
      <c r="V309" s="216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09">
        <v>300129</v>
      </c>
      <c r="B310" s="206" t="s">
        <v>87</v>
      </c>
      <c r="C310" s="219" t="s">
        <v>104</v>
      </c>
      <c r="D310" s="219" t="s">
        <v>105</v>
      </c>
      <c r="E310" s="213" t="s">
        <v>41</v>
      </c>
      <c r="F310" s="212"/>
      <c r="G310" s="211"/>
      <c r="H310" s="211"/>
      <c r="I310" s="211"/>
      <c r="J310" s="211"/>
      <c r="K310" s="211">
        <f t="shared" si="33"/>
        <v>0</v>
      </c>
      <c r="L310" s="211">
        <f t="shared" si="34"/>
        <v>0</v>
      </c>
      <c r="M310" s="211">
        <v>621.29999999999995</v>
      </c>
      <c r="N310" s="211">
        <f t="shared" si="38"/>
        <v>3.9674329501915708</v>
      </c>
      <c r="O310" s="211"/>
      <c r="P310" s="211">
        <f t="shared" si="35"/>
        <v>0</v>
      </c>
      <c r="Q310" s="211"/>
      <c r="R310" s="19">
        <f t="shared" si="36"/>
        <v>0</v>
      </c>
      <c r="S310" s="211">
        <f t="shared" si="37"/>
        <v>0</v>
      </c>
      <c r="T310" s="20">
        <v>4</v>
      </c>
      <c r="U310" s="20"/>
      <c r="V310" s="216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09">
        <v>300130</v>
      </c>
      <c r="B311" s="206" t="s">
        <v>87</v>
      </c>
      <c r="C311" s="219" t="s">
        <v>104</v>
      </c>
      <c r="D311" s="219" t="s">
        <v>105</v>
      </c>
      <c r="E311" s="213" t="s">
        <v>37</v>
      </c>
      <c r="F311" s="212"/>
      <c r="G311" s="211"/>
      <c r="H311" s="211"/>
      <c r="I311" s="211"/>
      <c r="J311" s="211"/>
      <c r="K311" s="211">
        <f t="shared" si="33"/>
        <v>0</v>
      </c>
      <c r="L311" s="211">
        <f t="shared" si="34"/>
        <v>0</v>
      </c>
      <c r="M311" s="211">
        <v>621.29999999999995</v>
      </c>
      <c r="N311" s="211">
        <f t="shared" si="38"/>
        <v>3.9674329501915708</v>
      </c>
      <c r="O311" s="211"/>
      <c r="P311" s="211">
        <f t="shared" si="35"/>
        <v>0</v>
      </c>
      <c r="Q311" s="211"/>
      <c r="R311" s="19">
        <f t="shared" si="36"/>
        <v>0</v>
      </c>
      <c r="S311" s="211">
        <f t="shared" si="37"/>
        <v>0</v>
      </c>
      <c r="T311" s="20">
        <v>4</v>
      </c>
      <c r="U311" s="20"/>
      <c r="V311" s="216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09">
        <v>300423</v>
      </c>
      <c r="B312" s="206" t="s">
        <v>292</v>
      </c>
      <c r="C312" s="230" t="s">
        <v>288</v>
      </c>
      <c r="D312" s="231"/>
      <c r="E312" s="213" t="s">
        <v>289</v>
      </c>
      <c r="F312" s="212"/>
      <c r="G312" s="211"/>
      <c r="H312" s="211"/>
      <c r="I312" s="211"/>
      <c r="J312" s="211"/>
      <c r="K312" s="211">
        <f t="shared" si="33"/>
        <v>0</v>
      </c>
      <c r="L312" s="211">
        <f t="shared" si="34"/>
        <v>0</v>
      </c>
      <c r="M312" s="211">
        <v>524.1</v>
      </c>
      <c r="N312" s="211">
        <f t="shared" si="38"/>
        <v>3.3467432950191571</v>
      </c>
      <c r="O312" s="211"/>
      <c r="P312" s="211">
        <f t="shared" si="35"/>
        <v>0</v>
      </c>
      <c r="Q312" s="211"/>
      <c r="R312" s="19">
        <f t="shared" si="36"/>
        <v>0</v>
      </c>
      <c r="S312" s="211">
        <f t="shared" si="37"/>
        <v>0</v>
      </c>
      <c r="T312" s="20">
        <v>4</v>
      </c>
      <c r="U312" s="20"/>
      <c r="V312" s="216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09">
        <v>300424</v>
      </c>
      <c r="B313" s="206" t="s">
        <v>292</v>
      </c>
      <c r="C313" s="230" t="s">
        <v>288</v>
      </c>
      <c r="D313" s="231"/>
      <c r="E313" s="213" t="s">
        <v>290</v>
      </c>
      <c r="F313" s="212"/>
      <c r="G313" s="211"/>
      <c r="H313" s="211"/>
      <c r="I313" s="211"/>
      <c r="J313" s="211"/>
      <c r="K313" s="211">
        <f t="shared" si="33"/>
        <v>0</v>
      </c>
      <c r="L313" s="211">
        <f t="shared" si="34"/>
        <v>0</v>
      </c>
      <c r="M313" s="211">
        <v>524.1</v>
      </c>
      <c r="N313" s="211">
        <f t="shared" si="38"/>
        <v>3.3467432950191571</v>
      </c>
      <c r="O313" s="211"/>
      <c r="P313" s="211">
        <f t="shared" si="35"/>
        <v>0</v>
      </c>
      <c r="Q313" s="211"/>
      <c r="R313" s="19">
        <f t="shared" si="36"/>
        <v>0</v>
      </c>
      <c r="S313" s="211">
        <f t="shared" si="37"/>
        <v>0</v>
      </c>
      <c r="T313" s="20">
        <v>4</v>
      </c>
      <c r="U313" s="20"/>
      <c r="V313" s="216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09">
        <v>300425</v>
      </c>
      <c r="B314" s="206" t="s">
        <v>292</v>
      </c>
      <c r="C314" s="230" t="s">
        <v>288</v>
      </c>
      <c r="D314" s="231"/>
      <c r="E314" s="213" t="s">
        <v>291</v>
      </c>
      <c r="F314" s="212"/>
      <c r="G314" s="211"/>
      <c r="H314" s="211"/>
      <c r="I314" s="211"/>
      <c r="J314" s="211"/>
      <c r="K314" s="211">
        <f t="shared" si="33"/>
        <v>0</v>
      </c>
      <c r="L314" s="211">
        <f t="shared" si="34"/>
        <v>0</v>
      </c>
      <c r="M314" s="211">
        <v>524.1</v>
      </c>
      <c r="N314" s="211">
        <f t="shared" si="38"/>
        <v>3.3467432950191571</v>
      </c>
      <c r="O314" s="211"/>
      <c r="P314" s="211">
        <f t="shared" si="35"/>
        <v>0</v>
      </c>
      <c r="Q314" s="211"/>
      <c r="R314" s="19">
        <f t="shared" si="36"/>
        <v>0</v>
      </c>
      <c r="S314" s="211">
        <f t="shared" si="37"/>
        <v>0</v>
      </c>
      <c r="T314" s="20">
        <v>4</v>
      </c>
      <c r="U314" s="20"/>
      <c r="V314" s="216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09">
        <v>300390</v>
      </c>
      <c r="B315" s="206" t="s">
        <v>287</v>
      </c>
      <c r="C315" s="230" t="s">
        <v>106</v>
      </c>
      <c r="D315" s="231"/>
      <c r="E315" s="213" t="s">
        <v>107</v>
      </c>
      <c r="F315" s="212"/>
      <c r="G315" s="211"/>
      <c r="H315" s="211"/>
      <c r="I315" s="211"/>
      <c r="J315" s="211"/>
      <c r="K315" s="211">
        <f t="shared" si="33"/>
        <v>0</v>
      </c>
      <c r="L315" s="211">
        <f t="shared" si="34"/>
        <v>0</v>
      </c>
      <c r="M315" s="211">
        <v>417.4</v>
      </c>
      <c r="N315" s="211">
        <f>+M315*1000/(87*1*80*60)*T315</f>
        <v>3.9980842911877397</v>
      </c>
      <c r="O315" s="211"/>
      <c r="P315" s="211">
        <f t="shared" si="35"/>
        <v>0</v>
      </c>
      <c r="Q315" s="211"/>
      <c r="R315" s="19">
        <f t="shared" si="36"/>
        <v>0</v>
      </c>
      <c r="S315" s="211">
        <f t="shared" si="37"/>
        <v>0</v>
      </c>
      <c r="T315" s="20">
        <v>4</v>
      </c>
      <c r="U315" s="20"/>
      <c r="V315" s="216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209">
        <v>300391</v>
      </c>
      <c r="B316" s="206">
        <v>5001</v>
      </c>
      <c r="C316" s="230" t="s">
        <v>106</v>
      </c>
      <c r="D316" s="231"/>
      <c r="E316" s="213" t="s">
        <v>109</v>
      </c>
      <c r="F316" s="212">
        <v>2089</v>
      </c>
      <c r="G316" s="211">
        <v>4.13</v>
      </c>
      <c r="H316" s="211">
        <v>0.125</v>
      </c>
      <c r="I316" s="211">
        <f>4+H316</f>
        <v>4.125</v>
      </c>
      <c r="J316" s="211"/>
      <c r="K316" s="211">
        <f t="shared" si="33"/>
        <v>1723.8619999999999</v>
      </c>
      <c r="L316" s="211">
        <f t="shared" si="34"/>
        <v>1721.7749999999999</v>
      </c>
      <c r="M316" s="211">
        <v>417.4</v>
      </c>
      <c r="N316" s="211">
        <f>+M316*1000/(87*1*80*60)*T316</f>
        <v>3.9980842911877397</v>
      </c>
      <c r="O316" s="211"/>
      <c r="P316" s="211">
        <f t="shared" si="35"/>
        <v>16.492097701149426</v>
      </c>
      <c r="Q316" s="211">
        <v>4</v>
      </c>
      <c r="R316" s="19">
        <f t="shared" si="36"/>
        <v>20</v>
      </c>
      <c r="S316" s="211">
        <f t="shared" si="37"/>
        <v>3.5079022988505741</v>
      </c>
      <c r="T316" s="20">
        <v>4</v>
      </c>
      <c r="U316" s="20">
        <v>5</v>
      </c>
      <c r="V316" s="216">
        <f t="array" ref="V316">IF(ISERROR(L316/K316),"",L316/K316)</f>
        <v>0.99878934624697335</v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09">
        <v>300431</v>
      </c>
      <c r="B317" s="206" t="s">
        <v>292</v>
      </c>
      <c r="C317" s="230" t="s">
        <v>297</v>
      </c>
      <c r="D317" s="231"/>
      <c r="E317" s="213" t="s">
        <v>298</v>
      </c>
      <c r="F317" s="212"/>
      <c r="G317" s="211"/>
      <c r="H317" s="211"/>
      <c r="I317" s="211"/>
      <c r="J317" s="211"/>
      <c r="K317" s="211">
        <f t="shared" si="33"/>
        <v>0</v>
      </c>
      <c r="L317" s="211">
        <f t="shared" si="34"/>
        <v>0</v>
      </c>
      <c r="M317" s="211">
        <v>628.79999999999995</v>
      </c>
      <c r="N317" s="211">
        <f>+M317*1000/(87*1*80*60)*T317</f>
        <v>6.0229885057471266</v>
      </c>
      <c r="O317" s="211"/>
      <c r="P317" s="211">
        <f t="shared" si="35"/>
        <v>0</v>
      </c>
      <c r="Q317" s="211"/>
      <c r="R317" s="19">
        <f t="shared" si="36"/>
        <v>0</v>
      </c>
      <c r="S317" s="211">
        <f t="shared" si="37"/>
        <v>0</v>
      </c>
      <c r="T317" s="20">
        <v>4</v>
      </c>
      <c r="U317" s="20"/>
      <c r="V317" s="216" t="str">
        <f t="array" ref="V317">IF(ISERROR(L317/K317),"",L317/K317)</f>
        <v/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customHeight="1">
      <c r="A318" s="209">
        <v>300432</v>
      </c>
      <c r="B318" s="206">
        <v>5001</v>
      </c>
      <c r="C318" s="230" t="s">
        <v>297</v>
      </c>
      <c r="D318" s="231"/>
      <c r="E318" s="213" t="s">
        <v>299</v>
      </c>
      <c r="F318" s="212">
        <v>2190</v>
      </c>
      <c r="G318" s="211">
        <v>6</v>
      </c>
      <c r="H318" s="211"/>
      <c r="I318" s="211">
        <f>6-J318/600</f>
        <v>5.25</v>
      </c>
      <c r="J318" s="211">
        <v>450</v>
      </c>
      <c r="K318" s="211">
        <f t="shared" si="33"/>
        <v>3772.7999999999997</v>
      </c>
      <c r="L318" s="211">
        <f t="shared" si="34"/>
        <v>3301.2</v>
      </c>
      <c r="M318" s="211">
        <v>628.79999999999995</v>
      </c>
      <c r="N318" s="211">
        <f>+M318*1000/(87*1*80*60)*T318</f>
        <v>6.0229885057471266</v>
      </c>
      <c r="O318" s="211">
        <v>0.5</v>
      </c>
      <c r="P318" s="211">
        <f t="shared" si="35"/>
        <v>34.120689655172413</v>
      </c>
      <c r="Q318" s="211">
        <v>7.5</v>
      </c>
      <c r="R318" s="19">
        <f t="shared" si="36"/>
        <v>37.5</v>
      </c>
      <c r="S318" s="211">
        <f t="shared" si="37"/>
        <v>3.3793103448275872</v>
      </c>
      <c r="T318" s="20">
        <v>4</v>
      </c>
      <c r="U318" s="20">
        <v>5</v>
      </c>
      <c r="V318" s="216">
        <f t="array" ref="V318">IF(ISERROR(L318/K318),"",L318/K318)</f>
        <v>0.875</v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09">
        <v>300433</v>
      </c>
      <c r="B319" s="206" t="s">
        <v>292</v>
      </c>
      <c r="C319" s="230" t="s">
        <v>297</v>
      </c>
      <c r="D319" s="231"/>
      <c r="E319" s="134" t="s">
        <v>300</v>
      </c>
      <c r="F319" s="212"/>
      <c r="G319" s="211"/>
      <c r="H319" s="211"/>
      <c r="I319" s="211"/>
      <c r="J319" s="211"/>
      <c r="K319" s="211">
        <f t="shared" si="33"/>
        <v>0</v>
      </c>
      <c r="L319" s="211">
        <f t="shared" si="34"/>
        <v>0</v>
      </c>
      <c r="M319" s="211">
        <v>628.79999999999995</v>
      </c>
      <c r="N319" s="211">
        <f>+M319*1000/(87*1*80*60)*T319</f>
        <v>6.0229885057471266</v>
      </c>
      <c r="O319" s="211"/>
      <c r="P319" s="211">
        <f t="shared" si="35"/>
        <v>0</v>
      </c>
      <c r="Q319" s="211"/>
      <c r="R319" s="19">
        <f t="shared" si="36"/>
        <v>0</v>
      </c>
      <c r="S319" s="211">
        <f t="shared" si="37"/>
        <v>0</v>
      </c>
      <c r="T319" s="20">
        <v>4</v>
      </c>
      <c r="U319" s="20"/>
      <c r="V319" s="210"/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09">
        <v>300074</v>
      </c>
      <c r="B320" s="206" t="s">
        <v>110</v>
      </c>
      <c r="C320" s="219" t="s">
        <v>111</v>
      </c>
      <c r="D320" s="219" t="s">
        <v>112</v>
      </c>
      <c r="E320" s="213" t="s">
        <v>54</v>
      </c>
      <c r="F320" s="212"/>
      <c r="G320" s="211"/>
      <c r="H320" s="211"/>
      <c r="I320" s="211"/>
      <c r="J320" s="211"/>
      <c r="K320" s="211">
        <f t="shared" si="33"/>
        <v>0</v>
      </c>
      <c r="L320" s="211">
        <f t="shared" si="34"/>
        <v>0</v>
      </c>
      <c r="M320" s="211">
        <v>290.8</v>
      </c>
      <c r="N320" s="211">
        <f>+M320*1000/(88*4*13*60)*T320</f>
        <v>3.1774475524475525</v>
      </c>
      <c r="O320" s="211"/>
      <c r="P320" s="211">
        <f t="shared" si="35"/>
        <v>0</v>
      </c>
      <c r="Q320" s="211"/>
      <c r="R320" s="19">
        <f t="shared" si="36"/>
        <v>0</v>
      </c>
      <c r="S320" s="211">
        <f t="shared" si="37"/>
        <v>0</v>
      </c>
      <c r="T320" s="20">
        <v>3</v>
      </c>
      <c r="U320" s="20"/>
      <c r="V320" s="210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209">
        <v>300076</v>
      </c>
      <c r="B321" s="206">
        <v>6502</v>
      </c>
      <c r="C321" s="219" t="s">
        <v>111</v>
      </c>
      <c r="D321" s="219" t="s">
        <v>112</v>
      </c>
      <c r="E321" s="213" t="s">
        <v>35</v>
      </c>
      <c r="F321" s="212">
        <v>2155</v>
      </c>
      <c r="G321" s="211">
        <v>4.5</v>
      </c>
      <c r="H321" s="211">
        <v>0.5</v>
      </c>
      <c r="I321" s="211">
        <f>4+H321</f>
        <v>4.5</v>
      </c>
      <c r="J321" s="211"/>
      <c r="K321" s="211">
        <f t="shared" si="33"/>
        <v>1363.95</v>
      </c>
      <c r="L321" s="211">
        <f t="shared" si="34"/>
        <v>1363.95</v>
      </c>
      <c r="M321" s="211">
        <v>303.10000000000002</v>
      </c>
      <c r="N321" s="211">
        <f>+M321*1000/(88*4*12*60)*T321</f>
        <v>4.7837752525252526</v>
      </c>
      <c r="O321" s="211"/>
      <c r="P321" s="211">
        <f t="shared" si="35"/>
        <v>21.526988636363637</v>
      </c>
      <c r="Q321" s="211">
        <v>5</v>
      </c>
      <c r="R321" s="19">
        <f t="shared" si="36"/>
        <v>15</v>
      </c>
      <c r="S321" s="211">
        <f t="shared" si="37"/>
        <v>-6.5269886363636367</v>
      </c>
      <c r="T321" s="20">
        <v>4</v>
      </c>
      <c r="U321" s="20">
        <v>3</v>
      </c>
      <c r="V321" s="210">
        <f t="array" ref="V321">IF(ISERROR(L321/K321),"",L321/K321)</f>
        <v>1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09">
        <v>300096</v>
      </c>
      <c r="B322" s="206">
        <v>6502</v>
      </c>
      <c r="C322" s="219" t="s">
        <v>113</v>
      </c>
      <c r="D322" s="219" t="s">
        <v>114</v>
      </c>
      <c r="E322" s="213" t="s">
        <v>37</v>
      </c>
      <c r="F322" s="212"/>
      <c r="G322" s="211"/>
      <c r="H322" s="211"/>
      <c r="I322" s="211"/>
      <c r="J322" s="211"/>
      <c r="K322" s="211">
        <f t="shared" si="33"/>
        <v>0</v>
      </c>
      <c r="L322" s="211">
        <f t="shared" si="34"/>
        <v>0</v>
      </c>
      <c r="M322" s="211">
        <v>480.13</v>
      </c>
      <c r="N322" s="211">
        <f>+M322*1000/(126.5*4*12*60)*T322</f>
        <v>2.6357597716293371</v>
      </c>
      <c r="O322" s="211"/>
      <c r="P322" s="211">
        <f t="shared" si="35"/>
        <v>0</v>
      </c>
      <c r="Q322" s="211"/>
      <c r="R322" s="19">
        <f t="shared" si="36"/>
        <v>0</v>
      </c>
      <c r="S322" s="211">
        <f t="shared" si="37"/>
        <v>0</v>
      </c>
      <c r="T322" s="20">
        <v>2</v>
      </c>
      <c r="U322" s="20"/>
      <c r="V322" s="210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09"/>
      <c r="B323" s="206" t="s">
        <v>110</v>
      </c>
      <c r="C323" s="219" t="s">
        <v>113</v>
      </c>
      <c r="D323" s="219" t="s">
        <v>114</v>
      </c>
      <c r="E323" s="213" t="s">
        <v>35</v>
      </c>
      <c r="F323" s="212"/>
      <c r="G323" s="211"/>
      <c r="H323" s="211"/>
      <c r="I323" s="211"/>
      <c r="J323" s="211"/>
      <c r="K323" s="211">
        <f t="shared" si="33"/>
        <v>0</v>
      </c>
      <c r="L323" s="211">
        <f t="shared" si="34"/>
        <v>0</v>
      </c>
      <c r="M323" s="211">
        <v>480.13</v>
      </c>
      <c r="N323" s="211">
        <f>+M323*1000/(126.5*4*12*60)*T323</f>
        <v>2.6357597716293371</v>
      </c>
      <c r="O323" s="211"/>
      <c r="P323" s="211">
        <f t="shared" si="35"/>
        <v>0</v>
      </c>
      <c r="Q323" s="211"/>
      <c r="R323" s="19">
        <f t="shared" si="36"/>
        <v>0</v>
      </c>
      <c r="S323" s="211">
        <f t="shared" si="37"/>
        <v>0</v>
      </c>
      <c r="T323" s="20">
        <v>2</v>
      </c>
      <c r="U323" s="20"/>
      <c r="V323" s="210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209">
        <v>300097</v>
      </c>
      <c r="B324" s="206">
        <v>6502</v>
      </c>
      <c r="C324" s="219" t="s">
        <v>113</v>
      </c>
      <c r="D324" s="219" t="s">
        <v>114</v>
      </c>
      <c r="E324" s="213" t="s">
        <v>63</v>
      </c>
      <c r="F324" s="212">
        <v>2183</v>
      </c>
      <c r="G324" s="211">
        <v>5</v>
      </c>
      <c r="H324" s="211"/>
      <c r="I324" s="211">
        <f>5-J324/300</f>
        <v>4.5</v>
      </c>
      <c r="J324" s="211">
        <v>150</v>
      </c>
      <c r="K324" s="211">
        <f t="shared" si="33"/>
        <v>2400.65</v>
      </c>
      <c r="L324" s="211">
        <f t="shared" si="34"/>
        <v>2160.585</v>
      </c>
      <c r="M324" s="211">
        <v>480.13</v>
      </c>
      <c r="N324" s="211">
        <f>+M324*1000/(126.5*4*12*60)*T324</f>
        <v>2.6357597716293371</v>
      </c>
      <c r="O324" s="211">
        <v>0.5</v>
      </c>
      <c r="P324" s="211">
        <f t="shared" si="35"/>
        <v>13.360918972332017</v>
      </c>
      <c r="Q324" s="211">
        <v>6.5</v>
      </c>
      <c r="R324" s="19">
        <f t="shared" si="36"/>
        <v>19.5</v>
      </c>
      <c r="S324" s="211">
        <f t="shared" si="37"/>
        <v>6.1390810276679826</v>
      </c>
      <c r="T324" s="20">
        <v>2</v>
      </c>
      <c r="U324" s="20">
        <v>3</v>
      </c>
      <c r="V324" s="210">
        <f t="array" ref="V324">IF(ISERROR(L324/K324),"",L324/K324)</f>
        <v>0.9</v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206">
        <v>300294</v>
      </c>
      <c r="B325" s="206" t="s">
        <v>110</v>
      </c>
      <c r="C325" s="219" t="s">
        <v>115</v>
      </c>
      <c r="D325" s="219"/>
      <c r="E325" s="213" t="s">
        <v>41</v>
      </c>
      <c r="F325" s="212"/>
      <c r="G325" s="211"/>
      <c r="H325" s="211"/>
      <c r="I325" s="211"/>
      <c r="J325" s="211"/>
      <c r="K325" s="211">
        <f t="shared" si="33"/>
        <v>0</v>
      </c>
      <c r="L325" s="211">
        <f t="shared" si="34"/>
        <v>0</v>
      </c>
      <c r="M325" s="211">
        <v>373.14</v>
      </c>
      <c r="N325" s="211">
        <f t="shared" ref="N325:N334" si="39">+M325*1000/(90*4*14*60)*T325</f>
        <v>3.7017857142857142</v>
      </c>
      <c r="O325" s="211"/>
      <c r="P325" s="211">
        <f t="shared" si="35"/>
        <v>0</v>
      </c>
      <c r="Q325" s="211"/>
      <c r="R325" s="19">
        <f t="shared" si="36"/>
        <v>0</v>
      </c>
      <c r="S325" s="211">
        <f t="shared" si="37"/>
        <v>0</v>
      </c>
      <c r="T325" s="20">
        <v>3</v>
      </c>
      <c r="U325" s="20"/>
      <c r="V325" s="210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06">
        <v>300295</v>
      </c>
      <c r="B326" s="206" t="s">
        <v>116</v>
      </c>
      <c r="C326" s="219" t="s">
        <v>117</v>
      </c>
      <c r="D326" s="219"/>
      <c r="E326" s="213" t="s">
        <v>118</v>
      </c>
      <c r="F326" s="212"/>
      <c r="G326" s="211"/>
      <c r="H326" s="211"/>
      <c r="I326" s="211"/>
      <c r="J326" s="211"/>
      <c r="K326" s="211">
        <f t="shared" si="33"/>
        <v>0</v>
      </c>
      <c r="L326" s="211">
        <f t="shared" si="34"/>
        <v>0</v>
      </c>
      <c r="M326" s="211">
        <v>373.14</v>
      </c>
      <c r="N326" s="211">
        <f t="shared" si="39"/>
        <v>3.7017857142857142</v>
      </c>
      <c r="O326" s="211"/>
      <c r="P326" s="211">
        <f t="shared" si="35"/>
        <v>0</v>
      </c>
      <c r="Q326" s="211"/>
      <c r="R326" s="19">
        <f t="shared" si="36"/>
        <v>0</v>
      </c>
      <c r="S326" s="211">
        <f t="shared" si="37"/>
        <v>0</v>
      </c>
      <c r="T326" s="20">
        <v>3</v>
      </c>
      <c r="U326" s="20"/>
      <c r="V326" s="210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06">
        <v>300258</v>
      </c>
      <c r="B327" s="206" t="s">
        <v>110</v>
      </c>
      <c r="C327" s="219" t="s">
        <v>115</v>
      </c>
      <c r="D327" s="219"/>
      <c r="E327" s="213" t="s">
        <v>42</v>
      </c>
      <c r="F327" s="212"/>
      <c r="G327" s="211"/>
      <c r="H327" s="211"/>
      <c r="I327" s="211"/>
      <c r="J327" s="211"/>
      <c r="K327" s="211">
        <f t="shared" si="33"/>
        <v>0</v>
      </c>
      <c r="L327" s="211">
        <f t="shared" si="34"/>
        <v>0</v>
      </c>
      <c r="M327" s="211">
        <v>373.14</v>
      </c>
      <c r="N327" s="211">
        <f t="shared" si="39"/>
        <v>3.7017857142857142</v>
      </c>
      <c r="O327" s="211"/>
      <c r="P327" s="211">
        <f t="shared" si="35"/>
        <v>0</v>
      </c>
      <c r="Q327" s="211"/>
      <c r="R327" s="19">
        <f t="shared" si="36"/>
        <v>0</v>
      </c>
      <c r="S327" s="211">
        <f t="shared" si="37"/>
        <v>0</v>
      </c>
      <c r="T327" s="20">
        <v>3</v>
      </c>
      <c r="U327" s="20"/>
      <c r="V327" s="210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06">
        <v>300256</v>
      </c>
      <c r="B328" s="206" t="s">
        <v>110</v>
      </c>
      <c r="C328" s="219" t="s">
        <v>115</v>
      </c>
      <c r="D328" s="219"/>
      <c r="E328" s="213" t="s">
        <v>74</v>
      </c>
      <c r="F328" s="212"/>
      <c r="G328" s="211"/>
      <c r="H328" s="211"/>
      <c r="I328" s="211"/>
      <c r="J328" s="211"/>
      <c r="K328" s="211">
        <f t="shared" si="33"/>
        <v>0</v>
      </c>
      <c r="L328" s="211">
        <f t="shared" si="34"/>
        <v>0</v>
      </c>
      <c r="M328" s="211">
        <v>373.14</v>
      </c>
      <c r="N328" s="211">
        <f t="shared" si="39"/>
        <v>3.7017857142857142</v>
      </c>
      <c r="O328" s="211"/>
      <c r="P328" s="211">
        <f t="shared" si="35"/>
        <v>0</v>
      </c>
      <c r="Q328" s="211"/>
      <c r="R328" s="19">
        <f t="shared" si="36"/>
        <v>0</v>
      </c>
      <c r="S328" s="211">
        <f t="shared" si="37"/>
        <v>0</v>
      </c>
      <c r="T328" s="20">
        <v>3</v>
      </c>
      <c r="U328" s="20"/>
      <c r="V328" s="210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06">
        <v>300259</v>
      </c>
      <c r="B329" s="206" t="s">
        <v>110</v>
      </c>
      <c r="C329" s="219" t="s">
        <v>115</v>
      </c>
      <c r="D329" s="219"/>
      <c r="E329" s="213" t="s">
        <v>40</v>
      </c>
      <c r="F329" s="212"/>
      <c r="G329" s="211"/>
      <c r="H329" s="211"/>
      <c r="I329" s="211"/>
      <c r="J329" s="211"/>
      <c r="K329" s="211">
        <f t="shared" si="33"/>
        <v>0</v>
      </c>
      <c r="L329" s="211">
        <f t="shared" si="34"/>
        <v>0</v>
      </c>
      <c r="M329" s="211">
        <v>373.14</v>
      </c>
      <c r="N329" s="211">
        <f t="shared" si="39"/>
        <v>3.7017857142857142</v>
      </c>
      <c r="O329" s="211"/>
      <c r="P329" s="211">
        <f t="shared" si="35"/>
        <v>0</v>
      </c>
      <c r="Q329" s="211"/>
      <c r="R329" s="19">
        <f t="shared" si="36"/>
        <v>0</v>
      </c>
      <c r="S329" s="211">
        <f t="shared" si="37"/>
        <v>0</v>
      </c>
      <c r="T329" s="20">
        <v>3</v>
      </c>
      <c r="U329" s="20"/>
      <c r="V329" s="210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06">
        <v>300345</v>
      </c>
      <c r="B330" s="206" t="s">
        <v>110</v>
      </c>
      <c r="C330" s="219" t="s">
        <v>119</v>
      </c>
      <c r="D330" s="219"/>
      <c r="E330" s="213" t="s">
        <v>74</v>
      </c>
      <c r="F330" s="212"/>
      <c r="G330" s="211"/>
      <c r="H330" s="211"/>
      <c r="I330" s="211"/>
      <c r="J330" s="211"/>
      <c r="K330" s="211">
        <f t="shared" si="33"/>
        <v>0</v>
      </c>
      <c r="L330" s="211">
        <f t="shared" si="34"/>
        <v>0</v>
      </c>
      <c r="M330" s="211">
        <v>373.14</v>
      </c>
      <c r="N330" s="211">
        <f t="shared" si="39"/>
        <v>3.7017857142857142</v>
      </c>
      <c r="O330" s="41"/>
      <c r="P330" s="211">
        <f t="shared" si="35"/>
        <v>0</v>
      </c>
      <c r="Q330" s="41"/>
      <c r="R330" s="19">
        <f t="shared" si="36"/>
        <v>0</v>
      </c>
      <c r="S330" s="211">
        <f t="shared" si="37"/>
        <v>0</v>
      </c>
      <c r="T330" s="20">
        <v>3</v>
      </c>
      <c r="U330" s="41"/>
      <c r="V330" s="210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06">
        <v>300346</v>
      </c>
      <c r="B331" s="206" t="s">
        <v>110</v>
      </c>
      <c r="C331" s="219" t="s">
        <v>119</v>
      </c>
      <c r="D331" s="219"/>
      <c r="E331" s="213" t="s">
        <v>42</v>
      </c>
      <c r="F331" s="212"/>
      <c r="G331" s="211"/>
      <c r="H331" s="211"/>
      <c r="I331" s="211"/>
      <c r="J331" s="211"/>
      <c r="K331" s="211">
        <f t="shared" si="33"/>
        <v>0</v>
      </c>
      <c r="L331" s="211">
        <f t="shared" si="34"/>
        <v>0</v>
      </c>
      <c r="M331" s="211">
        <v>373.14</v>
      </c>
      <c r="N331" s="211">
        <f t="shared" si="39"/>
        <v>3.7017857142857142</v>
      </c>
      <c r="O331" s="41"/>
      <c r="P331" s="211">
        <f t="shared" si="35"/>
        <v>0</v>
      </c>
      <c r="Q331" s="41"/>
      <c r="R331" s="19">
        <f t="shared" si="36"/>
        <v>0</v>
      </c>
      <c r="S331" s="211">
        <f t="shared" si="37"/>
        <v>0</v>
      </c>
      <c r="T331" s="20">
        <v>3</v>
      </c>
      <c r="U331" s="41"/>
      <c r="V331" s="210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06">
        <v>300347</v>
      </c>
      <c r="B332" s="206" t="s">
        <v>110</v>
      </c>
      <c r="C332" s="219" t="s">
        <v>119</v>
      </c>
      <c r="D332" s="219"/>
      <c r="E332" s="213" t="s">
        <v>41</v>
      </c>
      <c r="F332" s="212"/>
      <c r="G332" s="211"/>
      <c r="H332" s="211"/>
      <c r="I332" s="211"/>
      <c r="J332" s="211"/>
      <c r="K332" s="211">
        <f t="shared" si="33"/>
        <v>0</v>
      </c>
      <c r="L332" s="211">
        <f t="shared" si="34"/>
        <v>0</v>
      </c>
      <c r="M332" s="211">
        <v>373.14</v>
      </c>
      <c r="N332" s="211">
        <f t="shared" si="39"/>
        <v>3.7017857142857142</v>
      </c>
      <c r="O332" s="41"/>
      <c r="P332" s="211">
        <f t="shared" si="35"/>
        <v>0</v>
      </c>
      <c r="Q332" s="41"/>
      <c r="R332" s="19">
        <f t="shared" si="36"/>
        <v>0</v>
      </c>
      <c r="S332" s="211">
        <f t="shared" si="37"/>
        <v>0</v>
      </c>
      <c r="T332" s="20">
        <v>3</v>
      </c>
      <c r="U332" s="41"/>
      <c r="V332" s="210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06">
        <v>300348</v>
      </c>
      <c r="B333" s="206" t="s">
        <v>110</v>
      </c>
      <c r="C333" s="219" t="s">
        <v>119</v>
      </c>
      <c r="D333" s="219"/>
      <c r="E333" s="213" t="s">
        <v>118</v>
      </c>
      <c r="F333" s="212"/>
      <c r="G333" s="211"/>
      <c r="H333" s="211"/>
      <c r="I333" s="211"/>
      <c r="J333" s="211"/>
      <c r="K333" s="211">
        <f t="shared" si="33"/>
        <v>0</v>
      </c>
      <c r="L333" s="211">
        <f t="shared" si="34"/>
        <v>0</v>
      </c>
      <c r="M333" s="211">
        <v>373.14</v>
      </c>
      <c r="N333" s="211">
        <f t="shared" si="39"/>
        <v>3.7017857142857142</v>
      </c>
      <c r="O333" s="41"/>
      <c r="P333" s="211">
        <f t="shared" si="35"/>
        <v>0</v>
      </c>
      <c r="Q333" s="41"/>
      <c r="R333" s="19">
        <f t="shared" si="36"/>
        <v>0</v>
      </c>
      <c r="S333" s="211">
        <f t="shared" si="37"/>
        <v>0</v>
      </c>
      <c r="T333" s="20">
        <v>3</v>
      </c>
      <c r="U333" s="41"/>
      <c r="V333" s="210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06">
        <v>300349</v>
      </c>
      <c r="B334" s="206" t="s">
        <v>110</v>
      </c>
      <c r="C334" s="219" t="s">
        <v>119</v>
      </c>
      <c r="D334" s="219"/>
      <c r="E334" s="213" t="s">
        <v>40</v>
      </c>
      <c r="F334" s="212"/>
      <c r="G334" s="211"/>
      <c r="H334" s="211"/>
      <c r="I334" s="211"/>
      <c r="J334" s="211"/>
      <c r="K334" s="211">
        <f t="shared" si="33"/>
        <v>0</v>
      </c>
      <c r="L334" s="211">
        <f t="shared" si="34"/>
        <v>0</v>
      </c>
      <c r="M334" s="211">
        <v>373.14</v>
      </c>
      <c r="N334" s="211">
        <f t="shared" si="39"/>
        <v>3.7017857142857142</v>
      </c>
      <c r="O334" s="41"/>
      <c r="P334" s="211">
        <f t="shared" si="35"/>
        <v>0</v>
      </c>
      <c r="Q334" s="41"/>
      <c r="R334" s="19">
        <f t="shared" si="36"/>
        <v>0</v>
      </c>
      <c r="S334" s="211">
        <f t="shared" si="37"/>
        <v>0</v>
      </c>
      <c r="T334" s="20">
        <v>3</v>
      </c>
      <c r="U334" s="41"/>
      <c r="V334" s="210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06">
        <v>300298</v>
      </c>
      <c r="B335" s="206" t="s">
        <v>110</v>
      </c>
      <c r="C335" s="219" t="s">
        <v>120</v>
      </c>
      <c r="D335" s="219"/>
      <c r="E335" s="213" t="s">
        <v>54</v>
      </c>
      <c r="F335" s="212"/>
      <c r="G335" s="211"/>
      <c r="H335" s="211"/>
      <c r="I335" s="211"/>
      <c r="J335" s="211"/>
      <c r="K335" s="211">
        <f t="shared" si="33"/>
        <v>0</v>
      </c>
      <c r="L335" s="211">
        <f t="shared" si="34"/>
        <v>0</v>
      </c>
      <c r="M335" s="211">
        <v>380.63</v>
      </c>
      <c r="N335" s="211">
        <f t="shared" ref="N335:N340" si="40">+M335*1000/(94.7*4*15*60)*T335</f>
        <v>4.4659157573624313</v>
      </c>
      <c r="O335" s="211"/>
      <c r="P335" s="211">
        <f t="shared" si="35"/>
        <v>0</v>
      </c>
      <c r="Q335" s="211"/>
      <c r="R335" s="19">
        <f t="shared" si="36"/>
        <v>0</v>
      </c>
      <c r="S335" s="211">
        <f t="shared" si="37"/>
        <v>0</v>
      </c>
      <c r="T335" s="20">
        <v>4</v>
      </c>
      <c r="U335" s="20"/>
      <c r="V335" s="210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06">
        <v>300299</v>
      </c>
      <c r="B336" s="206" t="s">
        <v>110</v>
      </c>
      <c r="C336" s="219" t="s">
        <v>120</v>
      </c>
      <c r="D336" s="219"/>
      <c r="E336" s="213" t="s">
        <v>39</v>
      </c>
      <c r="F336" s="212"/>
      <c r="G336" s="211"/>
      <c r="H336" s="211"/>
      <c r="I336" s="211"/>
      <c r="J336" s="211"/>
      <c r="K336" s="211">
        <f t="shared" si="33"/>
        <v>0</v>
      </c>
      <c r="L336" s="211">
        <f t="shared" si="34"/>
        <v>0</v>
      </c>
      <c r="M336" s="211">
        <v>380.63</v>
      </c>
      <c r="N336" s="211">
        <f t="shared" si="40"/>
        <v>4.4659157573624313</v>
      </c>
      <c r="O336" s="211"/>
      <c r="P336" s="211">
        <f t="shared" si="35"/>
        <v>0</v>
      </c>
      <c r="Q336" s="211"/>
      <c r="R336" s="19">
        <f t="shared" si="36"/>
        <v>0</v>
      </c>
      <c r="S336" s="211">
        <f t="shared" si="37"/>
        <v>0</v>
      </c>
      <c r="T336" s="20">
        <v>4</v>
      </c>
      <c r="U336" s="20"/>
      <c r="V336" s="210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06">
        <v>300296</v>
      </c>
      <c r="B337" s="206" t="s">
        <v>110</v>
      </c>
      <c r="C337" s="219" t="s">
        <v>120</v>
      </c>
      <c r="D337" s="219"/>
      <c r="E337" s="213" t="s">
        <v>41</v>
      </c>
      <c r="F337" s="212"/>
      <c r="G337" s="211"/>
      <c r="H337" s="211"/>
      <c r="I337" s="211"/>
      <c r="J337" s="211"/>
      <c r="K337" s="211">
        <f t="shared" si="33"/>
        <v>0</v>
      </c>
      <c r="L337" s="211">
        <f t="shared" si="34"/>
        <v>0</v>
      </c>
      <c r="M337" s="211">
        <v>380.63</v>
      </c>
      <c r="N337" s="211">
        <f t="shared" si="40"/>
        <v>4.4659157573624313</v>
      </c>
      <c r="O337" s="211"/>
      <c r="P337" s="211">
        <f t="shared" si="35"/>
        <v>0</v>
      </c>
      <c r="Q337" s="211"/>
      <c r="R337" s="19">
        <f t="shared" si="36"/>
        <v>0</v>
      </c>
      <c r="S337" s="211">
        <f t="shared" si="37"/>
        <v>0</v>
      </c>
      <c r="T337" s="20">
        <v>4</v>
      </c>
      <c r="U337" s="20"/>
      <c r="V337" s="210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06">
        <v>300297</v>
      </c>
      <c r="B338" s="206" t="s">
        <v>110</v>
      </c>
      <c r="C338" s="219" t="s">
        <v>120</v>
      </c>
      <c r="D338" s="219"/>
      <c r="E338" s="213" t="s">
        <v>37</v>
      </c>
      <c r="F338" s="212"/>
      <c r="G338" s="211"/>
      <c r="H338" s="211"/>
      <c r="I338" s="211"/>
      <c r="J338" s="211"/>
      <c r="K338" s="211">
        <f t="shared" si="33"/>
        <v>0</v>
      </c>
      <c r="L338" s="211">
        <f t="shared" si="34"/>
        <v>0</v>
      </c>
      <c r="M338" s="211">
        <v>380.63</v>
      </c>
      <c r="N338" s="211">
        <f t="shared" si="40"/>
        <v>4.4659157573624313</v>
      </c>
      <c r="O338" s="211"/>
      <c r="P338" s="211">
        <f t="shared" si="35"/>
        <v>0</v>
      </c>
      <c r="Q338" s="211"/>
      <c r="R338" s="19">
        <f t="shared" si="36"/>
        <v>0</v>
      </c>
      <c r="S338" s="211">
        <f t="shared" si="37"/>
        <v>0</v>
      </c>
      <c r="T338" s="20">
        <v>4</v>
      </c>
      <c r="U338" s="20"/>
      <c r="V338" s="210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06">
        <v>300340</v>
      </c>
      <c r="B339" s="206" t="s">
        <v>110</v>
      </c>
      <c r="C339" s="230" t="s">
        <v>121</v>
      </c>
      <c r="D339" s="231"/>
      <c r="E339" s="213" t="s">
        <v>41</v>
      </c>
      <c r="F339" s="212"/>
      <c r="G339" s="211"/>
      <c r="H339" s="211"/>
      <c r="I339" s="211"/>
      <c r="J339" s="211"/>
      <c r="K339" s="211">
        <f t="shared" si="33"/>
        <v>0</v>
      </c>
      <c r="L339" s="211">
        <f t="shared" si="34"/>
        <v>0</v>
      </c>
      <c r="M339" s="211">
        <v>325.60000000000002</v>
      </c>
      <c r="N339" s="211">
        <f t="shared" si="40"/>
        <v>3.8202510852986036</v>
      </c>
      <c r="O339" s="211"/>
      <c r="P339" s="211">
        <f t="shared" si="35"/>
        <v>0</v>
      </c>
      <c r="Q339" s="211"/>
      <c r="R339" s="19">
        <f t="shared" si="36"/>
        <v>0</v>
      </c>
      <c r="S339" s="211">
        <f t="shared" si="37"/>
        <v>0</v>
      </c>
      <c r="T339" s="20">
        <v>4</v>
      </c>
      <c r="U339" s="20"/>
      <c r="V339" s="210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06">
        <v>300339</v>
      </c>
      <c r="B340" s="206" t="s">
        <v>110</v>
      </c>
      <c r="C340" s="230" t="s">
        <v>121</v>
      </c>
      <c r="D340" s="231"/>
      <c r="E340" s="213" t="s">
        <v>39</v>
      </c>
      <c r="F340" s="212"/>
      <c r="G340" s="211"/>
      <c r="H340" s="211"/>
      <c r="I340" s="211"/>
      <c r="J340" s="211"/>
      <c r="K340" s="211">
        <f t="shared" si="33"/>
        <v>0</v>
      </c>
      <c r="L340" s="211">
        <f t="shared" si="34"/>
        <v>0</v>
      </c>
      <c r="M340" s="211">
        <v>325.60000000000002</v>
      </c>
      <c r="N340" s="211">
        <f t="shared" si="40"/>
        <v>3.8202510852986036</v>
      </c>
      <c r="O340" s="211"/>
      <c r="P340" s="211">
        <f t="shared" si="35"/>
        <v>0</v>
      </c>
      <c r="Q340" s="211"/>
      <c r="R340" s="19">
        <f t="shared" si="36"/>
        <v>0</v>
      </c>
      <c r="S340" s="211">
        <f t="shared" si="37"/>
        <v>0</v>
      </c>
      <c r="T340" s="20">
        <v>4</v>
      </c>
      <c r="U340" s="20"/>
      <c r="V340" s="210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06">
        <v>300303</v>
      </c>
      <c r="B341" s="206" t="s">
        <v>110</v>
      </c>
      <c r="C341" s="219" t="s">
        <v>122</v>
      </c>
      <c r="D341" s="219" t="s">
        <v>123</v>
      </c>
      <c r="E341" s="213" t="s">
        <v>57</v>
      </c>
      <c r="F341" s="212"/>
      <c r="G341" s="211"/>
      <c r="H341" s="211"/>
      <c r="I341" s="211"/>
      <c r="J341" s="211"/>
      <c r="K341" s="211">
        <f t="shared" si="33"/>
        <v>0</v>
      </c>
      <c r="L341" s="211">
        <f t="shared" si="34"/>
        <v>0</v>
      </c>
      <c r="M341" s="211">
        <v>396.92</v>
      </c>
      <c r="N341" s="211">
        <f>+M341*1000/(113.8*4*15*60)*T341</f>
        <v>4.8442686975200155</v>
      </c>
      <c r="O341" s="211"/>
      <c r="P341" s="211">
        <f t="shared" si="35"/>
        <v>0</v>
      </c>
      <c r="Q341" s="211"/>
      <c r="R341" s="19">
        <f t="shared" si="36"/>
        <v>0</v>
      </c>
      <c r="S341" s="211">
        <f t="shared" si="37"/>
        <v>0</v>
      </c>
      <c r="T341" s="20">
        <v>5</v>
      </c>
      <c r="U341" s="20"/>
      <c r="V341" s="210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06">
        <v>300302</v>
      </c>
      <c r="B342" s="206" t="s">
        <v>110</v>
      </c>
      <c r="C342" s="219" t="s">
        <v>122</v>
      </c>
      <c r="D342" s="219" t="s">
        <v>123</v>
      </c>
      <c r="E342" s="213" t="s">
        <v>109</v>
      </c>
      <c r="F342" s="212"/>
      <c r="G342" s="211"/>
      <c r="H342" s="211"/>
      <c r="I342" s="211"/>
      <c r="J342" s="211"/>
      <c r="K342" s="211">
        <f t="shared" si="33"/>
        <v>0</v>
      </c>
      <c r="L342" s="211">
        <f t="shared" si="34"/>
        <v>0</v>
      </c>
      <c r="M342" s="211">
        <v>396.06</v>
      </c>
      <c r="N342" s="211">
        <f>+M342*1000/(113.8*4*15*60)*T342</f>
        <v>4.8337727006444053</v>
      </c>
      <c r="O342" s="211"/>
      <c r="P342" s="211">
        <f t="shared" si="35"/>
        <v>0</v>
      </c>
      <c r="Q342" s="211"/>
      <c r="R342" s="19">
        <f t="shared" si="36"/>
        <v>0</v>
      </c>
      <c r="S342" s="211">
        <f t="shared" si="37"/>
        <v>0</v>
      </c>
      <c r="T342" s="20">
        <v>5</v>
      </c>
      <c r="U342" s="20"/>
      <c r="V342" s="210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06">
        <v>300301</v>
      </c>
      <c r="B343" s="206" t="s">
        <v>110</v>
      </c>
      <c r="C343" s="219" t="s">
        <v>122</v>
      </c>
      <c r="D343" s="219" t="s">
        <v>123</v>
      </c>
      <c r="E343" s="213" t="s">
        <v>124</v>
      </c>
      <c r="F343" s="212"/>
      <c r="G343" s="211"/>
      <c r="H343" s="211"/>
      <c r="I343" s="211"/>
      <c r="J343" s="211"/>
      <c r="K343" s="211">
        <f t="shared" si="33"/>
        <v>0</v>
      </c>
      <c r="L343" s="211">
        <f t="shared" si="34"/>
        <v>0</v>
      </c>
      <c r="M343" s="211">
        <v>401.25</v>
      </c>
      <c r="N343" s="211">
        <f>+M343*1000/(113.8*4*15*60)*T343</f>
        <v>4.8971148213239601</v>
      </c>
      <c r="O343" s="211"/>
      <c r="P343" s="211">
        <f t="shared" si="35"/>
        <v>0</v>
      </c>
      <c r="Q343" s="211"/>
      <c r="R343" s="19">
        <f t="shared" si="36"/>
        <v>0</v>
      </c>
      <c r="S343" s="211">
        <f t="shared" si="37"/>
        <v>0</v>
      </c>
      <c r="T343" s="20">
        <v>5</v>
      </c>
      <c r="U343" s="20"/>
      <c r="V343" s="210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09">
        <v>300304</v>
      </c>
      <c r="B344" s="206" t="s">
        <v>110</v>
      </c>
      <c r="C344" s="219" t="s">
        <v>122</v>
      </c>
      <c r="D344" s="219"/>
      <c r="E344" s="213" t="s">
        <v>125</v>
      </c>
      <c r="F344" s="212"/>
      <c r="G344" s="211"/>
      <c r="H344" s="211"/>
      <c r="I344" s="211"/>
      <c r="J344" s="211"/>
      <c r="K344" s="211">
        <f t="shared" si="33"/>
        <v>0</v>
      </c>
      <c r="L344" s="211">
        <f t="shared" si="34"/>
        <v>0</v>
      </c>
      <c r="M344" s="211">
        <v>401.25</v>
      </c>
      <c r="N344" s="211">
        <f>+M344*1000/(113.8*4*15*60)*T344</f>
        <v>4.8971148213239601</v>
      </c>
      <c r="O344" s="211"/>
      <c r="P344" s="211">
        <f t="shared" si="35"/>
        <v>0</v>
      </c>
      <c r="Q344" s="211"/>
      <c r="R344" s="19">
        <f t="shared" si="36"/>
        <v>0</v>
      </c>
      <c r="S344" s="211">
        <f t="shared" si="37"/>
        <v>0</v>
      </c>
      <c r="T344" s="20">
        <v>5</v>
      </c>
      <c r="U344" s="20"/>
      <c r="V344" s="210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09">
        <v>300300</v>
      </c>
      <c r="B345" s="206" t="s">
        <v>110</v>
      </c>
      <c r="C345" s="219" t="s">
        <v>122</v>
      </c>
      <c r="D345" s="219" t="s">
        <v>123</v>
      </c>
      <c r="E345" s="213" t="s">
        <v>54</v>
      </c>
      <c r="F345" s="212"/>
      <c r="G345" s="211"/>
      <c r="H345" s="211"/>
      <c r="I345" s="211"/>
      <c r="J345" s="211"/>
      <c r="K345" s="211">
        <f t="shared" si="33"/>
        <v>0</v>
      </c>
      <c r="L345" s="211">
        <f t="shared" si="34"/>
        <v>0</v>
      </c>
      <c r="M345" s="211">
        <v>399.07</v>
      </c>
      <c r="N345" s="211">
        <f>+M345*1000/(113.8*4*15*60)*T345</f>
        <v>4.8705086897090411</v>
      </c>
      <c r="O345" s="211"/>
      <c r="P345" s="211">
        <f t="shared" si="35"/>
        <v>0</v>
      </c>
      <c r="Q345" s="211"/>
      <c r="R345" s="19">
        <f t="shared" si="36"/>
        <v>0</v>
      </c>
      <c r="S345" s="211">
        <f t="shared" si="37"/>
        <v>0</v>
      </c>
      <c r="T345" s="20">
        <v>5</v>
      </c>
      <c r="U345" s="20"/>
      <c r="V345" s="210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209">
        <v>300085</v>
      </c>
      <c r="B346" s="206">
        <v>6503</v>
      </c>
      <c r="C346" s="219" t="s">
        <v>126</v>
      </c>
      <c r="D346" s="219" t="s">
        <v>123</v>
      </c>
      <c r="E346" s="213" t="s">
        <v>127</v>
      </c>
      <c r="F346" s="212">
        <v>2164</v>
      </c>
      <c r="G346" s="211">
        <v>11</v>
      </c>
      <c r="H346" s="211">
        <v>0.66666666666666663</v>
      </c>
      <c r="I346" s="211">
        <f>10+H346-J346/300</f>
        <v>10.166666666666666</v>
      </c>
      <c r="J346" s="211">
        <v>150</v>
      </c>
      <c r="K346" s="211">
        <f t="shared" si="33"/>
        <v>4337.3</v>
      </c>
      <c r="L346" s="211">
        <f t="shared" si="34"/>
        <v>4008.7166666666667</v>
      </c>
      <c r="M346" s="211">
        <v>394.3</v>
      </c>
      <c r="N346" s="211">
        <f>+M346*1000/(104.2*4*15*60)*T346</f>
        <v>6.3067818298144598</v>
      </c>
      <c r="O346" s="211"/>
      <c r="P346" s="211">
        <f t="shared" si="35"/>
        <v>64.118948603113665</v>
      </c>
      <c r="Q346" s="211">
        <v>11.5</v>
      </c>
      <c r="R346" s="19">
        <f t="shared" si="36"/>
        <v>57.5</v>
      </c>
      <c r="S346" s="211">
        <f t="shared" si="37"/>
        <v>-6.6189486031136653</v>
      </c>
      <c r="T346" s="20">
        <v>6</v>
      </c>
      <c r="U346" s="20">
        <v>5</v>
      </c>
      <c r="V346" s="210">
        <f t="array" ref="V346">IF(ISERROR(L346/K346),"",L346/K346)</f>
        <v>0.9242424242424242</v>
      </c>
      <c r="W346" s="20">
        <f>30/60*5</f>
        <v>2.5</v>
      </c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09">
        <v>300087</v>
      </c>
      <c r="B347" s="206" t="s">
        <v>110</v>
      </c>
      <c r="C347" s="219" t="s">
        <v>126</v>
      </c>
      <c r="D347" s="219" t="s">
        <v>123</v>
      </c>
      <c r="E347" s="213" t="s">
        <v>80</v>
      </c>
      <c r="F347" s="212"/>
      <c r="G347" s="211"/>
      <c r="H347" s="211"/>
      <c r="I347" s="211"/>
      <c r="J347" s="211"/>
      <c r="K347" s="211">
        <f t="shared" si="33"/>
        <v>0</v>
      </c>
      <c r="L347" s="211">
        <f t="shared" si="34"/>
        <v>0</v>
      </c>
      <c r="M347" s="211">
        <v>380.1</v>
      </c>
      <c r="N347" s="211">
        <f>+M347*1000/(104.2*4*16*60)*T347</f>
        <v>4.7497300863723604</v>
      </c>
      <c r="O347" s="211"/>
      <c r="P347" s="211">
        <f t="shared" si="35"/>
        <v>0</v>
      </c>
      <c r="Q347" s="211"/>
      <c r="R347" s="19">
        <f t="shared" si="36"/>
        <v>0</v>
      </c>
      <c r="S347" s="211">
        <f t="shared" si="37"/>
        <v>0</v>
      </c>
      <c r="T347" s="20">
        <v>5</v>
      </c>
      <c r="U347" s="20"/>
      <c r="V347" s="216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09">
        <v>300387</v>
      </c>
      <c r="B348" s="206" t="s">
        <v>128</v>
      </c>
      <c r="C348" s="230" t="s">
        <v>129</v>
      </c>
      <c r="D348" s="231"/>
      <c r="E348" s="213" t="s">
        <v>57</v>
      </c>
      <c r="F348" s="212"/>
      <c r="G348" s="211"/>
      <c r="H348" s="211"/>
      <c r="I348" s="211"/>
      <c r="J348" s="211"/>
      <c r="K348" s="211">
        <f t="shared" si="33"/>
        <v>0</v>
      </c>
      <c r="L348" s="211">
        <f t="shared" si="34"/>
        <v>0</v>
      </c>
      <c r="M348" s="211">
        <v>352.29</v>
      </c>
      <c r="N348" s="211">
        <f>+M348*1000/(104.2*4*16*60)*T348</f>
        <v>4.4022162907869484</v>
      </c>
      <c r="O348" s="211"/>
      <c r="P348" s="211">
        <f t="shared" si="35"/>
        <v>0</v>
      </c>
      <c r="Q348" s="211"/>
      <c r="R348" s="19">
        <f t="shared" si="36"/>
        <v>0</v>
      </c>
      <c r="S348" s="211">
        <f t="shared" si="37"/>
        <v>0</v>
      </c>
      <c r="T348" s="20">
        <v>5</v>
      </c>
      <c r="U348" s="20"/>
      <c r="V348" s="216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09">
        <v>300388</v>
      </c>
      <c r="B349" s="206" t="s">
        <v>130</v>
      </c>
      <c r="C349" s="230" t="s">
        <v>129</v>
      </c>
      <c r="D349" s="231"/>
      <c r="E349" s="213" t="s">
        <v>109</v>
      </c>
      <c r="F349" s="212"/>
      <c r="G349" s="211"/>
      <c r="H349" s="211"/>
      <c r="I349" s="211"/>
      <c r="J349" s="211"/>
      <c r="K349" s="211">
        <f t="shared" si="33"/>
        <v>0</v>
      </c>
      <c r="L349" s="211">
        <f t="shared" si="34"/>
        <v>0</v>
      </c>
      <c r="M349" s="211">
        <v>352.29</v>
      </c>
      <c r="N349" s="211">
        <f>+M349*1000/(104.2*4*16*60)*T349</f>
        <v>4.4022162907869484</v>
      </c>
      <c r="O349" s="211"/>
      <c r="P349" s="211">
        <f t="shared" si="35"/>
        <v>0</v>
      </c>
      <c r="Q349" s="211"/>
      <c r="R349" s="19">
        <f t="shared" si="36"/>
        <v>0</v>
      </c>
      <c r="S349" s="211">
        <f t="shared" si="37"/>
        <v>0</v>
      </c>
      <c r="T349" s="20">
        <v>5</v>
      </c>
      <c r="U349" s="20"/>
      <c r="V349" s="216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09">
        <v>300123</v>
      </c>
      <c r="B350" s="206" t="s">
        <v>110</v>
      </c>
      <c r="C350" s="219" t="s">
        <v>131</v>
      </c>
      <c r="D350" s="219" t="s">
        <v>132</v>
      </c>
      <c r="E350" s="213" t="s">
        <v>127</v>
      </c>
      <c r="F350" s="212"/>
      <c r="G350" s="211"/>
      <c r="H350" s="211"/>
      <c r="I350" s="211"/>
      <c r="J350" s="211"/>
      <c r="K350" s="211">
        <f t="shared" si="33"/>
        <v>0</v>
      </c>
      <c r="L350" s="211">
        <f t="shared" si="34"/>
        <v>0</v>
      </c>
      <c r="M350" s="211">
        <v>557</v>
      </c>
      <c r="N350" s="211">
        <f>+M350*1000/(126.5*4*15*60)*T350</f>
        <v>6.1155028546332888</v>
      </c>
      <c r="O350" s="211"/>
      <c r="P350" s="211">
        <f t="shared" si="35"/>
        <v>0</v>
      </c>
      <c r="Q350" s="211"/>
      <c r="R350" s="19">
        <f t="shared" si="36"/>
        <v>0</v>
      </c>
      <c r="S350" s="211">
        <f t="shared" si="37"/>
        <v>0</v>
      </c>
      <c r="T350" s="20">
        <v>5</v>
      </c>
      <c r="U350" s="20"/>
      <c r="V350" s="216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09">
        <v>300270</v>
      </c>
      <c r="B351" s="206" t="s">
        <v>110</v>
      </c>
      <c r="C351" s="219" t="s">
        <v>133</v>
      </c>
      <c r="D351" s="219"/>
      <c r="E351" s="213" t="s">
        <v>134</v>
      </c>
      <c r="F351" s="212"/>
      <c r="G351" s="211"/>
      <c r="H351" s="211"/>
      <c r="I351" s="211"/>
      <c r="J351" s="211"/>
      <c r="K351" s="211">
        <f t="shared" si="33"/>
        <v>0</v>
      </c>
      <c r="L351" s="211">
        <f t="shared" si="34"/>
        <v>0</v>
      </c>
      <c r="M351" s="211">
        <v>485.7</v>
      </c>
      <c r="N351" s="211">
        <f>+M351*1000/(126.5*4*15*60)*T351</f>
        <v>4.2661396574440049</v>
      </c>
      <c r="O351" s="211"/>
      <c r="P351" s="211">
        <f t="shared" si="35"/>
        <v>0</v>
      </c>
      <c r="Q351" s="211"/>
      <c r="R351" s="19">
        <f t="shared" si="36"/>
        <v>0</v>
      </c>
      <c r="S351" s="211">
        <f t="shared" si="37"/>
        <v>0</v>
      </c>
      <c r="T351" s="20">
        <v>4</v>
      </c>
      <c r="U351" s="20"/>
      <c r="V351" s="216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09">
        <v>300336</v>
      </c>
      <c r="B352" s="206" t="s">
        <v>110</v>
      </c>
      <c r="C352" s="219" t="s">
        <v>135</v>
      </c>
      <c r="D352" s="219"/>
      <c r="E352" s="213" t="s">
        <v>84</v>
      </c>
      <c r="F352" s="212"/>
      <c r="G352" s="211"/>
      <c r="H352" s="211"/>
      <c r="I352" s="211"/>
      <c r="J352" s="211"/>
      <c r="K352" s="211">
        <f t="shared" si="33"/>
        <v>0</v>
      </c>
      <c r="L352" s="211">
        <f t="shared" si="34"/>
        <v>0</v>
      </c>
      <c r="M352" s="211">
        <v>411.4</v>
      </c>
      <c r="N352" s="211">
        <f>+M352*1000/(104.2*4*16*60)*T352</f>
        <v>2.0563419705694179</v>
      </c>
      <c r="O352" s="211"/>
      <c r="P352" s="211">
        <f t="shared" si="35"/>
        <v>0</v>
      </c>
      <c r="Q352" s="211"/>
      <c r="R352" s="19">
        <f t="shared" si="36"/>
        <v>0</v>
      </c>
      <c r="S352" s="211">
        <f t="shared" si="37"/>
        <v>0</v>
      </c>
      <c r="T352" s="20">
        <v>2</v>
      </c>
      <c r="U352" s="20"/>
      <c r="V352" s="216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09">
        <v>300337</v>
      </c>
      <c r="B353" s="206" t="s">
        <v>110</v>
      </c>
      <c r="C353" s="219" t="s">
        <v>135</v>
      </c>
      <c r="D353" s="219"/>
      <c r="E353" s="213" t="s">
        <v>49</v>
      </c>
      <c r="F353" s="212"/>
      <c r="G353" s="211"/>
      <c r="H353" s="211"/>
      <c r="I353" s="211"/>
      <c r="J353" s="211"/>
      <c r="K353" s="211">
        <f t="shared" si="33"/>
        <v>0</v>
      </c>
      <c r="L353" s="211">
        <f t="shared" si="34"/>
        <v>0</v>
      </c>
      <c r="M353" s="211">
        <v>411.4</v>
      </c>
      <c r="N353" s="211">
        <f>+M353*1000/(104.2*4*16*60)*T353</f>
        <v>2.0563419705694179</v>
      </c>
      <c r="O353" s="211"/>
      <c r="P353" s="211">
        <f t="shared" si="35"/>
        <v>0</v>
      </c>
      <c r="Q353" s="211"/>
      <c r="R353" s="19">
        <f t="shared" si="36"/>
        <v>0</v>
      </c>
      <c r="S353" s="211">
        <f t="shared" si="37"/>
        <v>0</v>
      </c>
      <c r="T353" s="20">
        <v>2</v>
      </c>
      <c r="U353" s="20"/>
      <c r="V353" s="216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09">
        <v>300338</v>
      </c>
      <c r="B354" s="206" t="s">
        <v>110</v>
      </c>
      <c r="C354" s="219" t="s">
        <v>135</v>
      </c>
      <c r="D354" s="219"/>
      <c r="E354" s="213" t="s">
        <v>85</v>
      </c>
      <c r="F354" s="212"/>
      <c r="G354" s="211"/>
      <c r="H354" s="211"/>
      <c r="I354" s="211"/>
      <c r="J354" s="211"/>
      <c r="K354" s="211">
        <f t="shared" si="33"/>
        <v>0</v>
      </c>
      <c r="L354" s="211">
        <f t="shared" si="34"/>
        <v>0</v>
      </c>
      <c r="M354" s="211">
        <v>411.4</v>
      </c>
      <c r="N354" s="211">
        <f>+M354*1000/(104.2*4*16*60)*T354</f>
        <v>2.0563419705694179</v>
      </c>
      <c r="O354" s="211"/>
      <c r="P354" s="211">
        <f t="shared" si="35"/>
        <v>0</v>
      </c>
      <c r="Q354" s="211"/>
      <c r="R354" s="19">
        <f t="shared" si="36"/>
        <v>0</v>
      </c>
      <c r="S354" s="211">
        <f t="shared" si="37"/>
        <v>0</v>
      </c>
      <c r="T354" s="20">
        <v>2</v>
      </c>
      <c r="U354" s="20"/>
      <c r="V354" s="216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09">
        <v>300309</v>
      </c>
      <c r="B355" s="206">
        <v>6504</v>
      </c>
      <c r="C355" s="219" t="s">
        <v>137</v>
      </c>
      <c r="D355" s="219"/>
      <c r="E355" s="213" t="s">
        <v>47</v>
      </c>
      <c r="F355" s="212"/>
      <c r="G355" s="211"/>
      <c r="H355" s="211"/>
      <c r="I355" s="211"/>
      <c r="J355" s="211"/>
      <c r="K355" s="211">
        <f t="shared" si="33"/>
        <v>0</v>
      </c>
      <c r="L355" s="211">
        <f t="shared" si="34"/>
        <v>0</v>
      </c>
      <c r="M355" s="211">
        <v>316.88</v>
      </c>
      <c r="N355" s="211">
        <f>+M355*1000/(75.2*4*16*60)*T355</f>
        <v>6.5841090425531918</v>
      </c>
      <c r="O355" s="211"/>
      <c r="P355" s="211">
        <f t="shared" si="35"/>
        <v>0</v>
      </c>
      <c r="Q355" s="211"/>
      <c r="R355" s="19">
        <f t="shared" si="36"/>
        <v>0</v>
      </c>
      <c r="S355" s="211">
        <f t="shared" si="37"/>
        <v>0</v>
      </c>
      <c r="T355" s="20">
        <v>6</v>
      </c>
      <c r="U355" s="20"/>
      <c r="V355" s="216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09">
        <v>300310</v>
      </c>
      <c r="B356" s="206">
        <v>6504</v>
      </c>
      <c r="C356" s="219" t="s">
        <v>137</v>
      </c>
      <c r="D356" s="219"/>
      <c r="E356" s="213" t="s">
        <v>138</v>
      </c>
      <c r="F356" s="212"/>
      <c r="G356" s="211"/>
      <c r="H356" s="211"/>
      <c r="I356" s="211"/>
      <c r="J356" s="211"/>
      <c r="K356" s="211">
        <f t="shared" si="33"/>
        <v>0</v>
      </c>
      <c r="L356" s="211">
        <f t="shared" si="34"/>
        <v>0</v>
      </c>
      <c r="M356" s="211">
        <v>316.88</v>
      </c>
      <c r="N356" s="211">
        <f>+M356*1000/(75.2*4*16*60)*T356</f>
        <v>6.5841090425531918</v>
      </c>
      <c r="O356" s="211"/>
      <c r="P356" s="211">
        <f t="shared" si="35"/>
        <v>0</v>
      </c>
      <c r="Q356" s="211"/>
      <c r="R356" s="19">
        <f t="shared" si="36"/>
        <v>0</v>
      </c>
      <c r="S356" s="211">
        <f t="shared" si="37"/>
        <v>0</v>
      </c>
      <c r="T356" s="20">
        <v>6</v>
      </c>
      <c r="U356" s="20"/>
      <c r="V356" s="216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09">
        <v>300312</v>
      </c>
      <c r="B357" s="206">
        <v>6504</v>
      </c>
      <c r="C357" s="219" t="s">
        <v>137</v>
      </c>
      <c r="D357" s="219"/>
      <c r="E357" s="213" t="s">
        <v>139</v>
      </c>
      <c r="F357" s="212"/>
      <c r="G357" s="211"/>
      <c r="H357" s="211"/>
      <c r="I357" s="211"/>
      <c r="J357" s="211"/>
      <c r="K357" s="211">
        <f t="shared" si="33"/>
        <v>0</v>
      </c>
      <c r="L357" s="211">
        <f t="shared" si="34"/>
        <v>0</v>
      </c>
      <c r="M357" s="211">
        <v>316.88</v>
      </c>
      <c r="N357" s="211">
        <f>+M357*1000/(75.2*4*16*60)*T357</f>
        <v>6.5841090425531918</v>
      </c>
      <c r="O357" s="211"/>
      <c r="P357" s="211">
        <f t="shared" si="35"/>
        <v>0</v>
      </c>
      <c r="Q357" s="211"/>
      <c r="R357" s="19">
        <f t="shared" si="36"/>
        <v>0</v>
      </c>
      <c r="S357" s="211">
        <f t="shared" si="37"/>
        <v>0</v>
      </c>
      <c r="T357" s="20">
        <v>6</v>
      </c>
      <c r="U357" s="20"/>
      <c r="V357" s="216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09">
        <v>300311</v>
      </c>
      <c r="B358" s="206">
        <v>6504</v>
      </c>
      <c r="C358" s="219" t="s">
        <v>137</v>
      </c>
      <c r="D358" s="219"/>
      <c r="E358" s="213" t="s">
        <v>74</v>
      </c>
      <c r="F358" s="212"/>
      <c r="G358" s="211"/>
      <c r="H358" s="211"/>
      <c r="I358" s="211"/>
      <c r="J358" s="211"/>
      <c r="K358" s="211">
        <f t="shared" si="33"/>
        <v>0</v>
      </c>
      <c r="L358" s="211">
        <f t="shared" si="34"/>
        <v>0</v>
      </c>
      <c r="M358" s="211">
        <v>316.88</v>
      </c>
      <c r="N358" s="211">
        <f>+M358*1000/(75.2*4*16*60)*T358</f>
        <v>6.5841090425531918</v>
      </c>
      <c r="O358" s="211"/>
      <c r="P358" s="211">
        <f t="shared" si="35"/>
        <v>0</v>
      </c>
      <c r="Q358" s="211"/>
      <c r="R358" s="19">
        <f t="shared" si="36"/>
        <v>0</v>
      </c>
      <c r="S358" s="211">
        <f t="shared" si="37"/>
        <v>0</v>
      </c>
      <c r="T358" s="20">
        <v>6</v>
      </c>
      <c r="U358" s="20"/>
      <c r="V358" s="216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09">
        <v>300399</v>
      </c>
      <c r="B359" s="206">
        <v>18501</v>
      </c>
      <c r="C359" s="230" t="s">
        <v>140</v>
      </c>
      <c r="D359" s="231"/>
      <c r="E359" s="213" t="s">
        <v>41</v>
      </c>
      <c r="F359" s="212"/>
      <c r="G359" s="211"/>
      <c r="H359" s="211"/>
      <c r="I359" s="211"/>
      <c r="J359" s="211"/>
      <c r="K359" s="211">
        <f t="shared" si="33"/>
        <v>0</v>
      </c>
      <c r="L359" s="211">
        <f t="shared" si="34"/>
        <v>0</v>
      </c>
      <c r="M359" s="211">
        <v>311.2</v>
      </c>
      <c r="N359" s="211">
        <f>+M359*1000/(100*4*16*60)*T359</f>
        <v>4.8624999999999998</v>
      </c>
      <c r="O359" s="211"/>
      <c r="P359" s="211">
        <f t="shared" si="35"/>
        <v>0</v>
      </c>
      <c r="Q359" s="211"/>
      <c r="R359" s="19">
        <f t="shared" si="36"/>
        <v>0</v>
      </c>
      <c r="S359" s="211">
        <f t="shared" si="37"/>
        <v>0</v>
      </c>
      <c r="T359" s="20">
        <v>6</v>
      </c>
      <c r="U359" s="20"/>
      <c r="V359" s="216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09">
        <v>300400</v>
      </c>
      <c r="B360" s="206">
        <v>18501</v>
      </c>
      <c r="C360" s="230" t="s">
        <v>140</v>
      </c>
      <c r="D360" s="231"/>
      <c r="E360" s="213" t="s">
        <v>66</v>
      </c>
      <c r="F360" s="212"/>
      <c r="G360" s="211"/>
      <c r="H360" s="211"/>
      <c r="I360" s="211"/>
      <c r="J360" s="211"/>
      <c r="K360" s="211">
        <f t="shared" si="33"/>
        <v>0</v>
      </c>
      <c r="L360" s="211">
        <f t="shared" si="34"/>
        <v>0</v>
      </c>
      <c r="M360" s="211">
        <v>311.2</v>
      </c>
      <c r="N360" s="211">
        <f>+M360*1000/(100*4*16*60)*T360</f>
        <v>4.8624999999999998</v>
      </c>
      <c r="O360" s="211"/>
      <c r="P360" s="211">
        <f t="shared" si="35"/>
        <v>0</v>
      </c>
      <c r="Q360" s="211"/>
      <c r="R360" s="19">
        <f t="shared" si="36"/>
        <v>0</v>
      </c>
      <c r="S360" s="211">
        <f t="shared" si="37"/>
        <v>0</v>
      </c>
      <c r="T360" s="20">
        <v>6</v>
      </c>
      <c r="U360" s="20"/>
      <c r="V360" s="216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09">
        <v>300401</v>
      </c>
      <c r="B361" s="206">
        <v>18501</v>
      </c>
      <c r="C361" s="230" t="s">
        <v>140</v>
      </c>
      <c r="D361" s="231"/>
      <c r="E361" s="213" t="s">
        <v>141</v>
      </c>
      <c r="F361" s="212"/>
      <c r="G361" s="211"/>
      <c r="H361" s="211"/>
      <c r="I361" s="211"/>
      <c r="J361" s="211"/>
      <c r="K361" s="211">
        <f t="shared" si="33"/>
        <v>0</v>
      </c>
      <c r="L361" s="211">
        <f t="shared" si="34"/>
        <v>0</v>
      </c>
      <c r="M361" s="211">
        <v>311.2</v>
      </c>
      <c r="N361" s="211">
        <f>+M361*1000/(100*4*16*60)*T361</f>
        <v>4.8624999999999998</v>
      </c>
      <c r="O361" s="211"/>
      <c r="P361" s="211">
        <f t="shared" si="35"/>
        <v>0</v>
      </c>
      <c r="Q361" s="211"/>
      <c r="R361" s="19">
        <f t="shared" si="36"/>
        <v>0</v>
      </c>
      <c r="S361" s="211">
        <f t="shared" si="37"/>
        <v>0</v>
      </c>
      <c r="T361" s="20">
        <v>6</v>
      </c>
      <c r="U361" s="20"/>
      <c r="V361" s="216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09">
        <v>300402</v>
      </c>
      <c r="B362" s="206">
        <v>18501</v>
      </c>
      <c r="C362" s="230" t="s">
        <v>142</v>
      </c>
      <c r="D362" s="231"/>
      <c r="E362" s="213" t="s">
        <v>143</v>
      </c>
      <c r="F362" s="212"/>
      <c r="G362" s="211"/>
      <c r="H362" s="211"/>
      <c r="I362" s="211"/>
      <c r="J362" s="211"/>
      <c r="K362" s="211">
        <f t="shared" si="33"/>
        <v>0</v>
      </c>
      <c r="L362" s="211">
        <f t="shared" si="34"/>
        <v>0</v>
      </c>
      <c r="M362" s="211">
        <v>465.3</v>
      </c>
      <c r="N362" s="211">
        <f>+M362*1000/(137*4*16*60)*T362</f>
        <v>5.3067974452554747</v>
      </c>
      <c r="O362" s="211"/>
      <c r="P362" s="211">
        <f t="shared" si="35"/>
        <v>0</v>
      </c>
      <c r="Q362" s="211"/>
      <c r="R362" s="19">
        <f t="shared" si="36"/>
        <v>0</v>
      </c>
      <c r="S362" s="211">
        <f t="shared" si="37"/>
        <v>0</v>
      </c>
      <c r="T362" s="20">
        <v>6</v>
      </c>
      <c r="U362" s="20"/>
      <c r="V362" s="216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09">
        <v>300403</v>
      </c>
      <c r="B363" s="206">
        <v>18501</v>
      </c>
      <c r="C363" s="230" t="s">
        <v>142</v>
      </c>
      <c r="D363" s="231"/>
      <c r="E363" s="213" t="s">
        <v>144</v>
      </c>
      <c r="F363" s="212"/>
      <c r="G363" s="211"/>
      <c r="H363" s="211"/>
      <c r="I363" s="211"/>
      <c r="J363" s="211"/>
      <c r="K363" s="211">
        <f t="shared" ref="K363:K407" si="41">G363*M363</f>
        <v>0</v>
      </c>
      <c r="L363" s="211">
        <f t="shared" ref="L363:L407" si="42">I363*M363</f>
        <v>0</v>
      </c>
      <c r="M363" s="211">
        <v>465.3</v>
      </c>
      <c r="N363" s="211">
        <f>+M363*1000/(137*4*16*60)*T363</f>
        <v>5.3067974452554747</v>
      </c>
      <c r="O363" s="211"/>
      <c r="P363" s="211">
        <f t="shared" ref="P363:P407" si="43">N363*I363+O363*U363</f>
        <v>0</v>
      </c>
      <c r="Q363" s="211"/>
      <c r="R363" s="19">
        <f t="shared" ref="R363:R407" si="44">Q363*U363</f>
        <v>0</v>
      </c>
      <c r="S363" s="211">
        <f t="shared" ref="S363:S407" si="45">R363-P363</f>
        <v>0</v>
      </c>
      <c r="T363" s="20">
        <v>6</v>
      </c>
      <c r="U363" s="20"/>
      <c r="V363" s="216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09">
        <v>300404</v>
      </c>
      <c r="B364" s="206">
        <v>18501</v>
      </c>
      <c r="C364" s="230" t="s">
        <v>142</v>
      </c>
      <c r="D364" s="231"/>
      <c r="E364" s="213" t="s">
        <v>70</v>
      </c>
      <c r="F364" s="212"/>
      <c r="G364" s="211"/>
      <c r="H364" s="211"/>
      <c r="I364" s="211"/>
      <c r="J364" s="211"/>
      <c r="K364" s="211">
        <f t="shared" si="41"/>
        <v>0</v>
      </c>
      <c r="L364" s="211">
        <f t="shared" si="42"/>
        <v>0</v>
      </c>
      <c r="M364" s="211">
        <v>465.3</v>
      </c>
      <c r="N364" s="211">
        <f>+M364*1000/(137*4*16*60)*T364</f>
        <v>5.3067974452554747</v>
      </c>
      <c r="O364" s="211"/>
      <c r="P364" s="211">
        <f t="shared" si="43"/>
        <v>0</v>
      </c>
      <c r="Q364" s="211"/>
      <c r="R364" s="19">
        <f t="shared" si="44"/>
        <v>0</v>
      </c>
      <c r="S364" s="211">
        <f t="shared" si="45"/>
        <v>0</v>
      </c>
      <c r="T364" s="20">
        <v>6</v>
      </c>
      <c r="U364" s="20"/>
      <c r="V364" s="216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09">
        <v>300405</v>
      </c>
      <c r="B365" s="206">
        <v>18501</v>
      </c>
      <c r="C365" s="230" t="s">
        <v>142</v>
      </c>
      <c r="D365" s="231"/>
      <c r="E365" s="213" t="s">
        <v>35</v>
      </c>
      <c r="F365" s="212"/>
      <c r="G365" s="211"/>
      <c r="H365" s="211"/>
      <c r="I365" s="211"/>
      <c r="J365" s="211"/>
      <c r="K365" s="211">
        <f t="shared" si="41"/>
        <v>0</v>
      </c>
      <c r="L365" s="211">
        <f t="shared" si="42"/>
        <v>0</v>
      </c>
      <c r="M365" s="211">
        <v>465.3</v>
      </c>
      <c r="N365" s="211">
        <f>+M365*1000/(137*4*16*60)*T365</f>
        <v>5.3067974452554747</v>
      </c>
      <c r="O365" s="211"/>
      <c r="P365" s="211">
        <f t="shared" si="43"/>
        <v>0</v>
      </c>
      <c r="Q365" s="211"/>
      <c r="R365" s="19">
        <f t="shared" si="44"/>
        <v>0</v>
      </c>
      <c r="S365" s="211">
        <f t="shared" si="45"/>
        <v>0</v>
      </c>
      <c r="T365" s="20">
        <v>6</v>
      </c>
      <c r="U365" s="20"/>
      <c r="V365" s="216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09">
        <v>300372</v>
      </c>
      <c r="B366" s="206">
        <v>18501</v>
      </c>
      <c r="C366" s="230" t="s">
        <v>145</v>
      </c>
      <c r="D366" s="231"/>
      <c r="E366" s="213" t="s">
        <v>47</v>
      </c>
      <c r="F366" s="212"/>
      <c r="G366" s="211"/>
      <c r="H366" s="211"/>
      <c r="I366" s="211"/>
      <c r="J366" s="211"/>
      <c r="K366" s="211">
        <f t="shared" si="41"/>
        <v>0</v>
      </c>
      <c r="L366" s="211">
        <f t="shared" si="42"/>
        <v>0</v>
      </c>
      <c r="M366" s="211">
        <v>420.58</v>
      </c>
      <c r="N366" s="211">
        <f>+M366*1000/(140*4*16*60)*T366</f>
        <v>4.6939732142857142</v>
      </c>
      <c r="O366" s="211"/>
      <c r="P366" s="211">
        <f t="shared" si="43"/>
        <v>0</v>
      </c>
      <c r="Q366" s="211"/>
      <c r="R366" s="19">
        <f t="shared" si="44"/>
        <v>0</v>
      </c>
      <c r="S366" s="211">
        <f t="shared" si="45"/>
        <v>0</v>
      </c>
      <c r="T366" s="20">
        <v>6</v>
      </c>
      <c r="U366" s="20"/>
      <c r="V366" s="216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09">
        <v>300373</v>
      </c>
      <c r="B367" s="206">
        <v>18501</v>
      </c>
      <c r="C367" s="230" t="s">
        <v>145</v>
      </c>
      <c r="D367" s="231"/>
      <c r="E367" s="213" t="s">
        <v>138</v>
      </c>
      <c r="F367" s="212"/>
      <c r="G367" s="211"/>
      <c r="H367" s="211"/>
      <c r="I367" s="211"/>
      <c r="J367" s="211"/>
      <c r="K367" s="211">
        <f t="shared" si="41"/>
        <v>0</v>
      </c>
      <c r="L367" s="211">
        <f t="shared" si="42"/>
        <v>0</v>
      </c>
      <c r="M367" s="211">
        <v>420.58</v>
      </c>
      <c r="N367" s="211">
        <f>+M367*1000/(140*4*16*60)*T367</f>
        <v>4.6939732142857142</v>
      </c>
      <c r="O367" s="211"/>
      <c r="P367" s="211">
        <f t="shared" si="43"/>
        <v>0</v>
      </c>
      <c r="Q367" s="211"/>
      <c r="R367" s="19">
        <f t="shared" si="44"/>
        <v>0</v>
      </c>
      <c r="S367" s="211">
        <f t="shared" si="45"/>
        <v>0</v>
      </c>
      <c r="T367" s="20">
        <v>6</v>
      </c>
      <c r="U367" s="20"/>
      <c r="V367" s="216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09">
        <v>300374</v>
      </c>
      <c r="B368" s="206">
        <v>18501</v>
      </c>
      <c r="C368" s="230" t="s">
        <v>145</v>
      </c>
      <c r="D368" s="231"/>
      <c r="E368" s="213" t="s">
        <v>139</v>
      </c>
      <c r="F368" s="212"/>
      <c r="G368" s="211"/>
      <c r="H368" s="211"/>
      <c r="I368" s="211"/>
      <c r="J368" s="211"/>
      <c r="K368" s="211">
        <f t="shared" si="41"/>
        <v>0</v>
      </c>
      <c r="L368" s="211">
        <f t="shared" si="42"/>
        <v>0</v>
      </c>
      <c r="M368" s="211">
        <v>420.58</v>
      </c>
      <c r="N368" s="211">
        <f>+M368*1000/(140*4*16*60)*T368</f>
        <v>4.6939732142857142</v>
      </c>
      <c r="O368" s="211"/>
      <c r="P368" s="211">
        <f t="shared" si="43"/>
        <v>0</v>
      </c>
      <c r="Q368" s="211"/>
      <c r="R368" s="19">
        <f t="shared" si="44"/>
        <v>0</v>
      </c>
      <c r="S368" s="211">
        <f t="shared" si="45"/>
        <v>0</v>
      </c>
      <c r="T368" s="20">
        <v>6</v>
      </c>
      <c r="U368" s="20"/>
      <c r="V368" s="216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09">
        <v>300375</v>
      </c>
      <c r="B369" s="206">
        <v>18501</v>
      </c>
      <c r="C369" s="230" t="s">
        <v>145</v>
      </c>
      <c r="D369" s="231"/>
      <c r="E369" s="213" t="s">
        <v>74</v>
      </c>
      <c r="F369" s="212"/>
      <c r="G369" s="211"/>
      <c r="H369" s="211"/>
      <c r="I369" s="211"/>
      <c r="J369" s="211"/>
      <c r="K369" s="211">
        <f t="shared" si="41"/>
        <v>0</v>
      </c>
      <c r="L369" s="211">
        <f t="shared" si="42"/>
        <v>0</v>
      </c>
      <c r="M369" s="211">
        <v>420.58</v>
      </c>
      <c r="N369" s="211">
        <f>+M369*1000/(140*4*16*60)*T369</f>
        <v>4.6939732142857142</v>
      </c>
      <c r="O369" s="211"/>
      <c r="P369" s="211">
        <f t="shared" si="43"/>
        <v>0</v>
      </c>
      <c r="Q369" s="211"/>
      <c r="R369" s="19">
        <f t="shared" si="44"/>
        <v>0</v>
      </c>
      <c r="S369" s="211">
        <f t="shared" si="45"/>
        <v>0</v>
      </c>
      <c r="T369" s="20">
        <v>6</v>
      </c>
      <c r="U369" s="20"/>
      <c r="V369" s="216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09">
        <v>300341</v>
      </c>
      <c r="B370" s="206">
        <v>18501</v>
      </c>
      <c r="C370" s="237" t="s">
        <v>146</v>
      </c>
      <c r="D370" s="238"/>
      <c r="E370" s="213" t="s">
        <v>39</v>
      </c>
      <c r="F370" s="212"/>
      <c r="G370" s="211"/>
      <c r="H370" s="211"/>
      <c r="I370" s="211"/>
      <c r="J370" s="211"/>
      <c r="K370" s="211">
        <f t="shared" si="41"/>
        <v>0</v>
      </c>
      <c r="L370" s="211">
        <f t="shared" si="42"/>
        <v>0</v>
      </c>
      <c r="M370" s="211">
        <v>439.3</v>
      </c>
      <c r="N370" s="211">
        <f>+M370*1000/(169.7*4*13*60)*T370</f>
        <v>4.1485351223123761</v>
      </c>
      <c r="O370" s="211"/>
      <c r="P370" s="211">
        <f t="shared" si="43"/>
        <v>0</v>
      </c>
      <c r="Q370" s="211"/>
      <c r="R370" s="19">
        <f t="shared" si="44"/>
        <v>0</v>
      </c>
      <c r="S370" s="211">
        <f t="shared" si="45"/>
        <v>0</v>
      </c>
      <c r="T370" s="20">
        <v>5</v>
      </c>
      <c r="U370" s="20"/>
      <c r="V370" s="216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09">
        <v>300342</v>
      </c>
      <c r="B371" s="206">
        <v>18501</v>
      </c>
      <c r="C371" s="237" t="s">
        <v>146</v>
      </c>
      <c r="D371" s="238"/>
      <c r="E371" s="213" t="s">
        <v>80</v>
      </c>
      <c r="F371" s="212"/>
      <c r="G371" s="211"/>
      <c r="H371" s="211"/>
      <c r="I371" s="211"/>
      <c r="J371" s="211"/>
      <c r="K371" s="211">
        <f t="shared" si="41"/>
        <v>0</v>
      </c>
      <c r="L371" s="211">
        <f t="shared" si="42"/>
        <v>0</v>
      </c>
      <c r="M371" s="211">
        <v>439.3</v>
      </c>
      <c r="N371" s="211">
        <f t="shared" ref="N371:N376" si="46">+M371*1000/(169.7*4*13*60)*T371</f>
        <v>4.1485351223123761</v>
      </c>
      <c r="O371" s="211"/>
      <c r="P371" s="211">
        <f t="shared" si="43"/>
        <v>0</v>
      </c>
      <c r="Q371" s="211"/>
      <c r="R371" s="19">
        <f t="shared" si="44"/>
        <v>0</v>
      </c>
      <c r="S371" s="211">
        <f t="shared" si="45"/>
        <v>0</v>
      </c>
      <c r="T371" s="20">
        <v>5</v>
      </c>
      <c r="U371" s="20"/>
      <c r="V371" s="216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09">
        <v>300343</v>
      </c>
      <c r="B372" s="206">
        <v>18501</v>
      </c>
      <c r="C372" s="237" t="s">
        <v>146</v>
      </c>
      <c r="D372" s="238"/>
      <c r="E372" s="213" t="s">
        <v>35</v>
      </c>
      <c r="F372" s="212"/>
      <c r="G372" s="211"/>
      <c r="H372" s="211"/>
      <c r="I372" s="211"/>
      <c r="J372" s="211"/>
      <c r="K372" s="211">
        <f t="shared" si="41"/>
        <v>0</v>
      </c>
      <c r="L372" s="211">
        <f t="shared" si="42"/>
        <v>0</v>
      </c>
      <c r="M372" s="211">
        <v>455.4</v>
      </c>
      <c r="N372" s="211">
        <f t="shared" si="46"/>
        <v>4.3005756765332483</v>
      </c>
      <c r="O372" s="211"/>
      <c r="P372" s="211">
        <f t="shared" si="43"/>
        <v>0</v>
      </c>
      <c r="Q372" s="211"/>
      <c r="R372" s="19">
        <f t="shared" si="44"/>
        <v>0</v>
      </c>
      <c r="S372" s="211">
        <f t="shared" si="45"/>
        <v>0</v>
      </c>
      <c r="T372" s="20">
        <v>5</v>
      </c>
      <c r="U372" s="20"/>
      <c r="V372" s="216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09">
        <v>300344</v>
      </c>
      <c r="B373" s="206">
        <v>18501</v>
      </c>
      <c r="C373" s="237" t="s">
        <v>146</v>
      </c>
      <c r="D373" s="238"/>
      <c r="E373" s="213" t="s">
        <v>40</v>
      </c>
      <c r="F373" s="212"/>
      <c r="G373" s="211"/>
      <c r="H373" s="211"/>
      <c r="I373" s="211"/>
      <c r="J373" s="211"/>
      <c r="K373" s="211">
        <f t="shared" si="41"/>
        <v>0</v>
      </c>
      <c r="L373" s="211">
        <f t="shared" si="42"/>
        <v>0</v>
      </c>
      <c r="M373" s="211">
        <v>455.4</v>
      </c>
      <c r="N373" s="211">
        <f t="shared" si="46"/>
        <v>4.3005756765332483</v>
      </c>
      <c r="O373" s="211"/>
      <c r="P373" s="211">
        <f t="shared" si="43"/>
        <v>0</v>
      </c>
      <c r="Q373" s="211"/>
      <c r="R373" s="19">
        <f t="shared" si="44"/>
        <v>0</v>
      </c>
      <c r="S373" s="211">
        <f t="shared" si="45"/>
        <v>0</v>
      </c>
      <c r="T373" s="20">
        <v>5</v>
      </c>
      <c r="U373" s="20"/>
      <c r="V373" s="216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09">
        <v>300396</v>
      </c>
      <c r="B374" s="206">
        <v>18501</v>
      </c>
      <c r="C374" s="237" t="s">
        <v>147</v>
      </c>
      <c r="D374" s="238"/>
      <c r="E374" s="213" t="s">
        <v>41</v>
      </c>
      <c r="F374" s="212"/>
      <c r="G374" s="211"/>
      <c r="H374" s="211"/>
      <c r="I374" s="211"/>
      <c r="J374" s="211"/>
      <c r="K374" s="211">
        <f t="shared" si="41"/>
        <v>0</v>
      </c>
      <c r="L374" s="211">
        <f t="shared" si="42"/>
        <v>0</v>
      </c>
      <c r="M374" s="211">
        <v>417.1</v>
      </c>
      <c r="N374" s="211">
        <f t="shared" si="46"/>
        <v>3.9388891407158937</v>
      </c>
      <c r="O374" s="211"/>
      <c r="P374" s="211">
        <f t="shared" si="43"/>
        <v>0</v>
      </c>
      <c r="Q374" s="211"/>
      <c r="R374" s="19">
        <f t="shared" si="44"/>
        <v>0</v>
      </c>
      <c r="S374" s="211">
        <f t="shared" si="45"/>
        <v>0</v>
      </c>
      <c r="T374" s="20">
        <v>5</v>
      </c>
      <c r="U374" s="20"/>
      <c r="V374" s="216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09">
        <v>300397</v>
      </c>
      <c r="B375" s="206">
        <v>18501</v>
      </c>
      <c r="C375" s="237" t="s">
        <v>147</v>
      </c>
      <c r="D375" s="238"/>
      <c r="E375" s="213" t="s">
        <v>66</v>
      </c>
      <c r="F375" s="212"/>
      <c r="G375" s="211"/>
      <c r="H375" s="211"/>
      <c r="I375" s="211"/>
      <c r="J375" s="211"/>
      <c r="K375" s="211">
        <f t="shared" si="41"/>
        <v>0</v>
      </c>
      <c r="L375" s="211">
        <f t="shared" si="42"/>
        <v>0</v>
      </c>
      <c r="M375" s="211">
        <v>417.1</v>
      </c>
      <c r="N375" s="211">
        <f t="shared" si="46"/>
        <v>3.9388891407158937</v>
      </c>
      <c r="O375" s="211"/>
      <c r="P375" s="211">
        <f t="shared" si="43"/>
        <v>0</v>
      </c>
      <c r="Q375" s="211"/>
      <c r="R375" s="19">
        <f t="shared" si="44"/>
        <v>0</v>
      </c>
      <c r="S375" s="211">
        <f t="shared" si="45"/>
        <v>0</v>
      </c>
      <c r="T375" s="20">
        <v>5</v>
      </c>
      <c r="U375" s="20"/>
      <c r="V375" s="216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09">
        <v>300398</v>
      </c>
      <c r="B376" s="206">
        <v>18501</v>
      </c>
      <c r="C376" s="237" t="s">
        <v>147</v>
      </c>
      <c r="D376" s="238"/>
      <c r="E376" s="213" t="s">
        <v>141</v>
      </c>
      <c r="F376" s="212"/>
      <c r="G376" s="211"/>
      <c r="H376" s="211"/>
      <c r="I376" s="211"/>
      <c r="J376" s="211"/>
      <c r="K376" s="211">
        <f t="shared" si="41"/>
        <v>0</v>
      </c>
      <c r="L376" s="211">
        <f t="shared" si="42"/>
        <v>0</v>
      </c>
      <c r="M376" s="211">
        <v>417.1</v>
      </c>
      <c r="N376" s="211">
        <f t="shared" si="46"/>
        <v>3.9388891407158937</v>
      </c>
      <c r="O376" s="211"/>
      <c r="P376" s="211">
        <f t="shared" si="43"/>
        <v>0</v>
      </c>
      <c r="Q376" s="211"/>
      <c r="R376" s="19">
        <f t="shared" si="44"/>
        <v>0</v>
      </c>
      <c r="S376" s="211">
        <f t="shared" si="45"/>
        <v>0</v>
      </c>
      <c r="T376" s="20">
        <v>5</v>
      </c>
      <c r="U376" s="20"/>
      <c r="V376" s="216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09">
        <v>300271</v>
      </c>
      <c r="B377" s="206">
        <v>18501</v>
      </c>
      <c r="C377" s="219" t="s">
        <v>148</v>
      </c>
      <c r="D377" s="219"/>
      <c r="E377" s="213" t="s">
        <v>134</v>
      </c>
      <c r="F377" s="212"/>
      <c r="G377" s="211"/>
      <c r="H377" s="211"/>
      <c r="I377" s="211"/>
      <c r="J377" s="211"/>
      <c r="K377" s="211">
        <f t="shared" si="41"/>
        <v>0</v>
      </c>
      <c r="L377" s="211">
        <f t="shared" si="42"/>
        <v>0</v>
      </c>
      <c r="M377" s="211">
        <v>580.1</v>
      </c>
      <c r="N377" s="211">
        <f>+M377*1000/(188*4*13*60)*T377</f>
        <v>4.9449331696672125</v>
      </c>
      <c r="O377" s="211"/>
      <c r="P377" s="211">
        <f t="shared" si="43"/>
        <v>0</v>
      </c>
      <c r="Q377" s="211"/>
      <c r="R377" s="19">
        <f t="shared" si="44"/>
        <v>0</v>
      </c>
      <c r="S377" s="211">
        <f t="shared" si="45"/>
        <v>0</v>
      </c>
      <c r="T377" s="20">
        <v>5</v>
      </c>
      <c r="U377" s="20"/>
      <c r="V377" s="216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209">
        <v>300009</v>
      </c>
      <c r="B378" s="206">
        <v>18501</v>
      </c>
      <c r="C378" s="219" t="s">
        <v>149</v>
      </c>
      <c r="D378" s="219" t="s">
        <v>150</v>
      </c>
      <c r="E378" s="213" t="s">
        <v>127</v>
      </c>
      <c r="F378" s="212"/>
      <c r="G378" s="211"/>
      <c r="H378" s="211"/>
      <c r="I378" s="211"/>
      <c r="J378" s="211"/>
      <c r="K378" s="211">
        <f t="shared" si="41"/>
        <v>0</v>
      </c>
      <c r="L378" s="211">
        <f t="shared" si="42"/>
        <v>0</v>
      </c>
      <c r="M378" s="211">
        <v>520.79999999999995</v>
      </c>
      <c r="N378" s="211">
        <f>+M378*1000/(188*4*13*60)*T378</f>
        <v>4.4394435351882153</v>
      </c>
      <c r="O378" s="211"/>
      <c r="P378" s="211">
        <f t="shared" si="43"/>
        <v>0</v>
      </c>
      <c r="Q378" s="211"/>
      <c r="R378" s="19">
        <f t="shared" si="44"/>
        <v>0</v>
      </c>
      <c r="S378" s="211">
        <f t="shared" si="45"/>
        <v>0</v>
      </c>
      <c r="T378" s="20">
        <v>5</v>
      </c>
      <c r="U378" s="20"/>
      <c r="V378" s="216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209">
        <v>300010</v>
      </c>
      <c r="B379" s="206">
        <v>18501</v>
      </c>
      <c r="C379" s="219" t="s">
        <v>149</v>
      </c>
      <c r="D379" s="219" t="s">
        <v>150</v>
      </c>
      <c r="E379" s="213" t="s">
        <v>80</v>
      </c>
      <c r="F379" s="212"/>
      <c r="G379" s="211"/>
      <c r="H379" s="211"/>
      <c r="I379" s="211"/>
      <c r="J379" s="211"/>
      <c r="K379" s="211">
        <f t="shared" si="41"/>
        <v>0</v>
      </c>
      <c r="L379" s="211">
        <f t="shared" si="42"/>
        <v>0</v>
      </c>
      <c r="M379" s="211">
        <v>530.9</v>
      </c>
      <c r="N379" s="211">
        <f>+M379*1000/(188*4*13*60)*T379</f>
        <v>4.5255387343153304</v>
      </c>
      <c r="O379" s="211"/>
      <c r="P379" s="211">
        <f t="shared" si="43"/>
        <v>0</v>
      </c>
      <c r="Q379" s="211"/>
      <c r="R379" s="19">
        <f t="shared" si="44"/>
        <v>0</v>
      </c>
      <c r="S379" s="211">
        <f t="shared" si="45"/>
        <v>0</v>
      </c>
      <c r="T379" s="20">
        <v>5</v>
      </c>
      <c r="U379" s="20"/>
      <c r="V379" s="216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09">
        <v>300305</v>
      </c>
      <c r="B380" s="206">
        <v>18501</v>
      </c>
      <c r="C380" s="219" t="s">
        <v>151</v>
      </c>
      <c r="D380" s="219" t="s">
        <v>152</v>
      </c>
      <c r="E380" s="213" t="s">
        <v>57</v>
      </c>
      <c r="F380" s="212"/>
      <c r="G380" s="211"/>
      <c r="H380" s="211"/>
      <c r="I380" s="211"/>
      <c r="J380" s="211"/>
      <c r="K380" s="211">
        <f t="shared" si="41"/>
        <v>0</v>
      </c>
      <c r="L380" s="211">
        <f t="shared" si="42"/>
        <v>0</v>
      </c>
      <c r="M380" s="211">
        <v>530.20000000000005</v>
      </c>
      <c r="N380" s="211">
        <f t="shared" ref="N380:N385" si="47">+M380*1000/(202*4*13*60)*T380</f>
        <v>4.2063340949479562</v>
      </c>
      <c r="O380" s="211"/>
      <c r="P380" s="211">
        <f t="shared" si="43"/>
        <v>0</v>
      </c>
      <c r="Q380" s="211"/>
      <c r="R380" s="19">
        <f t="shared" si="44"/>
        <v>0</v>
      </c>
      <c r="S380" s="211">
        <f t="shared" si="45"/>
        <v>0</v>
      </c>
      <c r="T380" s="20">
        <v>5</v>
      </c>
      <c r="U380" s="20"/>
      <c r="V380" s="216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09">
        <v>300306</v>
      </c>
      <c r="B381" s="206">
        <v>18501</v>
      </c>
      <c r="C381" s="219" t="s">
        <v>151</v>
      </c>
      <c r="D381" s="219" t="s">
        <v>152</v>
      </c>
      <c r="E381" s="213" t="s">
        <v>109</v>
      </c>
      <c r="F381" s="212"/>
      <c r="G381" s="211"/>
      <c r="H381" s="211"/>
      <c r="I381" s="211"/>
      <c r="J381" s="211"/>
      <c r="K381" s="211">
        <f t="shared" si="41"/>
        <v>0</v>
      </c>
      <c r="L381" s="211">
        <f t="shared" si="42"/>
        <v>0</v>
      </c>
      <c r="M381" s="211">
        <v>538.79999999999995</v>
      </c>
      <c r="N381" s="211">
        <f t="shared" si="47"/>
        <v>4.2745620715917747</v>
      </c>
      <c r="O381" s="211"/>
      <c r="P381" s="211">
        <f t="shared" si="43"/>
        <v>0</v>
      </c>
      <c r="Q381" s="211"/>
      <c r="R381" s="19">
        <f t="shared" si="44"/>
        <v>0</v>
      </c>
      <c r="S381" s="211">
        <f t="shared" si="45"/>
        <v>0</v>
      </c>
      <c r="T381" s="20">
        <v>5</v>
      </c>
      <c r="U381" s="20"/>
      <c r="V381" s="216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09">
        <v>300307</v>
      </c>
      <c r="B382" s="206">
        <v>18501</v>
      </c>
      <c r="C382" s="219" t="s">
        <v>151</v>
      </c>
      <c r="D382" s="219" t="s">
        <v>152</v>
      </c>
      <c r="E382" s="213" t="s">
        <v>125</v>
      </c>
      <c r="F382" s="212"/>
      <c r="G382" s="211"/>
      <c r="H382" s="211"/>
      <c r="I382" s="211"/>
      <c r="J382" s="211"/>
      <c r="K382" s="211">
        <f t="shared" si="41"/>
        <v>0</v>
      </c>
      <c r="L382" s="211">
        <f t="shared" si="42"/>
        <v>0</v>
      </c>
      <c r="M382" s="211">
        <v>569</v>
      </c>
      <c r="N382" s="211">
        <f t="shared" si="47"/>
        <v>4.5141533384107637</v>
      </c>
      <c r="O382" s="211"/>
      <c r="P382" s="211">
        <f t="shared" si="43"/>
        <v>0</v>
      </c>
      <c r="Q382" s="211"/>
      <c r="R382" s="19">
        <f t="shared" si="44"/>
        <v>0</v>
      </c>
      <c r="S382" s="211">
        <f t="shared" si="45"/>
        <v>0</v>
      </c>
      <c r="T382" s="20">
        <v>5</v>
      </c>
      <c r="U382" s="20"/>
      <c r="V382" s="216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09">
        <v>300308</v>
      </c>
      <c r="B383" s="206">
        <v>18501</v>
      </c>
      <c r="C383" s="219" t="s">
        <v>151</v>
      </c>
      <c r="D383" s="219" t="s">
        <v>152</v>
      </c>
      <c r="E383" s="213" t="s">
        <v>124</v>
      </c>
      <c r="F383" s="212"/>
      <c r="G383" s="211"/>
      <c r="H383" s="211"/>
      <c r="I383" s="211"/>
      <c r="J383" s="211"/>
      <c r="K383" s="211">
        <f t="shared" si="41"/>
        <v>0</v>
      </c>
      <c r="L383" s="211">
        <f t="shared" si="42"/>
        <v>0</v>
      </c>
      <c r="M383" s="211">
        <v>523.6</v>
      </c>
      <c r="N383" s="211">
        <f t="shared" si="47"/>
        <v>4.1539730896166542</v>
      </c>
      <c r="O383" s="211"/>
      <c r="P383" s="211">
        <f t="shared" si="43"/>
        <v>0</v>
      </c>
      <c r="Q383" s="211"/>
      <c r="R383" s="19">
        <f t="shared" si="44"/>
        <v>0</v>
      </c>
      <c r="S383" s="211">
        <f t="shared" si="45"/>
        <v>0</v>
      </c>
      <c r="T383" s="20">
        <v>5</v>
      </c>
      <c r="U383" s="20"/>
      <c r="V383" s="216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09">
        <v>300182</v>
      </c>
      <c r="B384" s="206">
        <v>18501</v>
      </c>
      <c r="C384" s="219" t="s">
        <v>153</v>
      </c>
      <c r="D384" s="219" t="s">
        <v>152</v>
      </c>
      <c r="E384" s="213" t="s">
        <v>80</v>
      </c>
      <c r="F384" s="212"/>
      <c r="G384" s="211"/>
      <c r="H384" s="211"/>
      <c r="I384" s="211"/>
      <c r="J384" s="211"/>
      <c r="K384" s="211">
        <f t="shared" si="41"/>
        <v>0</v>
      </c>
      <c r="L384" s="211">
        <f t="shared" si="42"/>
        <v>0</v>
      </c>
      <c r="M384" s="211">
        <v>649.1</v>
      </c>
      <c r="N384" s="211">
        <f t="shared" si="47"/>
        <v>5.1496255394770252</v>
      </c>
      <c r="O384" s="211"/>
      <c r="P384" s="211">
        <f t="shared" si="43"/>
        <v>0</v>
      </c>
      <c r="Q384" s="211"/>
      <c r="R384" s="19">
        <f t="shared" si="44"/>
        <v>0</v>
      </c>
      <c r="S384" s="211">
        <f t="shared" si="45"/>
        <v>0</v>
      </c>
      <c r="T384" s="20">
        <v>5</v>
      </c>
      <c r="U384" s="20"/>
      <c r="V384" s="216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09">
        <v>300185</v>
      </c>
      <c r="B385" s="206">
        <v>18501</v>
      </c>
      <c r="C385" s="219" t="s">
        <v>153</v>
      </c>
      <c r="D385" s="219" t="s">
        <v>152</v>
      </c>
      <c r="E385" s="213" t="s">
        <v>127</v>
      </c>
      <c r="F385" s="212"/>
      <c r="G385" s="211"/>
      <c r="H385" s="211"/>
      <c r="I385" s="211"/>
      <c r="J385" s="211"/>
      <c r="K385" s="211">
        <f t="shared" si="41"/>
        <v>0</v>
      </c>
      <c r="L385" s="211">
        <f t="shared" si="42"/>
        <v>0</v>
      </c>
      <c r="M385" s="211">
        <v>638</v>
      </c>
      <c r="N385" s="211">
        <f t="shared" si="47"/>
        <v>6.0738766184310737</v>
      </c>
      <c r="O385" s="211"/>
      <c r="P385" s="211">
        <f t="shared" si="43"/>
        <v>0</v>
      </c>
      <c r="Q385" s="211"/>
      <c r="R385" s="19">
        <f t="shared" si="44"/>
        <v>0</v>
      </c>
      <c r="S385" s="211">
        <f t="shared" si="45"/>
        <v>0</v>
      </c>
      <c r="T385" s="20">
        <v>6</v>
      </c>
      <c r="U385" s="20"/>
      <c r="V385" s="216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09">
        <v>300272</v>
      </c>
      <c r="B386" s="206">
        <v>18502</v>
      </c>
      <c r="C386" s="219" t="s">
        <v>154</v>
      </c>
      <c r="D386" s="219"/>
      <c r="E386" s="213" t="s">
        <v>42</v>
      </c>
      <c r="F386" s="212"/>
      <c r="G386" s="211"/>
      <c r="H386" s="211"/>
      <c r="I386" s="211"/>
      <c r="J386" s="211"/>
      <c r="K386" s="211">
        <f t="shared" si="41"/>
        <v>0</v>
      </c>
      <c r="L386" s="211">
        <f t="shared" si="42"/>
        <v>0</v>
      </c>
      <c r="M386" s="211">
        <v>523.9</v>
      </c>
      <c r="N386" s="211">
        <f>+M386*1000/(128*4*13*60)*T386</f>
        <v>5.247395833333333</v>
      </c>
      <c r="O386" s="211"/>
      <c r="P386" s="211">
        <f t="shared" si="43"/>
        <v>0</v>
      </c>
      <c r="Q386" s="211"/>
      <c r="R386" s="19">
        <f t="shared" si="44"/>
        <v>0</v>
      </c>
      <c r="S386" s="211">
        <f t="shared" si="45"/>
        <v>0</v>
      </c>
      <c r="T386" s="20">
        <v>4</v>
      </c>
      <c r="U386" s="20"/>
      <c r="V386" s="216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09">
        <v>300273</v>
      </c>
      <c r="B387" s="206">
        <v>18502</v>
      </c>
      <c r="C387" s="219" t="s">
        <v>154</v>
      </c>
      <c r="D387" s="219"/>
      <c r="E387" s="213" t="s">
        <v>155</v>
      </c>
      <c r="F387" s="212"/>
      <c r="G387" s="211"/>
      <c r="H387" s="211"/>
      <c r="I387" s="211"/>
      <c r="J387" s="211"/>
      <c r="K387" s="211">
        <f t="shared" si="41"/>
        <v>0</v>
      </c>
      <c r="L387" s="211">
        <f t="shared" si="42"/>
        <v>0</v>
      </c>
      <c r="M387" s="211">
        <v>523.9</v>
      </c>
      <c r="N387" s="211">
        <f>+M387*1000/(128*4*13*60)*T387</f>
        <v>6.5592447916666661</v>
      </c>
      <c r="O387" s="211"/>
      <c r="P387" s="211">
        <f t="shared" si="43"/>
        <v>0</v>
      </c>
      <c r="Q387" s="211"/>
      <c r="R387" s="19">
        <f t="shared" si="44"/>
        <v>0</v>
      </c>
      <c r="S387" s="211">
        <f t="shared" si="45"/>
        <v>0</v>
      </c>
      <c r="T387" s="20">
        <v>5</v>
      </c>
      <c r="U387" s="20"/>
      <c r="V387" s="216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09">
        <v>300274</v>
      </c>
      <c r="B388" s="206">
        <v>18502</v>
      </c>
      <c r="C388" s="219" t="s">
        <v>154</v>
      </c>
      <c r="D388" s="219"/>
      <c r="E388" s="213" t="s">
        <v>138</v>
      </c>
      <c r="F388" s="212"/>
      <c r="G388" s="211"/>
      <c r="H388" s="211"/>
      <c r="I388" s="211"/>
      <c r="J388" s="211"/>
      <c r="K388" s="211">
        <f t="shared" si="41"/>
        <v>0</v>
      </c>
      <c r="L388" s="211">
        <f t="shared" si="42"/>
        <v>0</v>
      </c>
      <c r="M388" s="211">
        <v>523.9</v>
      </c>
      <c r="N388" s="211">
        <f>+M388*1000/(128*4*13*60)*T388</f>
        <v>5.247395833333333</v>
      </c>
      <c r="O388" s="211"/>
      <c r="P388" s="211">
        <f t="shared" si="43"/>
        <v>0</v>
      </c>
      <c r="Q388" s="211"/>
      <c r="R388" s="19">
        <f t="shared" si="44"/>
        <v>0</v>
      </c>
      <c r="S388" s="211">
        <f t="shared" si="45"/>
        <v>0</v>
      </c>
      <c r="T388" s="20">
        <v>4</v>
      </c>
      <c r="U388" s="20"/>
      <c r="V388" s="216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09">
        <v>300275</v>
      </c>
      <c r="B389" s="206">
        <v>18502</v>
      </c>
      <c r="C389" s="219" t="s">
        <v>154</v>
      </c>
      <c r="D389" s="219"/>
      <c r="E389" s="213" t="s">
        <v>156</v>
      </c>
      <c r="F389" s="212"/>
      <c r="G389" s="211"/>
      <c r="H389" s="211"/>
      <c r="I389" s="211"/>
      <c r="J389" s="211"/>
      <c r="K389" s="211">
        <f t="shared" si="41"/>
        <v>0</v>
      </c>
      <c r="L389" s="211">
        <f t="shared" si="42"/>
        <v>0</v>
      </c>
      <c r="M389" s="211">
        <v>523.9</v>
      </c>
      <c r="N389" s="211">
        <f>+M389*1000/(128*4*13*60)*T389</f>
        <v>5.247395833333333</v>
      </c>
      <c r="O389" s="211"/>
      <c r="P389" s="211">
        <f t="shared" si="43"/>
        <v>0</v>
      </c>
      <c r="Q389" s="211"/>
      <c r="R389" s="19">
        <f t="shared" si="44"/>
        <v>0</v>
      </c>
      <c r="S389" s="211">
        <f t="shared" si="45"/>
        <v>0</v>
      </c>
      <c r="T389" s="20">
        <v>4</v>
      </c>
      <c r="U389" s="20"/>
      <c r="V389" s="216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09">
        <v>300285</v>
      </c>
      <c r="B390" s="206">
        <v>13001</v>
      </c>
      <c r="C390" s="219" t="s">
        <v>157</v>
      </c>
      <c r="D390" s="219"/>
      <c r="E390" s="213" t="s">
        <v>37</v>
      </c>
      <c r="F390" s="212"/>
      <c r="G390" s="211"/>
      <c r="H390" s="211"/>
      <c r="I390" s="211"/>
      <c r="J390" s="211"/>
      <c r="K390" s="211">
        <f t="shared" si="41"/>
        <v>0</v>
      </c>
      <c r="L390" s="211">
        <f t="shared" si="42"/>
        <v>0</v>
      </c>
      <c r="M390" s="211">
        <v>438.7</v>
      </c>
      <c r="N390" s="211">
        <f t="shared" ref="N390:N395" si="48">+M390*1000/(90*4*18*60)*T390</f>
        <v>5.6417181069958842</v>
      </c>
      <c r="O390" s="211"/>
      <c r="P390" s="211">
        <f t="shared" si="43"/>
        <v>0</v>
      </c>
      <c r="Q390" s="211"/>
      <c r="R390" s="19">
        <f t="shared" si="44"/>
        <v>0</v>
      </c>
      <c r="S390" s="211">
        <f t="shared" si="45"/>
        <v>0</v>
      </c>
      <c r="T390" s="20">
        <v>5</v>
      </c>
      <c r="U390" s="20"/>
      <c r="V390" s="216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09">
        <v>300287</v>
      </c>
      <c r="B391" s="206">
        <v>13001</v>
      </c>
      <c r="C391" s="219" t="s">
        <v>157</v>
      </c>
      <c r="D391" s="219"/>
      <c r="E391" s="213" t="s">
        <v>57</v>
      </c>
      <c r="F391" s="212"/>
      <c r="G391" s="211"/>
      <c r="H391" s="211"/>
      <c r="I391" s="211"/>
      <c r="J391" s="211"/>
      <c r="K391" s="211">
        <f t="shared" si="41"/>
        <v>0</v>
      </c>
      <c r="L391" s="211">
        <f t="shared" si="42"/>
        <v>0</v>
      </c>
      <c r="M391" s="211">
        <v>438.7</v>
      </c>
      <c r="N391" s="211">
        <f t="shared" si="48"/>
        <v>5.6417181069958842</v>
      </c>
      <c r="O391" s="211"/>
      <c r="P391" s="211">
        <f t="shared" si="43"/>
        <v>0</v>
      </c>
      <c r="Q391" s="211"/>
      <c r="R391" s="19">
        <f t="shared" si="44"/>
        <v>0</v>
      </c>
      <c r="S391" s="211">
        <f t="shared" si="45"/>
        <v>0</v>
      </c>
      <c r="T391" s="20">
        <v>5</v>
      </c>
      <c r="U391" s="20"/>
      <c r="V391" s="216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09">
        <v>300284</v>
      </c>
      <c r="B392" s="206">
        <v>13001</v>
      </c>
      <c r="C392" s="219" t="s">
        <v>157</v>
      </c>
      <c r="D392" s="219"/>
      <c r="E392" s="213" t="s">
        <v>41</v>
      </c>
      <c r="F392" s="212"/>
      <c r="G392" s="211"/>
      <c r="H392" s="211"/>
      <c r="I392" s="211"/>
      <c r="J392" s="211"/>
      <c r="K392" s="211">
        <f t="shared" si="41"/>
        <v>0</v>
      </c>
      <c r="L392" s="211">
        <f t="shared" si="42"/>
        <v>0</v>
      </c>
      <c r="M392" s="211">
        <v>438.7</v>
      </c>
      <c r="N392" s="211">
        <f t="shared" si="48"/>
        <v>5.6417181069958842</v>
      </c>
      <c r="O392" s="211"/>
      <c r="P392" s="211">
        <f t="shared" si="43"/>
        <v>0</v>
      </c>
      <c r="Q392" s="211"/>
      <c r="R392" s="19">
        <f t="shared" si="44"/>
        <v>0</v>
      </c>
      <c r="S392" s="211">
        <f t="shared" si="45"/>
        <v>0</v>
      </c>
      <c r="T392" s="20">
        <v>5</v>
      </c>
      <c r="U392" s="20"/>
      <c r="V392" s="216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09">
        <v>300283</v>
      </c>
      <c r="B393" s="206">
        <v>13001</v>
      </c>
      <c r="C393" s="219" t="s">
        <v>157</v>
      </c>
      <c r="D393" s="219"/>
      <c r="E393" s="213" t="s">
        <v>35</v>
      </c>
      <c r="F393" s="212"/>
      <c r="G393" s="211"/>
      <c r="H393" s="211"/>
      <c r="I393" s="211"/>
      <c r="J393" s="211"/>
      <c r="K393" s="207">
        <f t="shared" si="41"/>
        <v>0</v>
      </c>
      <c r="L393" s="207">
        <f t="shared" si="42"/>
        <v>0</v>
      </c>
      <c r="M393" s="211">
        <v>438.7</v>
      </c>
      <c r="N393" s="211">
        <f t="shared" si="48"/>
        <v>5.6417181069958842</v>
      </c>
      <c r="O393" s="207"/>
      <c r="P393" s="211">
        <f t="shared" si="43"/>
        <v>0</v>
      </c>
      <c r="Q393" s="211"/>
      <c r="R393" s="19">
        <f t="shared" si="44"/>
        <v>0</v>
      </c>
      <c r="S393" s="211">
        <f t="shared" si="45"/>
        <v>0</v>
      </c>
      <c r="T393" s="20">
        <v>5</v>
      </c>
      <c r="U393" s="20"/>
      <c r="V393" s="216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09">
        <v>300289</v>
      </c>
      <c r="B394" s="206">
        <v>13001</v>
      </c>
      <c r="C394" s="219" t="s">
        <v>157</v>
      </c>
      <c r="D394" s="219"/>
      <c r="E394" s="213" t="s">
        <v>66</v>
      </c>
      <c r="F394" s="212"/>
      <c r="G394" s="211"/>
      <c r="H394" s="211"/>
      <c r="I394" s="211"/>
      <c r="J394" s="211"/>
      <c r="K394" s="207">
        <f t="shared" si="41"/>
        <v>0</v>
      </c>
      <c r="L394" s="207">
        <f t="shared" si="42"/>
        <v>0</v>
      </c>
      <c r="M394" s="211">
        <v>438.7</v>
      </c>
      <c r="N394" s="211">
        <f t="shared" si="48"/>
        <v>5.6417181069958842</v>
      </c>
      <c r="O394" s="207"/>
      <c r="P394" s="211">
        <f t="shared" si="43"/>
        <v>0</v>
      </c>
      <c r="Q394" s="211"/>
      <c r="R394" s="19">
        <f t="shared" si="44"/>
        <v>0</v>
      </c>
      <c r="S394" s="211">
        <f t="shared" si="45"/>
        <v>0</v>
      </c>
      <c r="T394" s="20">
        <v>5</v>
      </c>
      <c r="U394" s="20"/>
      <c r="V394" s="216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09">
        <v>300288</v>
      </c>
      <c r="B395" s="206">
        <v>13001</v>
      </c>
      <c r="C395" s="219" t="s">
        <v>157</v>
      </c>
      <c r="D395" s="219"/>
      <c r="E395" s="213" t="s">
        <v>158</v>
      </c>
      <c r="F395" s="212"/>
      <c r="G395" s="211"/>
      <c r="H395" s="211"/>
      <c r="I395" s="211"/>
      <c r="J395" s="211"/>
      <c r="K395" s="211">
        <f t="shared" si="41"/>
        <v>0</v>
      </c>
      <c r="L395" s="211">
        <f t="shared" si="42"/>
        <v>0</v>
      </c>
      <c r="M395" s="211">
        <v>438.7</v>
      </c>
      <c r="N395" s="211">
        <f t="shared" si="48"/>
        <v>5.6417181069958842</v>
      </c>
      <c r="O395" s="211"/>
      <c r="P395" s="211">
        <f t="shared" si="43"/>
        <v>0</v>
      </c>
      <c r="Q395" s="211"/>
      <c r="R395" s="19">
        <f t="shared" si="44"/>
        <v>0</v>
      </c>
      <c r="S395" s="211">
        <f t="shared" si="45"/>
        <v>0</v>
      </c>
      <c r="T395" s="20">
        <v>5</v>
      </c>
      <c r="U395" s="20"/>
      <c r="V395" s="216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08">
        <v>300355</v>
      </c>
      <c r="B396" s="206">
        <v>13001</v>
      </c>
      <c r="C396" s="230" t="s">
        <v>160</v>
      </c>
      <c r="D396" s="231"/>
      <c r="E396" s="33" t="s">
        <v>35</v>
      </c>
      <c r="F396" s="212"/>
      <c r="G396" s="211"/>
      <c r="H396" s="211"/>
      <c r="I396" s="211"/>
      <c r="J396" s="211"/>
      <c r="K396" s="207">
        <f t="shared" si="41"/>
        <v>0</v>
      </c>
      <c r="L396" s="211">
        <f t="shared" si="42"/>
        <v>0</v>
      </c>
      <c r="M396" s="211">
        <v>438</v>
      </c>
      <c r="N396" s="211">
        <f>+M396*1000/(110*4*18*60)*T396</f>
        <v>4.6085858585858581</v>
      </c>
      <c r="O396" s="211"/>
      <c r="P396" s="211">
        <f t="shared" si="43"/>
        <v>0</v>
      </c>
      <c r="Q396" s="211"/>
      <c r="R396" s="19">
        <f t="shared" si="44"/>
        <v>0</v>
      </c>
      <c r="S396" s="211">
        <f t="shared" si="45"/>
        <v>0</v>
      </c>
      <c r="T396" s="20">
        <v>5</v>
      </c>
      <c r="U396" s="20"/>
      <c r="V396" s="216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08">
        <v>300356</v>
      </c>
      <c r="B397" s="206">
        <v>13001</v>
      </c>
      <c r="C397" s="230" t="s">
        <v>160</v>
      </c>
      <c r="D397" s="231"/>
      <c r="E397" s="214" t="s">
        <v>41</v>
      </c>
      <c r="F397" s="212"/>
      <c r="G397" s="211"/>
      <c r="H397" s="211"/>
      <c r="I397" s="211"/>
      <c r="J397" s="211"/>
      <c r="K397" s="207">
        <f t="shared" si="41"/>
        <v>0</v>
      </c>
      <c r="L397" s="211">
        <f t="shared" si="42"/>
        <v>0</v>
      </c>
      <c r="M397" s="211">
        <v>438</v>
      </c>
      <c r="N397" s="211">
        <f>+M397*1000/(110*4*18*60)*T397</f>
        <v>4.6085858585858581</v>
      </c>
      <c r="O397" s="211"/>
      <c r="P397" s="211">
        <f t="shared" si="43"/>
        <v>0</v>
      </c>
      <c r="Q397" s="211"/>
      <c r="R397" s="19">
        <f t="shared" si="44"/>
        <v>0</v>
      </c>
      <c r="S397" s="211">
        <f t="shared" si="45"/>
        <v>0</v>
      </c>
      <c r="T397" s="20">
        <v>5</v>
      </c>
      <c r="U397" s="20"/>
      <c r="V397" s="216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08">
        <v>300357</v>
      </c>
      <c r="B398" s="206" t="s">
        <v>162</v>
      </c>
      <c r="C398" s="230" t="s">
        <v>160</v>
      </c>
      <c r="D398" s="231"/>
      <c r="E398" s="214" t="s">
        <v>37</v>
      </c>
      <c r="F398" s="212"/>
      <c r="G398" s="211"/>
      <c r="H398" s="211"/>
      <c r="I398" s="211"/>
      <c r="J398" s="211"/>
      <c r="K398" s="207">
        <f t="shared" si="41"/>
        <v>0</v>
      </c>
      <c r="L398" s="211">
        <f t="shared" si="42"/>
        <v>0</v>
      </c>
      <c r="M398" s="211">
        <v>438</v>
      </c>
      <c r="N398" s="211">
        <f>+M398*1000/(110*4*18*60)*T398</f>
        <v>4.6085858585858581</v>
      </c>
      <c r="O398" s="211"/>
      <c r="P398" s="211">
        <f t="shared" si="43"/>
        <v>0</v>
      </c>
      <c r="Q398" s="211"/>
      <c r="R398" s="19">
        <f t="shared" si="44"/>
        <v>0</v>
      </c>
      <c r="S398" s="211">
        <f t="shared" si="45"/>
        <v>0</v>
      </c>
      <c r="T398" s="20">
        <v>5</v>
      </c>
      <c r="U398" s="20"/>
      <c r="V398" s="216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hidden="1" customHeight="1">
      <c r="A399" s="208">
        <v>300358</v>
      </c>
      <c r="B399" s="206" t="s">
        <v>163</v>
      </c>
      <c r="C399" s="230" t="s">
        <v>160</v>
      </c>
      <c r="D399" s="231"/>
      <c r="E399" s="214" t="s">
        <v>66</v>
      </c>
      <c r="F399" s="212"/>
      <c r="G399" s="211"/>
      <c r="H399" s="211"/>
      <c r="I399" s="211"/>
      <c r="J399" s="211"/>
      <c r="K399" s="207">
        <f t="shared" si="41"/>
        <v>0</v>
      </c>
      <c r="L399" s="211">
        <f t="shared" si="42"/>
        <v>0</v>
      </c>
      <c r="M399" s="211">
        <v>438</v>
      </c>
      <c r="N399" s="211">
        <f>+M399*1000/(110*4*18*60)*T399</f>
        <v>4.6085858585858581</v>
      </c>
      <c r="O399" s="211"/>
      <c r="P399" s="211">
        <f t="shared" si="43"/>
        <v>0</v>
      </c>
      <c r="Q399" s="211"/>
      <c r="R399" s="19">
        <f t="shared" si="44"/>
        <v>0</v>
      </c>
      <c r="S399" s="211">
        <f t="shared" si="45"/>
        <v>0</v>
      </c>
      <c r="T399" s="20">
        <v>5</v>
      </c>
      <c r="U399" s="20"/>
      <c r="V399" s="216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s="2" customFormat="1" ht="21.95" hidden="1" customHeight="1">
      <c r="A400" s="209">
        <v>300438</v>
      </c>
      <c r="B400" s="206" t="s">
        <v>87</v>
      </c>
      <c r="C400" s="219" t="s">
        <v>304</v>
      </c>
      <c r="D400" s="219" t="s">
        <v>89</v>
      </c>
      <c r="E400" s="213" t="s">
        <v>35</v>
      </c>
      <c r="F400" s="212"/>
      <c r="G400" s="211"/>
      <c r="H400" s="211"/>
      <c r="I400" s="211"/>
      <c r="J400" s="211"/>
      <c r="K400" s="211">
        <f t="shared" si="41"/>
        <v>0</v>
      </c>
      <c r="L400" s="211">
        <f t="shared" si="42"/>
        <v>0</v>
      </c>
      <c r="M400" s="211">
        <v>336.6</v>
      </c>
      <c r="N400" s="211">
        <f>+M400*1000/(45*10*18*60)*T400</f>
        <v>1.3851851851851851</v>
      </c>
      <c r="O400" s="211"/>
      <c r="P400" s="211">
        <f t="shared" si="43"/>
        <v>0</v>
      </c>
      <c r="Q400" s="211"/>
      <c r="R400" s="19">
        <f t="shared" si="44"/>
        <v>0</v>
      </c>
      <c r="S400" s="211">
        <f t="shared" si="45"/>
        <v>0</v>
      </c>
      <c r="T400" s="20">
        <v>2</v>
      </c>
      <c r="U400" s="20"/>
      <c r="V400" s="216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s="2" customFormat="1" ht="21.95" hidden="1" customHeight="1">
      <c r="A401" s="209">
        <v>300439</v>
      </c>
      <c r="B401" s="206">
        <v>13002</v>
      </c>
      <c r="C401" s="219" t="s">
        <v>304</v>
      </c>
      <c r="D401" s="219" t="s">
        <v>89</v>
      </c>
      <c r="E401" s="213" t="s">
        <v>66</v>
      </c>
      <c r="F401" s="212"/>
      <c r="G401" s="211"/>
      <c r="H401" s="211"/>
      <c r="I401" s="211"/>
      <c r="J401" s="211"/>
      <c r="K401" s="211">
        <f t="shared" si="41"/>
        <v>0</v>
      </c>
      <c r="L401" s="211">
        <f t="shared" si="42"/>
        <v>0</v>
      </c>
      <c r="M401" s="211">
        <v>336.6</v>
      </c>
      <c r="N401" s="211">
        <f>+M401*1000/(45*10*18*60)*T401</f>
        <v>1.3851851851851851</v>
      </c>
      <c r="O401" s="211"/>
      <c r="P401" s="211">
        <f t="shared" si="43"/>
        <v>0</v>
      </c>
      <c r="Q401" s="211"/>
      <c r="R401" s="19">
        <f t="shared" si="44"/>
        <v>0</v>
      </c>
      <c r="S401" s="211">
        <f t="shared" si="45"/>
        <v>0</v>
      </c>
      <c r="T401" s="20">
        <v>2</v>
      </c>
      <c r="U401" s="20"/>
      <c r="V401" s="216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s="2" customFormat="1" ht="21.95" hidden="1" customHeight="1">
      <c r="A402" s="209">
        <v>300440</v>
      </c>
      <c r="B402" s="206" t="s">
        <v>87</v>
      </c>
      <c r="C402" s="219" t="s">
        <v>304</v>
      </c>
      <c r="D402" s="219" t="s">
        <v>89</v>
      </c>
      <c r="E402" s="213" t="s">
        <v>41</v>
      </c>
      <c r="F402" s="212"/>
      <c r="G402" s="211"/>
      <c r="H402" s="211"/>
      <c r="I402" s="211"/>
      <c r="J402" s="211"/>
      <c r="K402" s="211">
        <f t="shared" si="41"/>
        <v>0</v>
      </c>
      <c r="L402" s="211">
        <f t="shared" si="42"/>
        <v>0</v>
      </c>
      <c r="M402" s="211">
        <v>336.6</v>
      </c>
      <c r="N402" s="211">
        <f>+M402*1000/(45*10*18*60)*T402</f>
        <v>1.3851851851851851</v>
      </c>
      <c r="O402" s="211"/>
      <c r="P402" s="211">
        <f t="shared" si="43"/>
        <v>0</v>
      </c>
      <c r="Q402" s="211"/>
      <c r="R402" s="19">
        <f t="shared" si="44"/>
        <v>0</v>
      </c>
      <c r="S402" s="211">
        <f t="shared" si="45"/>
        <v>0</v>
      </c>
      <c r="T402" s="20">
        <v>2</v>
      </c>
      <c r="U402" s="20"/>
      <c r="V402" s="216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s="2" customFormat="1" ht="21.95" customHeight="1">
      <c r="A403" s="209">
        <v>300441</v>
      </c>
      <c r="B403" s="206">
        <v>13002</v>
      </c>
      <c r="C403" s="219" t="s">
        <v>304</v>
      </c>
      <c r="D403" s="219" t="s">
        <v>89</v>
      </c>
      <c r="E403" s="213" t="s">
        <v>37</v>
      </c>
      <c r="F403" s="212">
        <v>2087</v>
      </c>
      <c r="G403" s="211">
        <v>9</v>
      </c>
      <c r="H403" s="211">
        <v>1.1666666666666667</v>
      </c>
      <c r="I403" s="211">
        <f>8+H403-J403/300</f>
        <v>9</v>
      </c>
      <c r="J403" s="211">
        <v>50</v>
      </c>
      <c r="K403" s="211">
        <f t="shared" si="41"/>
        <v>3029.4</v>
      </c>
      <c r="L403" s="211">
        <f t="shared" si="42"/>
        <v>3029.4</v>
      </c>
      <c r="M403" s="211">
        <v>336.6</v>
      </c>
      <c r="N403" s="211">
        <f>+M403*1000/(45*10*18*60)*T403</f>
        <v>4.155555555555555</v>
      </c>
      <c r="O403" s="211"/>
      <c r="P403" s="211">
        <f t="shared" si="43"/>
        <v>37.399999999999991</v>
      </c>
      <c r="Q403" s="211">
        <v>11.5</v>
      </c>
      <c r="R403" s="19">
        <f t="shared" si="44"/>
        <v>69</v>
      </c>
      <c r="S403" s="211">
        <f t="shared" si="45"/>
        <v>31.600000000000009</v>
      </c>
      <c r="T403" s="20">
        <v>6</v>
      </c>
      <c r="U403" s="20">
        <v>6</v>
      </c>
      <c r="V403" s="216">
        <f t="array" ref="V403">IF(ISERROR(L403/K403),"",L403/K403)</f>
        <v>1</v>
      </c>
      <c r="W403" s="20"/>
      <c r="X403" s="196">
        <f>68/60*1</f>
        <v>1.1333333333333333</v>
      </c>
      <c r="Y403" s="20"/>
      <c r="Z403" s="20"/>
      <c r="AA403" s="20"/>
      <c r="AB403" s="20"/>
      <c r="AC403" s="20"/>
    </row>
    <row r="404" spans="1:29" s="2" customFormat="1" ht="22.5" hidden="1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72.45</v>
      </c>
      <c r="H408" s="182">
        <f t="array" ref="H408">SUM(IF(ISERROR(H215:H407),“”,H215:H407))</f>
        <v>4.0916666666666668</v>
      </c>
      <c r="I408" s="182">
        <f t="array" ref="I408">SUM(IF(ISERROR(I215:I407),“”,I215:I407))</f>
        <v>70.367857142857133</v>
      </c>
      <c r="J408" s="182">
        <f t="array" ref="J408">SUM(IF(ISERROR(J215:J407),“”,J215:J407))</f>
        <v>1850</v>
      </c>
      <c r="K408" s="182">
        <f t="array" ref="K408">SUM(IF(ISERROR(K215:K407),“”,K215:K407))</f>
        <v>33037.286</v>
      </c>
      <c r="L408" s="117">
        <f>SUM(L215:L403)</f>
        <v>31998.105714285717</v>
      </c>
      <c r="M408" s="182"/>
      <c r="N408" s="182"/>
      <c r="O408" s="182">
        <f t="array" ref="O408">SUM(IF(ISERROR(O215:O407),“”,O215:O407))</f>
        <v>2.5</v>
      </c>
      <c r="P408" s="56">
        <f>SUM((P215:P399),(W413:X418))</f>
        <v>401.0862764713504</v>
      </c>
      <c r="Q408" s="182"/>
      <c r="R408" s="56">
        <f>SUM((R215:R399),(Y413:Z418))</f>
        <v>412.5</v>
      </c>
      <c r="S408" s="182">
        <f t="array" ref="S408">SUM(IF(ISERROR(S215:S407),“”,S215:S407))</f>
        <v>32.013723528649599</v>
      </c>
      <c r="T408" s="182"/>
      <c r="U408" s="182"/>
      <c r="V408" s="179">
        <f t="array" ref="V408">IF(ISERROR(L408/K408),"",L408/K408)</f>
        <v>0.96854522839090706</v>
      </c>
      <c r="W408" s="182">
        <f t="array" ref="W408">SUM(IF(ISERROR(W215:W407),“”,W215:W407))</f>
        <v>2.5</v>
      </c>
      <c r="X408" s="182">
        <f t="array" ref="X408">SUM(IF(ISERROR(X215:X407),“”,X215:X407))</f>
        <v>1.1333333333333333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>
        <f t="array" ref="O409">IF(ISERROR(P408/R408),"",P408/R408)</f>
        <v>0.9723303672032737</v>
      </c>
      <c r="P409" s="245"/>
      <c r="Q409" s="245"/>
      <c r="R409" s="246"/>
      <c r="S409" s="44"/>
      <c r="T409" s="45"/>
      <c r="U409" s="45"/>
      <c r="V409" s="45"/>
      <c r="W409" s="247">
        <f>SUM(W408:AC408)</f>
        <v>3.6333333333333333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>
        <v>92.5</v>
      </c>
      <c r="F411" s="250"/>
      <c r="G411" s="250">
        <v>92.5</v>
      </c>
      <c r="H411" s="250"/>
      <c r="I411" s="250">
        <f>G411-E411</f>
        <v>0</v>
      </c>
      <c r="J411" s="250"/>
      <c r="K411" s="252">
        <f t="array" ref="K411">IF(ISERROR(I411/E411),"",I411/E411)</f>
        <v>0</v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>
        <v>5888</v>
      </c>
      <c r="F412" s="250"/>
      <c r="G412" s="250">
        <v>6070</v>
      </c>
      <c r="H412" s="250"/>
      <c r="I412" s="250">
        <f>G412-E412</f>
        <v>182</v>
      </c>
      <c r="J412" s="250"/>
      <c r="K412" s="252">
        <f t="array" ref="K412">IF(ISERROR(I412/E412),"",I412/E412)</f>
        <v>3.091032608695652E-2</v>
      </c>
      <c r="L412" s="252"/>
      <c r="M412" s="237"/>
      <c r="N412" s="238"/>
      <c r="O412" s="291"/>
      <c r="P412" s="291"/>
      <c r="Q412" s="254" t="s">
        <v>185</v>
      </c>
      <c r="R412" s="254"/>
      <c r="S412" s="255">
        <v>31</v>
      </c>
      <c r="T412" s="255"/>
      <c r="U412" s="255">
        <v>27</v>
      </c>
      <c r="V412" s="255"/>
      <c r="W412" s="254">
        <f>S412*11</f>
        <v>341</v>
      </c>
      <c r="X412" s="254"/>
      <c r="Y412" s="254">
        <f>U412*11</f>
        <v>297</v>
      </c>
      <c r="Z412" s="254"/>
      <c r="AA412" s="254">
        <f t="shared" ref="AA412:AA419" si="49">Y412-W412</f>
        <v>-44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>
        <v>756</v>
      </c>
      <c r="F413" s="250"/>
      <c r="G413" s="250">
        <v>756</v>
      </c>
      <c r="H413" s="250"/>
      <c r="I413" s="250">
        <f>G413-E413</f>
        <v>0</v>
      </c>
      <c r="J413" s="250"/>
      <c r="K413" s="252">
        <f t="array" ref="K413">IF(ISERROR(I413/E413),"",I413/E413)</f>
        <v>0</v>
      </c>
      <c r="L413" s="252"/>
      <c r="M413" s="237"/>
      <c r="N413" s="238"/>
      <c r="O413" s="291"/>
      <c r="P413" s="291"/>
      <c r="Q413" s="254" t="s">
        <v>187</v>
      </c>
      <c r="R413" s="254"/>
      <c r="S413" s="255">
        <v>6</v>
      </c>
      <c r="T413" s="255"/>
      <c r="U413" s="255">
        <v>6</v>
      </c>
      <c r="V413" s="255"/>
      <c r="W413" s="254">
        <f t="shared" ref="W413:W419" si="50">S413*11</f>
        <v>66</v>
      </c>
      <c r="X413" s="254"/>
      <c r="Y413" s="254">
        <f t="shared" ref="Y413:Y419" si="51">U413*11</f>
        <v>66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92">
        <v>0.75</v>
      </c>
      <c r="T414" s="293"/>
      <c r="U414" s="255">
        <v>1</v>
      </c>
      <c r="V414" s="255"/>
      <c r="W414" s="254">
        <f t="shared" si="50"/>
        <v>8.25</v>
      </c>
      <c r="X414" s="254"/>
      <c r="Y414" s="254">
        <f t="shared" si="51"/>
        <v>11</v>
      </c>
      <c r="Z414" s="254"/>
      <c r="AA414" s="254">
        <f t="shared" si="49"/>
        <v>2.75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>
        <v>154694</v>
      </c>
      <c r="H415" s="296"/>
      <c r="I415" s="325">
        <v>154579</v>
      </c>
      <c r="J415" s="326"/>
      <c r="K415" s="260">
        <f>G415-I415</f>
        <v>115</v>
      </c>
      <c r="L415" s="260"/>
      <c r="M415" s="261">
        <f t="array" ref="M415">IF(ISERROR(K415/L408),"",K415/(L408/1000))</f>
        <v>3.5939627497592039</v>
      </c>
      <c r="N415" s="261"/>
      <c r="O415" s="291"/>
      <c r="P415" s="291"/>
      <c r="Q415" s="254" t="s">
        <v>197</v>
      </c>
      <c r="R415" s="254"/>
      <c r="S415" s="292">
        <v>0.75</v>
      </c>
      <c r="T415" s="293"/>
      <c r="U415" s="255">
        <v>1</v>
      </c>
      <c r="V415" s="255"/>
      <c r="W415" s="254">
        <f t="shared" si="50"/>
        <v>8.25</v>
      </c>
      <c r="X415" s="254"/>
      <c r="Y415" s="254">
        <f t="shared" si="51"/>
        <v>11</v>
      </c>
      <c r="Z415" s="254"/>
      <c r="AA415" s="254">
        <f t="shared" si="49"/>
        <v>2.75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>
        <f>28966.3*120+45361.1*60</f>
        <v>6197622</v>
      </c>
      <c r="H416" s="295"/>
      <c r="I416" s="294">
        <v>6195900</v>
      </c>
      <c r="J416" s="295"/>
      <c r="K416" s="260">
        <f>G416-I416</f>
        <v>1722</v>
      </c>
      <c r="L416" s="260"/>
      <c r="M416" s="261">
        <f t="array" ref="M416">IF(ISERROR(K416/L408),"",K416/(L408/1000))</f>
        <v>53.815685696394347</v>
      </c>
      <c r="N416" s="261"/>
      <c r="O416" s="291"/>
      <c r="P416" s="291"/>
      <c r="Q416" s="254" t="s">
        <v>200</v>
      </c>
      <c r="R416" s="254"/>
      <c r="S416" s="292">
        <v>1.5</v>
      </c>
      <c r="T416" s="293"/>
      <c r="U416" s="255">
        <v>1</v>
      </c>
      <c r="V416" s="255"/>
      <c r="W416" s="254">
        <f t="shared" si="50"/>
        <v>16.5</v>
      </c>
      <c r="X416" s="254"/>
      <c r="Y416" s="254">
        <f t="shared" si="51"/>
        <v>11</v>
      </c>
      <c r="Z416" s="254"/>
      <c r="AA416" s="254">
        <f t="shared" si="49"/>
        <v>-5.5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>
        <f>+I417+8+17</f>
        <v>28604</v>
      </c>
      <c r="H417" s="296"/>
      <c r="I417" s="327">
        <v>28579</v>
      </c>
      <c r="J417" s="328"/>
      <c r="K417" s="260">
        <f>G417-I417</f>
        <v>25</v>
      </c>
      <c r="L417" s="260"/>
      <c r="M417" s="264">
        <f t="array" ref="M417">IF(ISERROR(K417/L408),"",K417/(L408/1000))</f>
        <v>0.78129624994765312</v>
      </c>
      <c r="N417" s="264"/>
      <c r="O417" s="291"/>
      <c r="P417" s="291"/>
      <c r="Q417" s="254" t="s">
        <v>203</v>
      </c>
      <c r="R417" s="254"/>
      <c r="S417" s="292">
        <v>1</v>
      </c>
      <c r="T417" s="293"/>
      <c r="U417" s="255">
        <v>1</v>
      </c>
      <c r="V417" s="255"/>
      <c r="W417" s="254">
        <f t="shared" si="50"/>
        <v>11</v>
      </c>
      <c r="X417" s="254"/>
      <c r="Y417" s="254">
        <f t="shared" si="51"/>
        <v>11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>
        <f>3.2/2+3.36</f>
        <v>4.96</v>
      </c>
      <c r="L418" s="272"/>
      <c r="M418" s="265">
        <f t="array" ref="M418">IF(ISERROR((K418+K419)/L408),"",((K418+K419)*1000)/(L408/1000))</f>
        <v>155.00917598961436</v>
      </c>
      <c r="N418" s="266"/>
      <c r="O418" s="291"/>
      <c r="P418" s="291"/>
      <c r="Q418" s="254" t="s">
        <v>206</v>
      </c>
      <c r="R418" s="254"/>
      <c r="S418" s="292">
        <v>3</v>
      </c>
      <c r="T418" s="293"/>
      <c r="U418" s="255">
        <v>4</v>
      </c>
      <c r="V418" s="255"/>
      <c r="W418" s="254">
        <f t="shared" si="50"/>
        <v>33</v>
      </c>
      <c r="X418" s="254"/>
      <c r="Y418" s="254">
        <f t="shared" si="51"/>
        <v>44</v>
      </c>
      <c r="Z418" s="254"/>
      <c r="AA418" s="254">
        <f t="shared" si="49"/>
        <v>11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44</v>
      </c>
      <c r="T419" s="255"/>
      <c r="U419" s="255">
        <f>SUM(U412:V418)</f>
        <v>41</v>
      </c>
      <c r="V419" s="255"/>
      <c r="W419" s="254">
        <f t="shared" si="50"/>
        <v>484</v>
      </c>
      <c r="X419" s="254"/>
      <c r="Y419" s="254">
        <f t="shared" si="51"/>
        <v>451</v>
      </c>
      <c r="Z419" s="254"/>
      <c r="AA419" s="254">
        <f t="shared" si="49"/>
        <v>-33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>
        <f>IF(ISERROR(K417/K418),"",K417/K418)</f>
        <v>5.040322580645161</v>
      </c>
      <c r="N420" s="274"/>
      <c r="O420" s="291"/>
      <c r="P420" s="291"/>
      <c r="Q420" s="251" t="s">
        <v>211</v>
      </c>
      <c r="R420" s="251"/>
      <c r="S420" s="297">
        <f t="array" ref="S420">IF(ISERROR(L408/Y419),"",L408/Y419)</f>
        <v>70.949236617041507</v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64712.23000000001</v>
      </c>
      <c r="D423" s="304"/>
      <c r="E423" s="300" t="s">
        <v>218</v>
      </c>
      <c r="F423" s="300"/>
      <c r="G423" s="300">
        <f>L199+L408</f>
        <v>62978.445476190478</v>
      </c>
      <c r="H423" s="300"/>
      <c r="I423" s="307" t="s">
        <v>219</v>
      </c>
      <c r="J423" s="307"/>
      <c r="K423" s="306">
        <f>IF(ISERROR(G423/C423),"",G423/C423)</f>
        <v>0.97320777658551505</v>
      </c>
      <c r="L423" s="306"/>
      <c r="M423" s="300" t="s">
        <v>220</v>
      </c>
      <c r="N423" s="300"/>
      <c r="O423" s="301">
        <f>IF(ISERROR(G423/G424),"",G423/G424)</f>
        <v>74.223271038527372</v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818.78587761271081</v>
      </c>
      <c r="D424" s="304"/>
      <c r="E424" s="305" t="s">
        <v>18</v>
      </c>
      <c r="F424" s="305"/>
      <c r="G424" s="300">
        <f>R199+R408</f>
        <v>848.5</v>
      </c>
      <c r="H424" s="300"/>
      <c r="I424" s="284" t="s">
        <v>168</v>
      </c>
      <c r="J424" s="284"/>
      <c r="K424" s="306">
        <f>IF(ISERROR(C424/G424),"",C424/G424)</f>
        <v>0.96498040967909349</v>
      </c>
      <c r="L424" s="306"/>
      <c r="M424" s="250" t="s">
        <v>222</v>
      </c>
      <c r="N424" s="250"/>
      <c r="O424" s="300">
        <f>W200+W409</f>
        <v>7.6333333333333329</v>
      </c>
      <c r="P424" s="250"/>
      <c r="Q424" s="250" t="s">
        <v>223</v>
      </c>
      <c r="R424" s="250"/>
      <c r="S424" s="306">
        <f t="array" ref="S424">IF(ISERROR(O424/G424),"",O424/G424)</f>
        <v>8.9962679237870751E-3</v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244</v>
      </c>
      <c r="D426" s="304"/>
      <c r="E426" s="300" t="s">
        <v>226</v>
      </c>
      <c r="F426" s="300"/>
      <c r="G426" s="264">
        <f t="array" ref="G426">IF(ISERROR(C426/G423),"",C426/(G423/1000))</f>
        <v>3.8743414219750187</v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3816</v>
      </c>
      <c r="D427" s="304"/>
      <c r="E427" s="300" t="s">
        <v>228</v>
      </c>
      <c r="F427" s="300"/>
      <c r="G427" s="264">
        <f>IF(ISERROR(C427/G423),"",C427/(G423/1000))</f>
        <v>60.592159287937179</v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45</v>
      </c>
      <c r="D428" s="304"/>
      <c r="E428" s="300" t="s">
        <v>230</v>
      </c>
      <c r="F428" s="300"/>
      <c r="G428" s="264">
        <f>IF(ISERROR(C428/G423),"",C428/(G423/1000))</f>
        <v>0.71453018028227799</v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9.120000000000001</v>
      </c>
      <c r="D429" s="304"/>
      <c r="E429" s="300" t="s">
        <v>232</v>
      </c>
      <c r="F429" s="300"/>
      <c r="G429" s="308">
        <f>IF(ISERROR(C429/G423),"",C429/(G423/1000))</f>
        <v>0.1448114498705417</v>
      </c>
      <c r="H429" s="308"/>
      <c r="I429" s="300" t="s">
        <v>233</v>
      </c>
      <c r="J429" s="300"/>
      <c r="K429" s="309">
        <f>IF(ISERROR(C428/C429),"",C428/C429)</f>
        <v>4.9342105263157885</v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>
        <f>IF(ISERROR(C430/G423),"",C430/(G423/1000))</f>
        <v>0</v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178</v>
      </c>
      <c r="D432" s="313"/>
      <c r="E432" s="300" t="s">
        <v>239</v>
      </c>
      <c r="F432" s="318"/>
      <c r="G432" s="314">
        <f>+G411+G202</f>
        <v>178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>
        <f t="array" ref="O432">IF(ISERROR(K432/C432),"",K432/C432)</f>
        <v>0</v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11247.5</v>
      </c>
      <c r="D433" s="313"/>
      <c r="E433" s="300" t="s">
        <v>243</v>
      </c>
      <c r="F433" s="300"/>
      <c r="G433" s="314">
        <f>+G412+G203</f>
        <v>11601.1</v>
      </c>
      <c r="H433" s="315"/>
      <c r="I433" s="300" t="s">
        <v>244</v>
      </c>
      <c r="J433" s="300"/>
      <c r="K433" s="285">
        <f>G433-C433</f>
        <v>353.60000000000036</v>
      </c>
      <c r="L433" s="287"/>
      <c r="M433" s="316" t="s">
        <v>245</v>
      </c>
      <c r="N433" s="317"/>
      <c r="O433" s="310">
        <f t="array" ref="O433">IF(ISERROR(K433/C433),"",K433/C433)</f>
        <v>3.1438097354967803E-2</v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1533</v>
      </c>
      <c r="D434" s="313"/>
      <c r="E434" s="300" t="s">
        <v>247</v>
      </c>
      <c r="F434" s="318"/>
      <c r="G434" s="314">
        <f>+G413+G204</f>
        <v>1533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>
        <f t="array" ref="O434">IF(ISERROR(K434/C434),"",K434/C434)</f>
        <v>0</v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D442" si="52">SUM(D437:F437)-O437-P437-G437</f>
        <v>5</v>
      </c>
      <c r="D437" s="67">
        <v>5</v>
      </c>
      <c r="E437" s="171"/>
      <c r="F437" s="171"/>
      <c r="G437" s="171"/>
      <c r="H437" s="172"/>
      <c r="I437" s="172"/>
      <c r="J437" s="83">
        <f t="shared" ref="J437:J452" si="53">C437-H437-I437</f>
        <v>5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5</v>
      </c>
      <c r="R437" s="176">
        <f>Q437*11-M437-N437</f>
        <v>55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6</v>
      </c>
      <c r="D438" s="67">
        <v>6</v>
      </c>
      <c r="E438" s="171"/>
      <c r="F438" s="171"/>
      <c r="G438" s="171"/>
      <c r="H438" s="172"/>
      <c r="I438" s="172"/>
      <c r="J438" s="83">
        <f t="shared" si="53"/>
        <v>6</v>
      </c>
      <c r="K438" s="67"/>
      <c r="L438" s="67"/>
      <c r="M438" s="67"/>
      <c r="N438" s="67"/>
      <c r="O438" s="67"/>
      <c r="P438" s="118"/>
      <c r="Q438" s="83">
        <f t="shared" si="54"/>
        <v>6</v>
      </c>
      <c r="R438" s="176">
        <f t="shared" ref="R438:R443" si="5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3</v>
      </c>
      <c r="D439" s="67">
        <v>3</v>
      </c>
      <c r="E439" s="171"/>
      <c r="F439" s="171"/>
      <c r="G439" s="171"/>
      <c r="H439" s="172"/>
      <c r="I439" s="172"/>
      <c r="J439" s="83">
        <f t="shared" si="53"/>
        <v>3</v>
      </c>
      <c r="K439" s="67"/>
      <c r="L439" s="67"/>
      <c r="M439" s="67"/>
      <c r="N439" s="67"/>
      <c r="O439" s="67"/>
      <c r="P439" s="118"/>
      <c r="Q439" s="83">
        <f t="shared" si="54"/>
        <v>3</v>
      </c>
      <c r="R439" s="176">
        <f t="shared" si="5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29</v>
      </c>
      <c r="D440" s="67">
        <v>26</v>
      </c>
      <c r="E440" s="171">
        <v>3</v>
      </c>
      <c r="F440" s="171"/>
      <c r="G440" s="171"/>
      <c r="H440" s="172"/>
      <c r="I440" s="172"/>
      <c r="J440" s="83">
        <f t="shared" si="53"/>
        <v>29</v>
      </c>
      <c r="K440" s="67">
        <v>1</v>
      </c>
      <c r="L440" s="67"/>
      <c r="M440" s="67"/>
      <c r="N440" s="67"/>
      <c r="O440" s="67"/>
      <c r="P440" s="118"/>
      <c r="Q440" s="83">
        <f t="shared" si="54"/>
        <v>28</v>
      </c>
      <c r="R440" s="176">
        <f t="shared" si="55"/>
        <v>308</v>
      </c>
      <c r="S440" s="101">
        <f t="array" ref="S440">IF(ISERROR(Q440/J440),"",Q440/J440)</f>
        <v>0.96551724137931039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1</v>
      </c>
      <c r="D441" s="67">
        <v>1</v>
      </c>
      <c r="E441" s="171"/>
      <c r="F441" s="171"/>
      <c r="G441" s="171"/>
      <c r="H441" s="172"/>
      <c r="I441" s="172"/>
      <c r="J441" s="83">
        <f t="shared" si="53"/>
        <v>1</v>
      </c>
      <c r="K441" s="67"/>
      <c r="L441" s="67"/>
      <c r="M441" s="67"/>
      <c r="N441" s="67"/>
      <c r="O441" s="67"/>
      <c r="P441" s="118"/>
      <c r="Q441" s="83">
        <f t="shared" si="54"/>
        <v>1</v>
      </c>
      <c r="R441" s="176">
        <f t="shared" si="5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2</v>
      </c>
      <c r="D442" s="67">
        <v>2</v>
      </c>
      <c r="E442" s="67"/>
      <c r="F442" s="67"/>
      <c r="G442" s="67"/>
      <c r="H442" s="67"/>
      <c r="I442" s="67"/>
      <c r="J442" s="83">
        <f t="shared" si="53"/>
        <v>2</v>
      </c>
      <c r="K442" s="67"/>
      <c r="L442" s="67"/>
      <c r="M442" s="67"/>
      <c r="N442" s="67"/>
      <c r="O442" s="67"/>
      <c r="P442" s="67"/>
      <c r="Q442" s="83">
        <f t="shared" si="54"/>
        <v>2</v>
      </c>
      <c r="R442" s="176">
        <f t="shared" si="5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D452" si="56">SUM(D443:F443)-O443-P443-G443</f>
        <v>46</v>
      </c>
      <c r="D443" s="68">
        <v>43</v>
      </c>
      <c r="E443" s="68">
        <f t="shared" ref="E443:P443" si="57">SUM(E437:E442)</f>
        <v>3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46</v>
      </c>
      <c r="K443" s="68">
        <f t="shared" si="57"/>
        <v>1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45</v>
      </c>
      <c r="R443" s="176">
        <f t="shared" si="55"/>
        <v>495</v>
      </c>
      <c r="S443" s="120">
        <f t="array" ref="S443">IF(ISERROR(Q443/J443),"",Q443/J443)</f>
        <v>0.97826086956521741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5</v>
      </c>
      <c r="D444" s="67">
        <v>5</v>
      </c>
      <c r="E444" s="67"/>
      <c r="F444" s="67"/>
      <c r="G444" s="67"/>
      <c r="H444" s="67"/>
      <c r="I444" s="67"/>
      <c r="J444" s="83">
        <f t="shared" si="53"/>
        <v>5</v>
      </c>
      <c r="K444" s="67"/>
      <c r="L444" s="67"/>
      <c r="M444" s="67"/>
      <c r="N444" s="67"/>
      <c r="O444" s="67"/>
      <c r="P444" s="67"/>
      <c r="Q444" s="83">
        <f t="shared" si="54"/>
        <v>5</v>
      </c>
      <c r="R444" s="176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5</v>
      </c>
      <c r="D445" s="67">
        <v>5</v>
      </c>
      <c r="E445" s="67"/>
      <c r="F445" s="67"/>
      <c r="G445" s="67"/>
      <c r="H445" s="67"/>
      <c r="I445" s="67"/>
      <c r="J445" s="83">
        <f t="shared" si="53"/>
        <v>5</v>
      </c>
      <c r="K445" s="67"/>
      <c r="L445" s="67"/>
      <c r="M445" s="67"/>
      <c r="N445" s="67"/>
      <c r="O445" s="67"/>
      <c r="P445" s="67"/>
      <c r="Q445" s="83">
        <f t="shared" si="54"/>
        <v>5</v>
      </c>
      <c r="R445" s="176">
        <f t="shared" ref="R445:R450" si="5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3</v>
      </c>
      <c r="D446" s="67">
        <v>3</v>
      </c>
      <c r="E446" s="67"/>
      <c r="F446" s="67"/>
      <c r="G446" s="67"/>
      <c r="H446" s="67"/>
      <c r="I446" s="67"/>
      <c r="J446" s="83">
        <f t="shared" si="53"/>
        <v>3</v>
      </c>
      <c r="K446" s="67"/>
      <c r="L446" s="67"/>
      <c r="M446" s="67"/>
      <c r="N446" s="67"/>
      <c r="P446" s="67"/>
      <c r="Q446" s="83">
        <f t="shared" si="54"/>
        <v>3</v>
      </c>
      <c r="R446" s="176">
        <f t="shared" si="5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29</v>
      </c>
      <c r="D447" s="67">
        <v>29</v>
      </c>
      <c r="E447" s="67"/>
      <c r="F447" s="67"/>
      <c r="G447" s="67"/>
      <c r="H447" s="67"/>
      <c r="I447" s="67">
        <v>2</v>
      </c>
      <c r="J447" s="83">
        <f t="shared" si="53"/>
        <v>27</v>
      </c>
      <c r="K447" s="67">
        <v>2</v>
      </c>
      <c r="L447" s="67"/>
      <c r="M447" s="67"/>
      <c r="N447" s="67"/>
      <c r="O447" s="67"/>
      <c r="P447" s="67"/>
      <c r="Q447" s="83">
        <f t="shared" si="54"/>
        <v>25</v>
      </c>
      <c r="R447" s="176">
        <f t="shared" si="58"/>
        <v>287.5</v>
      </c>
      <c r="S447" s="101">
        <f t="array" ref="S447">IF(ISERROR(Q447/J447),"",Q447/J447)</f>
        <v>0.92592592592592593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1</v>
      </c>
      <c r="D448" s="67">
        <v>1</v>
      </c>
      <c r="E448" s="67"/>
      <c r="F448" s="67"/>
      <c r="G448" s="67"/>
      <c r="H448" s="67"/>
      <c r="I448" s="67"/>
      <c r="J448" s="83">
        <f t="shared" si="53"/>
        <v>1</v>
      </c>
      <c r="K448" s="67"/>
      <c r="L448" s="67"/>
      <c r="M448" s="110"/>
      <c r="N448" s="67"/>
      <c r="O448" s="67"/>
      <c r="P448" s="67"/>
      <c r="Q448" s="83">
        <f t="shared" si="54"/>
        <v>1</v>
      </c>
      <c r="R448" s="176">
        <f t="shared" si="5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2</v>
      </c>
      <c r="D449" s="67">
        <v>2</v>
      </c>
      <c r="E449" s="67"/>
      <c r="F449" s="67"/>
      <c r="G449" s="67"/>
      <c r="H449" s="67"/>
      <c r="I449" s="67"/>
      <c r="J449" s="83">
        <f t="shared" si="53"/>
        <v>2</v>
      </c>
      <c r="K449" s="67"/>
      <c r="L449" s="67"/>
      <c r="M449" s="67"/>
      <c r="N449" s="67"/>
      <c r="O449" s="67"/>
      <c r="P449" s="67"/>
      <c r="Q449" s="83">
        <f t="shared" si="54"/>
        <v>2</v>
      </c>
      <c r="R449" s="176">
        <f t="shared" si="5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45</v>
      </c>
      <c r="D450" s="69">
        <v>45</v>
      </c>
      <c r="E450" s="69">
        <f t="shared" ref="D450:I450" si="59">SUM(E444:E449)</f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2</v>
      </c>
      <c r="J450" s="85">
        <f t="shared" si="53"/>
        <v>43</v>
      </c>
      <c r="K450" s="69">
        <f t="shared" ref="K450:P450" si="60">SUM(K444:K449)</f>
        <v>2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41</v>
      </c>
      <c r="R450" s="176">
        <f t="shared" si="58"/>
        <v>471.5</v>
      </c>
      <c r="S450" s="122">
        <f t="array" ref="S450">IF(ISERROR(Q450/J450),"",Q450/J450)</f>
        <v>0.95348837209302328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2</v>
      </c>
      <c r="D451" s="67">
        <v>2</v>
      </c>
      <c r="E451" s="171"/>
      <c r="F451" s="171"/>
      <c r="G451" s="171"/>
      <c r="H451" s="172"/>
      <c r="I451" s="83"/>
      <c r="J451" s="83">
        <f t="shared" si="53"/>
        <v>2</v>
      </c>
      <c r="K451" s="172"/>
      <c r="L451" s="172"/>
      <c r="M451" s="172"/>
      <c r="N451" s="172"/>
      <c r="O451" s="172"/>
      <c r="P451" s="187"/>
      <c r="Q451" s="83">
        <f t="shared" si="54"/>
        <v>2</v>
      </c>
      <c r="R451" s="176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93</v>
      </c>
      <c r="D452" s="69">
        <v>90</v>
      </c>
      <c r="E452" s="69">
        <f>+E443+E450+E451</f>
        <v>3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</v>
      </c>
      <c r="J452" s="85">
        <f t="shared" si="53"/>
        <v>91</v>
      </c>
      <c r="K452" s="69">
        <f t="shared" ref="K452:P452" si="61">+K443+K450+K451</f>
        <v>3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88</v>
      </c>
      <c r="R452" s="67">
        <f>R443+R450+R451</f>
        <v>988.5</v>
      </c>
      <c r="S452" s="123">
        <f t="array" ref="S452">IF(ISERROR(Q452/J452),"",Q452/J452)</f>
        <v>0.96703296703296704</v>
      </c>
      <c r="T452" s="185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7"/>
  <dimension ref="A1:AC454"/>
  <sheetViews>
    <sheetView workbookViewId="0">
      <selection activeCell="I137" sqref="I13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6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5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4"/>
  <dimension ref="A1:AC454"/>
  <sheetViews>
    <sheetView workbookViewId="0">
      <selection activeCell="B22" sqref="B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17" t="s">
        <v>1</v>
      </c>
      <c r="B2" s="217"/>
      <c r="C2" s="217"/>
      <c r="D2" s="217"/>
      <c r="E2" s="217"/>
      <c r="F2" s="217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7"/>
      <c r="T2" s="217"/>
      <c r="U2" s="217"/>
      <c r="V2" s="217"/>
      <c r="W2" s="217"/>
      <c r="X2" s="217"/>
      <c r="Y2" s="218"/>
      <c r="Z2" s="217"/>
      <c r="AA2" s="217"/>
      <c r="AB2" s="217"/>
      <c r="AC2" s="21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9" t="s">
        <v>3</v>
      </c>
      <c r="B4" s="219" t="s">
        <v>4</v>
      </c>
      <c r="C4" s="219" t="s">
        <v>5</v>
      </c>
      <c r="D4" s="219"/>
      <c r="E4" s="219" t="s">
        <v>6</v>
      </c>
      <c r="F4" s="219" t="s">
        <v>7</v>
      </c>
      <c r="G4" s="220" t="s">
        <v>8</v>
      </c>
      <c r="H4" s="220" t="s">
        <v>9</v>
      </c>
      <c r="I4" s="220" t="s">
        <v>10</v>
      </c>
      <c r="J4" s="220" t="s">
        <v>11</v>
      </c>
      <c r="K4" s="220" t="s">
        <v>12</v>
      </c>
      <c r="L4" s="220" t="s">
        <v>13</v>
      </c>
      <c r="M4" s="220" t="s">
        <v>14</v>
      </c>
      <c r="N4" s="220" t="s">
        <v>15</v>
      </c>
      <c r="O4" s="228" t="s">
        <v>16</v>
      </c>
      <c r="P4" s="228" t="s">
        <v>17</v>
      </c>
      <c r="Q4" s="220" t="s">
        <v>18</v>
      </c>
      <c r="R4" s="220"/>
      <c r="S4" s="220" t="s">
        <v>19</v>
      </c>
      <c r="T4" s="221" t="s">
        <v>20</v>
      </c>
      <c r="U4" s="221" t="s">
        <v>21</v>
      </c>
      <c r="V4" s="223" t="s">
        <v>22</v>
      </c>
      <c r="W4" s="225" t="s">
        <v>23</v>
      </c>
      <c r="X4" s="226"/>
      <c r="Y4" s="226"/>
      <c r="Z4" s="226"/>
      <c r="AA4" s="226"/>
      <c r="AB4" s="226"/>
      <c r="AC4" s="227"/>
    </row>
    <row r="5" spans="1:29" ht="21.95" customHeight="1">
      <c r="A5" s="219"/>
      <c r="B5" s="219"/>
      <c r="C5" s="219"/>
      <c r="D5" s="219"/>
      <c r="E5" s="219"/>
      <c r="F5" s="219"/>
      <c r="G5" s="220"/>
      <c r="H5" s="220"/>
      <c r="I5" s="220"/>
      <c r="J5" s="220"/>
      <c r="K5" s="220"/>
      <c r="L5" s="220"/>
      <c r="M5" s="220"/>
      <c r="N5" s="220"/>
      <c r="O5" s="229"/>
      <c r="P5" s="229"/>
      <c r="Q5" s="17" t="s">
        <v>24</v>
      </c>
      <c r="R5" s="171" t="s">
        <v>25</v>
      </c>
      <c r="S5" s="220"/>
      <c r="T5" s="222"/>
      <c r="U5" s="222"/>
      <c r="V5" s="224"/>
      <c r="W5" s="171" t="s">
        <v>26</v>
      </c>
      <c r="X5" s="18" t="s">
        <v>27</v>
      </c>
      <c r="Y5" s="18" t="s">
        <v>28</v>
      </c>
      <c r="Z5" s="171" t="s">
        <v>29</v>
      </c>
      <c r="AA5" s="18" t="s">
        <v>30</v>
      </c>
      <c r="AB5" s="18" t="s">
        <v>31</v>
      </c>
      <c r="AC5" s="171" t="s">
        <v>32</v>
      </c>
    </row>
    <row r="6" spans="1:29" ht="21.95" customHeight="1">
      <c r="A6" s="178">
        <v>300320</v>
      </c>
      <c r="B6" s="171" t="s">
        <v>33</v>
      </c>
      <c r="C6" s="232" t="s">
        <v>34</v>
      </c>
      <c r="D6" s="232"/>
      <c r="E6" s="184" t="s">
        <v>35</v>
      </c>
      <c r="F6" s="13"/>
      <c r="G6" s="110"/>
      <c r="H6" s="110"/>
      <c r="I6" s="110"/>
      <c r="J6" s="110"/>
      <c r="K6" s="182">
        <f t="shared" ref="K6:K76" si="0">G6*M6</f>
        <v>0</v>
      </c>
      <c r="L6" s="182">
        <f t="shared" ref="L6:L76" si="1">I6*M6</f>
        <v>0</v>
      </c>
      <c r="M6" s="182">
        <v>633.6</v>
      </c>
      <c r="N6" s="182">
        <f>+M6*1000/(28.3*10*40*60)*T6</f>
        <v>4.6643109540636036</v>
      </c>
      <c r="O6" s="182"/>
      <c r="P6" s="182">
        <f t="shared" ref="P6:P76" si="2">N6*I6+O6*U6</f>
        <v>0</v>
      </c>
      <c r="Q6" s="182"/>
      <c r="R6" s="19">
        <f t="shared" ref="R6:R76" si="3">Q6*U6</f>
        <v>0</v>
      </c>
      <c r="S6" s="182">
        <f t="shared" ref="S6:S76" si="4">R6-P6</f>
        <v>0</v>
      </c>
      <c r="T6" s="20">
        <v>5</v>
      </c>
      <c r="U6" s="20"/>
      <c r="V6" s="179" t="str">
        <f t="array" ref="V6">IF(ISERROR(L6/K6),"",L6/K6)</f>
        <v/>
      </c>
      <c r="W6" s="20"/>
      <c r="X6" s="171"/>
      <c r="Y6" s="171"/>
      <c r="Z6" s="183"/>
      <c r="AA6" s="20"/>
      <c r="AB6" s="20"/>
      <c r="AC6" s="20"/>
    </row>
    <row r="7" spans="1:29" ht="21.95" customHeight="1">
      <c r="A7" s="178">
        <v>300318</v>
      </c>
      <c r="B7" s="171" t="s">
        <v>33</v>
      </c>
      <c r="C7" s="232" t="s">
        <v>34</v>
      </c>
      <c r="D7" s="232"/>
      <c r="E7" s="184" t="s">
        <v>36</v>
      </c>
      <c r="F7" s="13"/>
      <c r="G7" s="110"/>
      <c r="H7" s="110"/>
      <c r="I7" s="110"/>
      <c r="J7" s="110"/>
      <c r="K7" s="182">
        <f t="shared" si="0"/>
        <v>0</v>
      </c>
      <c r="L7" s="182">
        <f t="shared" si="1"/>
        <v>0</v>
      </c>
      <c r="M7" s="182">
        <v>633.6</v>
      </c>
      <c r="N7" s="182">
        <f t="shared" ref="N7:N13" si="5">+M7*1000/(28.3*10*40*60)*T7</f>
        <v>4.6643109540636036</v>
      </c>
      <c r="O7" s="182"/>
      <c r="P7" s="182">
        <f t="shared" si="2"/>
        <v>0</v>
      </c>
      <c r="Q7" s="182"/>
      <c r="R7" s="19">
        <f t="shared" si="3"/>
        <v>0</v>
      </c>
      <c r="S7" s="182">
        <f t="shared" si="4"/>
        <v>0</v>
      </c>
      <c r="T7" s="20">
        <v>5</v>
      </c>
      <c r="U7" s="20"/>
      <c r="V7" s="179" t="str">
        <f t="array" ref="V7">IF(ISERROR(L7/K7),"",L7/K7)</f>
        <v/>
      </c>
      <c r="W7" s="20"/>
      <c r="X7" s="171"/>
      <c r="Y7" s="171"/>
      <c r="Z7" s="183"/>
      <c r="AA7" s="20"/>
      <c r="AB7" s="20"/>
      <c r="AC7" s="20"/>
    </row>
    <row r="8" spans="1:29" ht="21.95" customHeight="1">
      <c r="A8" s="178">
        <v>300319</v>
      </c>
      <c r="B8" s="171" t="s">
        <v>33</v>
      </c>
      <c r="C8" s="232" t="s">
        <v>34</v>
      </c>
      <c r="D8" s="232"/>
      <c r="E8" s="184" t="s">
        <v>37</v>
      </c>
      <c r="F8" s="13"/>
      <c r="G8" s="110"/>
      <c r="H8" s="110"/>
      <c r="I8" s="110"/>
      <c r="J8" s="110"/>
      <c r="K8" s="182">
        <f t="shared" si="0"/>
        <v>0</v>
      </c>
      <c r="L8" s="182">
        <f t="shared" si="1"/>
        <v>0</v>
      </c>
      <c r="M8" s="182">
        <v>633.6</v>
      </c>
      <c r="N8" s="182">
        <f t="shared" si="5"/>
        <v>4.6643109540636036</v>
      </c>
      <c r="O8" s="182"/>
      <c r="P8" s="182">
        <f t="shared" si="2"/>
        <v>0</v>
      </c>
      <c r="Q8" s="182"/>
      <c r="R8" s="19">
        <f t="shared" si="3"/>
        <v>0</v>
      </c>
      <c r="S8" s="182">
        <f t="shared" si="4"/>
        <v>0</v>
      </c>
      <c r="T8" s="20">
        <v>5</v>
      </c>
      <c r="U8" s="20"/>
      <c r="V8" s="179" t="str">
        <f t="array" ref="V8">IF(ISERROR(L8/K8),"",L8/K8)</f>
        <v/>
      </c>
      <c r="W8" s="20"/>
      <c r="X8" s="171"/>
      <c r="Y8" s="171"/>
      <c r="Z8" s="183"/>
      <c r="AA8" s="20"/>
      <c r="AB8" s="20"/>
      <c r="AC8" s="20"/>
    </row>
    <row r="9" spans="1:29" ht="21.95" customHeight="1">
      <c r="A9" s="178">
        <v>300316</v>
      </c>
      <c r="B9" s="171" t="s">
        <v>33</v>
      </c>
      <c r="C9" s="232" t="s">
        <v>34</v>
      </c>
      <c r="D9" s="232"/>
      <c r="E9" s="184" t="s">
        <v>38</v>
      </c>
      <c r="F9" s="13"/>
      <c r="G9" s="110"/>
      <c r="H9" s="110"/>
      <c r="I9" s="110"/>
      <c r="J9" s="110"/>
      <c r="K9" s="182">
        <f t="shared" si="0"/>
        <v>0</v>
      </c>
      <c r="L9" s="182">
        <f t="shared" si="1"/>
        <v>0</v>
      </c>
      <c r="M9" s="182">
        <v>616</v>
      </c>
      <c r="N9" s="182">
        <f t="shared" si="5"/>
        <v>4.534746760895171</v>
      </c>
      <c r="O9" s="182"/>
      <c r="P9" s="182">
        <f t="shared" si="2"/>
        <v>0</v>
      </c>
      <c r="Q9" s="182"/>
      <c r="R9" s="19">
        <f t="shared" si="3"/>
        <v>0</v>
      </c>
      <c r="S9" s="182">
        <f t="shared" si="4"/>
        <v>0</v>
      </c>
      <c r="T9" s="20">
        <v>5</v>
      </c>
      <c r="U9" s="20"/>
      <c r="V9" s="179"/>
      <c r="W9" s="20"/>
      <c r="X9" s="171"/>
      <c r="Y9" s="171"/>
      <c r="Z9" s="183"/>
      <c r="AA9" s="20"/>
      <c r="AB9" s="20"/>
      <c r="AC9" s="20"/>
    </row>
    <row r="10" spans="1:29" ht="21.95" customHeight="1">
      <c r="A10" s="178">
        <v>300317</v>
      </c>
      <c r="B10" s="171" t="s">
        <v>33</v>
      </c>
      <c r="C10" s="219" t="s">
        <v>34</v>
      </c>
      <c r="D10" s="219"/>
      <c r="E10" s="184" t="s">
        <v>39</v>
      </c>
      <c r="F10" s="13"/>
      <c r="G10" s="110"/>
      <c r="H10" s="110"/>
      <c r="I10" s="110"/>
      <c r="J10" s="110"/>
      <c r="K10" s="182">
        <f t="shared" si="0"/>
        <v>0</v>
      </c>
      <c r="L10" s="182">
        <f t="shared" si="1"/>
        <v>0</v>
      </c>
      <c r="M10" s="182">
        <v>616</v>
      </c>
      <c r="N10" s="182">
        <f t="shared" si="5"/>
        <v>4.534746760895171</v>
      </c>
      <c r="O10" s="182"/>
      <c r="P10" s="182">
        <f t="shared" si="2"/>
        <v>0</v>
      </c>
      <c r="Q10" s="182"/>
      <c r="R10" s="19">
        <f t="shared" si="3"/>
        <v>0</v>
      </c>
      <c r="S10" s="182">
        <f t="shared" si="4"/>
        <v>0</v>
      </c>
      <c r="T10" s="20">
        <v>5</v>
      </c>
      <c r="U10" s="20"/>
      <c r="V10" s="179"/>
      <c r="W10" s="20"/>
      <c r="X10" s="171"/>
      <c r="Y10" s="171"/>
      <c r="Z10" s="183"/>
      <c r="AA10" s="20"/>
      <c r="AB10" s="20"/>
      <c r="AC10" s="20"/>
    </row>
    <row r="11" spans="1:29" ht="21.95" customHeight="1">
      <c r="A11" s="178">
        <v>300315</v>
      </c>
      <c r="B11" s="171" t="s">
        <v>33</v>
      </c>
      <c r="C11" s="219" t="s">
        <v>34</v>
      </c>
      <c r="D11" s="219"/>
      <c r="E11" s="184" t="s">
        <v>40</v>
      </c>
      <c r="F11" s="13"/>
      <c r="G11" s="110"/>
      <c r="H11" s="110"/>
      <c r="I11" s="110"/>
      <c r="J11" s="110"/>
      <c r="K11" s="182">
        <f t="shared" si="0"/>
        <v>0</v>
      </c>
      <c r="L11" s="182">
        <f t="shared" si="1"/>
        <v>0</v>
      </c>
      <c r="M11" s="182">
        <v>616</v>
      </c>
      <c r="N11" s="182">
        <f t="shared" si="5"/>
        <v>4.534746760895171</v>
      </c>
      <c r="O11" s="182"/>
      <c r="P11" s="182">
        <f t="shared" si="2"/>
        <v>0</v>
      </c>
      <c r="Q11" s="182"/>
      <c r="R11" s="19">
        <f t="shared" si="3"/>
        <v>0</v>
      </c>
      <c r="S11" s="182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1"/>
      <c r="Y11" s="171"/>
      <c r="Z11" s="183"/>
      <c r="AA11" s="20"/>
      <c r="AB11" s="20"/>
      <c r="AC11" s="20"/>
    </row>
    <row r="12" spans="1:29" ht="21.95" customHeight="1">
      <c r="A12" s="178">
        <v>300314</v>
      </c>
      <c r="B12" s="171" t="s">
        <v>33</v>
      </c>
      <c r="C12" s="219" t="s">
        <v>34</v>
      </c>
      <c r="D12" s="219"/>
      <c r="E12" s="184" t="s">
        <v>41</v>
      </c>
      <c r="F12" s="13"/>
      <c r="G12" s="110"/>
      <c r="H12" s="110"/>
      <c r="I12" s="110"/>
      <c r="J12" s="110"/>
      <c r="K12" s="182">
        <f t="shared" si="0"/>
        <v>0</v>
      </c>
      <c r="L12" s="182">
        <f t="shared" si="1"/>
        <v>0</v>
      </c>
      <c r="M12" s="182">
        <v>616</v>
      </c>
      <c r="N12" s="182">
        <f t="shared" si="5"/>
        <v>4.534746760895171</v>
      </c>
      <c r="O12" s="182"/>
      <c r="P12" s="182">
        <f t="shared" si="2"/>
        <v>0</v>
      </c>
      <c r="Q12" s="182"/>
      <c r="R12" s="19">
        <f t="shared" si="3"/>
        <v>0</v>
      </c>
      <c r="S12" s="182">
        <f t="shared" si="4"/>
        <v>0</v>
      </c>
      <c r="T12" s="20">
        <v>5</v>
      </c>
      <c r="U12" s="20"/>
      <c r="V12" s="179" t="str">
        <f t="array" ref="V12">IF(ISERROR(L12/K12),"",L12/K12)</f>
        <v/>
      </c>
      <c r="W12" s="20"/>
      <c r="X12" s="171"/>
      <c r="Y12" s="171"/>
      <c r="Z12" s="183"/>
      <c r="AA12" s="20"/>
      <c r="AB12" s="20"/>
      <c r="AC12" s="20"/>
    </row>
    <row r="13" spans="1:29" ht="21.95" customHeight="1">
      <c r="A13" s="178">
        <v>300313</v>
      </c>
      <c r="B13" s="171" t="s">
        <v>33</v>
      </c>
      <c r="C13" s="219" t="s">
        <v>34</v>
      </c>
      <c r="D13" s="219"/>
      <c r="E13" s="184" t="s">
        <v>42</v>
      </c>
      <c r="F13" s="13"/>
      <c r="G13" s="110"/>
      <c r="H13" s="110"/>
      <c r="I13" s="110"/>
      <c r="J13" s="110"/>
      <c r="K13" s="182">
        <f t="shared" si="0"/>
        <v>0</v>
      </c>
      <c r="L13" s="182">
        <f t="shared" si="1"/>
        <v>0</v>
      </c>
      <c r="M13" s="182">
        <v>616</v>
      </c>
      <c r="N13" s="182">
        <f t="shared" si="5"/>
        <v>4.534746760895171</v>
      </c>
      <c r="O13" s="182"/>
      <c r="P13" s="182">
        <f t="shared" si="2"/>
        <v>0</v>
      </c>
      <c r="Q13" s="182"/>
      <c r="R13" s="19">
        <f t="shared" si="3"/>
        <v>0</v>
      </c>
      <c r="S13" s="182">
        <f t="shared" si="4"/>
        <v>0</v>
      </c>
      <c r="T13" s="20">
        <v>5</v>
      </c>
      <c r="U13" s="20"/>
      <c r="V13" s="179" t="str">
        <f t="array" ref="V13">IF(ISERROR(L13/K13),"",L13/K13)</f>
        <v/>
      </c>
      <c r="W13" s="20"/>
      <c r="X13" s="171"/>
      <c r="Y13" s="171"/>
      <c r="Z13" s="183"/>
      <c r="AA13" s="20"/>
      <c r="AB13" s="20"/>
      <c r="AC13" s="20"/>
    </row>
    <row r="14" spans="1:29" ht="21.95" customHeight="1">
      <c r="A14" s="178"/>
      <c r="B14" s="171" t="s">
        <v>43</v>
      </c>
      <c r="C14" s="230" t="s">
        <v>305</v>
      </c>
      <c r="D14" s="231"/>
      <c r="E14" s="184" t="s">
        <v>306</v>
      </c>
      <c r="F14" s="13"/>
      <c r="G14" s="110"/>
      <c r="H14" s="110"/>
      <c r="I14" s="110"/>
      <c r="J14" s="110"/>
      <c r="K14" s="182">
        <f t="shared" si="0"/>
        <v>0</v>
      </c>
      <c r="L14" s="182">
        <f t="shared" si="1"/>
        <v>0</v>
      </c>
      <c r="M14" s="182">
        <v>213.4</v>
      </c>
      <c r="N14" s="182">
        <f>+M14*1000/(15.4*10*17*60)*T14</f>
        <v>4.0756302521008401</v>
      </c>
      <c r="O14" s="182"/>
      <c r="P14" s="182">
        <f t="shared" si="2"/>
        <v>0</v>
      </c>
      <c r="Q14" s="182"/>
      <c r="R14" s="19">
        <f t="shared" si="3"/>
        <v>0</v>
      </c>
      <c r="S14" s="182">
        <f t="shared" si="4"/>
        <v>0</v>
      </c>
      <c r="T14" s="20">
        <v>3</v>
      </c>
      <c r="U14" s="20"/>
      <c r="V14" s="179"/>
      <c r="W14" s="20"/>
      <c r="X14" s="171"/>
      <c r="Y14" s="171"/>
      <c r="Z14" s="183"/>
      <c r="AA14" s="20"/>
      <c r="AB14" s="20"/>
      <c r="AC14" s="20"/>
    </row>
    <row r="15" spans="1:29" ht="21.95" customHeight="1">
      <c r="A15" s="178"/>
      <c r="B15" s="171" t="s">
        <v>43</v>
      </c>
      <c r="C15" s="230" t="s">
        <v>305</v>
      </c>
      <c r="D15" s="231"/>
      <c r="E15" s="184" t="s">
        <v>307</v>
      </c>
      <c r="F15" s="13"/>
      <c r="G15" s="110"/>
      <c r="H15" s="110"/>
      <c r="I15" s="110"/>
      <c r="J15" s="110"/>
      <c r="K15" s="182">
        <f t="shared" si="0"/>
        <v>0</v>
      </c>
      <c r="L15" s="182">
        <f t="shared" si="1"/>
        <v>0</v>
      </c>
      <c r="M15" s="182">
        <v>213.4</v>
      </c>
      <c r="N15" s="182">
        <f>+M15*1000/(15.4*10*17*60)*T15</f>
        <v>4.0756302521008401</v>
      </c>
      <c r="O15" s="182"/>
      <c r="P15" s="182">
        <f t="shared" si="2"/>
        <v>0</v>
      </c>
      <c r="Q15" s="182"/>
      <c r="R15" s="19">
        <f t="shared" si="3"/>
        <v>0</v>
      </c>
      <c r="S15" s="182">
        <f t="shared" si="4"/>
        <v>0</v>
      </c>
      <c r="T15" s="20">
        <v>3</v>
      </c>
      <c r="U15" s="20"/>
      <c r="V15" s="179"/>
      <c r="W15" s="20"/>
      <c r="X15" s="171"/>
      <c r="Y15" s="171"/>
      <c r="Z15" s="183"/>
      <c r="AA15" s="20"/>
      <c r="AB15" s="20"/>
      <c r="AC15" s="20"/>
    </row>
    <row r="16" spans="1:29" ht="21" customHeight="1">
      <c r="A16" s="171">
        <v>300202</v>
      </c>
      <c r="B16" s="171" t="s">
        <v>43</v>
      </c>
      <c r="C16" s="230" t="s">
        <v>44</v>
      </c>
      <c r="D16" s="231"/>
      <c r="E16" s="171" t="s">
        <v>35</v>
      </c>
      <c r="F16" s="13"/>
      <c r="G16" s="110"/>
      <c r="H16" s="110"/>
      <c r="I16" s="110"/>
      <c r="J16" s="110"/>
      <c r="K16" s="182">
        <f t="shared" si="0"/>
        <v>0</v>
      </c>
      <c r="L16" s="182">
        <f t="shared" si="1"/>
        <v>0</v>
      </c>
      <c r="M16" s="182">
        <v>212.4</v>
      </c>
      <c r="N16" s="182">
        <f>+M16*1000/(15.4*10*17*60)*T16</f>
        <v>4.0565317035905268</v>
      </c>
      <c r="O16" s="182"/>
      <c r="P16" s="182">
        <f t="shared" si="2"/>
        <v>0</v>
      </c>
      <c r="Q16" s="182"/>
      <c r="R16" s="19">
        <f t="shared" si="3"/>
        <v>0</v>
      </c>
      <c r="S16" s="182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71">
        <v>300203</v>
      </c>
      <c r="B17" s="171" t="s">
        <v>43</v>
      </c>
      <c r="C17" s="230" t="s">
        <v>44</v>
      </c>
      <c r="D17" s="231"/>
      <c r="E17" s="171" t="s">
        <v>41</v>
      </c>
      <c r="F17" s="13"/>
      <c r="G17" s="110"/>
      <c r="H17" s="110"/>
      <c r="I17" s="110"/>
      <c r="J17" s="110"/>
      <c r="K17" s="182">
        <f t="shared" si="0"/>
        <v>0</v>
      </c>
      <c r="L17" s="182">
        <f t="shared" si="1"/>
        <v>0</v>
      </c>
      <c r="M17" s="182">
        <v>212.4</v>
      </c>
      <c r="N17" s="182">
        <f>+M17*1000/(15.4*10*17*60)*T17</f>
        <v>4.0565317035905268</v>
      </c>
      <c r="O17" s="182"/>
      <c r="P17" s="182">
        <f t="shared" si="2"/>
        <v>0</v>
      </c>
      <c r="Q17" s="182"/>
      <c r="R17" s="19">
        <f t="shared" si="3"/>
        <v>0</v>
      </c>
      <c r="S17" s="182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71">
        <v>300204</v>
      </c>
      <c r="B18" s="171" t="s">
        <v>43</v>
      </c>
      <c r="C18" s="230" t="s">
        <v>44</v>
      </c>
      <c r="D18" s="231"/>
      <c r="E18" s="171" t="s">
        <v>37</v>
      </c>
      <c r="F18" s="13"/>
      <c r="G18" s="110"/>
      <c r="H18" s="110"/>
      <c r="I18" s="110"/>
      <c r="J18" s="110"/>
      <c r="K18" s="182">
        <f t="shared" si="0"/>
        <v>0</v>
      </c>
      <c r="L18" s="182">
        <f t="shared" si="1"/>
        <v>0</v>
      </c>
      <c r="M18" s="182">
        <v>212.4</v>
      </c>
      <c r="N18" s="182">
        <f>+M18*1000/(15.4*10*17*60)*T18</f>
        <v>4.0565317035905268</v>
      </c>
      <c r="O18" s="182"/>
      <c r="P18" s="182">
        <f t="shared" si="2"/>
        <v>0</v>
      </c>
      <c r="Q18" s="182"/>
      <c r="R18" s="19">
        <f t="shared" si="3"/>
        <v>0</v>
      </c>
      <c r="S18" s="182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8">
        <v>300269</v>
      </c>
      <c r="B19" s="171" t="s">
        <v>43</v>
      </c>
      <c r="C19" s="219" t="s">
        <v>45</v>
      </c>
      <c r="D19" s="219"/>
      <c r="E19" s="184"/>
      <c r="F19" s="13"/>
      <c r="G19" s="110"/>
      <c r="H19" s="110"/>
      <c r="I19" s="110"/>
      <c r="J19" s="110"/>
      <c r="K19" s="182">
        <f t="shared" si="0"/>
        <v>0</v>
      </c>
      <c r="L19" s="182">
        <f t="shared" si="1"/>
        <v>0</v>
      </c>
      <c r="M19" s="182">
        <v>209.4</v>
      </c>
      <c r="N19" s="182">
        <f>+M19*1000/(19.4*10*16*60)*T19</f>
        <v>3.3730670103092786</v>
      </c>
      <c r="O19" s="182"/>
      <c r="P19" s="182">
        <f t="shared" si="2"/>
        <v>0</v>
      </c>
      <c r="Q19" s="182"/>
      <c r="R19" s="19">
        <f t="shared" si="3"/>
        <v>0</v>
      </c>
      <c r="S19" s="182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8"/>
      <c r="B20" s="171"/>
      <c r="C20" s="219" t="s">
        <v>46</v>
      </c>
      <c r="D20" s="219"/>
      <c r="E20" s="184" t="s">
        <v>47</v>
      </c>
      <c r="F20" s="13"/>
      <c r="G20" s="110"/>
      <c r="H20" s="110"/>
      <c r="I20" s="110"/>
      <c r="J20" s="110"/>
      <c r="K20" s="182">
        <f t="shared" si="0"/>
        <v>0</v>
      </c>
      <c r="L20" s="182">
        <f t="shared" si="1"/>
        <v>0</v>
      </c>
      <c r="M20" s="182">
        <v>209.9</v>
      </c>
      <c r="N20" s="182">
        <f>+M20*1000/(19*10*16*60)*T20</f>
        <v>3.4523026315789478</v>
      </c>
      <c r="O20" s="182"/>
      <c r="P20" s="182">
        <f t="shared" si="2"/>
        <v>0</v>
      </c>
      <c r="Q20" s="182"/>
      <c r="R20" s="19">
        <f t="shared" si="3"/>
        <v>0</v>
      </c>
      <c r="S20" s="182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8">
        <v>300350</v>
      </c>
      <c r="B21" s="171" t="s">
        <v>43</v>
      </c>
      <c r="C21" s="219" t="s">
        <v>48</v>
      </c>
      <c r="D21" s="219"/>
      <c r="E21" s="184" t="s">
        <v>49</v>
      </c>
      <c r="F21" s="13"/>
      <c r="G21" s="110"/>
      <c r="H21" s="110"/>
      <c r="I21" s="110"/>
      <c r="J21" s="110"/>
      <c r="K21" s="182">
        <f t="shared" si="0"/>
        <v>0</v>
      </c>
      <c r="L21" s="182">
        <f t="shared" si="1"/>
        <v>0</v>
      </c>
      <c r="M21" s="182">
        <v>209.9</v>
      </c>
      <c r="N21" s="182">
        <f>+M21*1000/(19*10*16*60)*T21</f>
        <v>2.3015350877192984</v>
      </c>
      <c r="O21" s="182"/>
      <c r="P21" s="182">
        <f t="shared" si="2"/>
        <v>0</v>
      </c>
      <c r="Q21" s="182"/>
      <c r="R21" s="19">
        <f t="shared" si="3"/>
        <v>0</v>
      </c>
      <c r="S21" s="182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8">
        <v>300113</v>
      </c>
      <c r="B22" s="171" t="s">
        <v>43</v>
      </c>
      <c r="C22" s="219" t="s">
        <v>50</v>
      </c>
      <c r="D22" s="219"/>
      <c r="E22" s="184" t="s">
        <v>40</v>
      </c>
      <c r="F22" s="13"/>
      <c r="G22" s="110"/>
      <c r="H22" s="110"/>
      <c r="I22" s="110"/>
      <c r="J22" s="110"/>
      <c r="K22" s="182">
        <f t="shared" si="0"/>
        <v>0</v>
      </c>
      <c r="L22" s="182">
        <f t="shared" si="1"/>
        <v>0</v>
      </c>
      <c r="M22" s="182">
        <v>210</v>
      </c>
      <c r="N22" s="182">
        <f>M22*1000/(19.2*10*17*60)*T22</f>
        <v>2.1446078431372548</v>
      </c>
      <c r="O22" s="182"/>
      <c r="P22" s="182">
        <f t="shared" si="2"/>
        <v>0</v>
      </c>
      <c r="Q22" s="182"/>
      <c r="R22" s="19">
        <f t="shared" si="3"/>
        <v>0</v>
      </c>
      <c r="S22" s="182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8">
        <v>300114</v>
      </c>
      <c r="B23" s="171" t="s">
        <v>43</v>
      </c>
      <c r="C23" s="219" t="s">
        <v>50</v>
      </c>
      <c r="D23" s="219"/>
      <c r="E23" s="184" t="s">
        <v>42</v>
      </c>
      <c r="F23" s="13"/>
      <c r="G23" s="110"/>
      <c r="H23" s="110"/>
      <c r="I23" s="110"/>
      <c r="J23" s="110"/>
      <c r="K23" s="182">
        <f t="shared" si="0"/>
        <v>0</v>
      </c>
      <c r="L23" s="182">
        <f t="shared" si="1"/>
        <v>0</v>
      </c>
      <c r="M23" s="182">
        <v>210</v>
      </c>
      <c r="N23" s="182">
        <f>M23*1000/(19.2*10*17*60)*T23</f>
        <v>2.1446078431372548</v>
      </c>
      <c r="O23" s="182"/>
      <c r="P23" s="182">
        <f t="shared" si="2"/>
        <v>0</v>
      </c>
      <c r="Q23" s="182"/>
      <c r="R23" s="19">
        <f t="shared" si="3"/>
        <v>0</v>
      </c>
      <c r="S23" s="182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8">
        <v>300115</v>
      </c>
      <c r="B24" s="171" t="s">
        <v>43</v>
      </c>
      <c r="C24" s="219" t="s">
        <v>50</v>
      </c>
      <c r="D24" s="219"/>
      <c r="E24" s="184" t="s">
        <v>41</v>
      </c>
      <c r="F24" s="13"/>
      <c r="G24" s="110"/>
      <c r="H24" s="110"/>
      <c r="I24" s="110"/>
      <c r="J24" s="110"/>
      <c r="K24" s="182">
        <f t="shared" si="0"/>
        <v>0</v>
      </c>
      <c r="L24" s="182">
        <f t="shared" si="1"/>
        <v>0</v>
      </c>
      <c r="M24" s="182">
        <v>210</v>
      </c>
      <c r="N24" s="182">
        <f>M24*1000/(19.2*10*17*60)*T24</f>
        <v>2.1446078431372548</v>
      </c>
      <c r="O24" s="182"/>
      <c r="P24" s="182">
        <f t="shared" si="2"/>
        <v>0</v>
      </c>
      <c r="Q24" s="182"/>
      <c r="R24" s="19">
        <f t="shared" si="3"/>
        <v>0</v>
      </c>
      <c r="S24" s="182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8">
        <v>300011</v>
      </c>
      <c r="B25" s="171" t="s">
        <v>43</v>
      </c>
      <c r="C25" s="219" t="s">
        <v>51</v>
      </c>
      <c r="D25" s="219"/>
      <c r="E25" s="184" t="s">
        <v>40</v>
      </c>
      <c r="F25" s="13"/>
      <c r="G25" s="110"/>
      <c r="H25" s="110"/>
      <c r="I25" s="110"/>
      <c r="J25" s="110"/>
      <c r="K25" s="182">
        <f t="shared" si="0"/>
        <v>0</v>
      </c>
      <c r="L25" s="182">
        <f t="shared" si="1"/>
        <v>0</v>
      </c>
      <c r="M25" s="182">
        <v>524.6</v>
      </c>
      <c r="N25" s="182">
        <f>+M25*1000/(25.4*20*15*60)*T25</f>
        <v>3.4422572178477688</v>
      </c>
      <c r="O25" s="182"/>
      <c r="P25" s="182">
        <f t="shared" si="2"/>
        <v>0</v>
      </c>
      <c r="Q25" s="182"/>
      <c r="R25" s="19">
        <f t="shared" si="3"/>
        <v>0</v>
      </c>
      <c r="S25" s="182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8">
        <v>300012</v>
      </c>
      <c r="B26" s="171" t="s">
        <v>43</v>
      </c>
      <c r="C26" s="219" t="s">
        <v>51</v>
      </c>
      <c r="D26" s="219"/>
      <c r="E26" s="184" t="s">
        <v>41</v>
      </c>
      <c r="F26" s="13"/>
      <c r="G26" s="110"/>
      <c r="H26" s="110"/>
      <c r="I26" s="110"/>
      <c r="J26" s="110"/>
      <c r="K26" s="182">
        <f t="shared" si="0"/>
        <v>0</v>
      </c>
      <c r="L26" s="182">
        <f t="shared" si="1"/>
        <v>0</v>
      </c>
      <c r="M26" s="182">
        <v>524.6</v>
      </c>
      <c r="N26" s="182">
        <f>+M26*1000/(25.4*20*15*60)*T26</f>
        <v>3.4422572178477688</v>
      </c>
      <c r="O26" s="182"/>
      <c r="P26" s="182">
        <f t="shared" si="2"/>
        <v>0</v>
      </c>
      <c r="Q26" s="182"/>
      <c r="R26" s="19">
        <f t="shared" si="3"/>
        <v>0</v>
      </c>
      <c r="S26" s="182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8">
        <v>300013</v>
      </c>
      <c r="B27" s="171" t="s">
        <v>43</v>
      </c>
      <c r="C27" s="219" t="s">
        <v>51</v>
      </c>
      <c r="D27" s="219"/>
      <c r="E27" s="184" t="s">
        <v>42</v>
      </c>
      <c r="F27" s="13"/>
      <c r="G27" s="110"/>
      <c r="H27" s="110"/>
      <c r="I27" s="110"/>
      <c r="J27" s="110"/>
      <c r="K27" s="182">
        <f t="shared" si="0"/>
        <v>0</v>
      </c>
      <c r="L27" s="182">
        <f t="shared" si="1"/>
        <v>0</v>
      </c>
      <c r="M27" s="182">
        <v>524.6</v>
      </c>
      <c r="N27" s="182">
        <f>+M27*1000/(25.4*20*15*60)*T27</f>
        <v>3.4422572178477688</v>
      </c>
      <c r="O27" s="182"/>
      <c r="P27" s="182">
        <f t="shared" si="2"/>
        <v>0</v>
      </c>
      <c r="Q27" s="182"/>
      <c r="R27" s="19">
        <f t="shared" si="3"/>
        <v>0</v>
      </c>
      <c r="S27" s="182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8">
        <v>300016</v>
      </c>
      <c r="B28" s="171" t="s">
        <v>43</v>
      </c>
      <c r="C28" s="219" t="s">
        <v>51</v>
      </c>
      <c r="D28" s="219"/>
      <c r="E28" s="184" t="s">
        <v>38</v>
      </c>
      <c r="F28" s="13"/>
      <c r="G28" s="110"/>
      <c r="H28" s="110"/>
      <c r="I28" s="110"/>
      <c r="J28" s="110"/>
      <c r="K28" s="182">
        <f t="shared" si="0"/>
        <v>0</v>
      </c>
      <c r="L28" s="182">
        <f t="shared" si="1"/>
        <v>0</v>
      </c>
      <c r="M28" s="182">
        <v>524.6</v>
      </c>
      <c r="N28" s="182">
        <f>+M28*1000/(25.4*20*15*60)*T28</f>
        <v>3.4422572178477688</v>
      </c>
      <c r="O28" s="182"/>
      <c r="P28" s="182">
        <f t="shared" si="2"/>
        <v>0</v>
      </c>
      <c r="Q28" s="182"/>
      <c r="R28" s="19">
        <f t="shared" si="3"/>
        <v>0</v>
      </c>
      <c r="S28" s="182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4" t="s">
        <v>43</v>
      </c>
      <c r="C29" s="232" t="s">
        <v>51</v>
      </c>
      <c r="D29" s="232"/>
      <c r="E29" s="42" t="s">
        <v>301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8">
        <v>300276</v>
      </c>
      <c r="B30" s="171" t="s">
        <v>43</v>
      </c>
      <c r="C30" s="219" t="s">
        <v>53</v>
      </c>
      <c r="D30" s="219"/>
      <c r="E30" s="184" t="s">
        <v>41</v>
      </c>
      <c r="F30" s="13"/>
      <c r="G30" s="110"/>
      <c r="H30" s="110"/>
      <c r="I30" s="110"/>
      <c r="J30" s="110"/>
      <c r="K30" s="182">
        <f t="shared" si="0"/>
        <v>0</v>
      </c>
      <c r="L30" s="182">
        <f t="shared" si="1"/>
        <v>0</v>
      </c>
      <c r="M30" s="15">
        <v>266</v>
      </c>
      <c r="N30" s="182">
        <f>+M30*1000/(29.8*10*13*60)*T30</f>
        <v>3.4331440371708828</v>
      </c>
      <c r="O30" s="182"/>
      <c r="P30" s="182">
        <f t="shared" si="2"/>
        <v>0</v>
      </c>
      <c r="Q30" s="182"/>
      <c r="R30" s="19">
        <f t="shared" si="3"/>
        <v>0</v>
      </c>
      <c r="S30" s="182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8">
        <v>300277</v>
      </c>
      <c r="B31" s="171" t="s">
        <v>43</v>
      </c>
      <c r="C31" s="219" t="s">
        <v>53</v>
      </c>
      <c r="D31" s="219"/>
      <c r="E31" s="184" t="s">
        <v>39</v>
      </c>
      <c r="F31" s="13"/>
      <c r="G31" s="110"/>
      <c r="H31" s="110"/>
      <c r="I31" s="110"/>
      <c r="J31" s="110"/>
      <c r="K31" s="182">
        <f t="shared" si="0"/>
        <v>0</v>
      </c>
      <c r="L31" s="182">
        <f t="shared" si="1"/>
        <v>0</v>
      </c>
      <c r="M31" s="15">
        <v>266</v>
      </c>
      <c r="N31" s="182">
        <f>+M31*1000/(29.8*10*13*60)*T31</f>
        <v>3.4331440371708828</v>
      </c>
      <c r="O31" s="182"/>
      <c r="P31" s="182">
        <f t="shared" si="2"/>
        <v>0</v>
      </c>
      <c r="Q31" s="182"/>
      <c r="R31" s="19">
        <f t="shared" si="3"/>
        <v>0</v>
      </c>
      <c r="S31" s="182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8">
        <v>300278</v>
      </c>
      <c r="B32" s="171" t="s">
        <v>43</v>
      </c>
      <c r="C32" s="219" t="s">
        <v>53</v>
      </c>
      <c r="D32" s="219"/>
      <c r="E32" s="184" t="s">
        <v>54</v>
      </c>
      <c r="F32" s="13"/>
      <c r="G32" s="110"/>
      <c r="H32" s="110"/>
      <c r="I32" s="110"/>
      <c r="J32" s="110"/>
      <c r="K32" s="182">
        <f t="shared" si="0"/>
        <v>0</v>
      </c>
      <c r="L32" s="182">
        <f t="shared" si="1"/>
        <v>0</v>
      </c>
      <c r="M32" s="15">
        <v>266</v>
      </c>
      <c r="N32" s="182">
        <f>+M32*1000/(29.8*10*13*60)*T32</f>
        <v>3.4331440371708828</v>
      </c>
      <c r="O32" s="182"/>
      <c r="P32" s="182">
        <f t="shared" si="2"/>
        <v>0</v>
      </c>
      <c r="Q32" s="182"/>
      <c r="R32" s="19">
        <f t="shared" si="3"/>
        <v>0</v>
      </c>
      <c r="S32" s="182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8">
        <v>300027</v>
      </c>
      <c r="B33" s="171" t="s">
        <v>55</v>
      </c>
      <c r="C33" s="219" t="s">
        <v>56</v>
      </c>
      <c r="D33" s="219"/>
      <c r="E33" s="184" t="s">
        <v>54</v>
      </c>
      <c r="F33" s="13"/>
      <c r="G33" s="110"/>
      <c r="H33" s="110"/>
      <c r="I33" s="110"/>
      <c r="J33" s="110"/>
      <c r="K33" s="182">
        <f t="shared" si="0"/>
        <v>0</v>
      </c>
      <c r="L33" s="182">
        <f t="shared" si="1"/>
        <v>0</v>
      </c>
      <c r="M33" s="182">
        <v>550.4</v>
      </c>
      <c r="N33" s="182">
        <f>+M33*1000/(31*20*15*60)*T33</f>
        <v>2.9591397849462364</v>
      </c>
      <c r="O33" s="182"/>
      <c r="P33" s="182">
        <f t="shared" si="2"/>
        <v>0</v>
      </c>
      <c r="Q33" s="182"/>
      <c r="R33" s="19">
        <f t="shared" si="3"/>
        <v>0</v>
      </c>
      <c r="S33" s="182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8">
        <v>300028</v>
      </c>
      <c r="B34" s="171" t="s">
        <v>55</v>
      </c>
      <c r="C34" s="219" t="s">
        <v>56</v>
      </c>
      <c r="D34" s="219"/>
      <c r="E34" s="184" t="s">
        <v>35</v>
      </c>
      <c r="F34" s="13"/>
      <c r="G34" s="110"/>
      <c r="H34" s="110"/>
      <c r="I34" s="110"/>
      <c r="J34" s="110"/>
      <c r="K34" s="182">
        <f t="shared" si="0"/>
        <v>0</v>
      </c>
      <c r="L34" s="182">
        <f t="shared" si="1"/>
        <v>0</v>
      </c>
      <c r="M34" s="182">
        <v>550.4</v>
      </c>
      <c r="N34" s="182">
        <f>+M34*1000/(31*20*15*60)*T34</f>
        <v>2.9591397849462364</v>
      </c>
      <c r="O34" s="182"/>
      <c r="P34" s="182">
        <f t="shared" si="2"/>
        <v>0</v>
      </c>
      <c r="Q34" s="182"/>
      <c r="R34" s="19">
        <f t="shared" si="3"/>
        <v>0</v>
      </c>
      <c r="S34" s="182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8">
        <v>300029</v>
      </c>
      <c r="B35" s="171" t="s">
        <v>55</v>
      </c>
      <c r="C35" s="219" t="s">
        <v>56</v>
      </c>
      <c r="D35" s="219"/>
      <c r="E35" s="184" t="s">
        <v>57</v>
      </c>
      <c r="F35" s="13"/>
      <c r="G35" s="110"/>
      <c r="H35" s="110"/>
      <c r="I35" s="110"/>
      <c r="J35" s="110"/>
      <c r="K35" s="182">
        <f t="shared" si="0"/>
        <v>0</v>
      </c>
      <c r="L35" s="182">
        <f t="shared" si="1"/>
        <v>0</v>
      </c>
      <c r="M35" s="182">
        <v>550.4</v>
      </c>
      <c r="N35" s="182">
        <f>+M35*1000/(31*20*15*60)*T35</f>
        <v>2.9591397849462364</v>
      </c>
      <c r="O35" s="182"/>
      <c r="P35" s="182">
        <f t="shared" si="2"/>
        <v>0</v>
      </c>
      <c r="Q35" s="182"/>
      <c r="R35" s="19">
        <f t="shared" si="3"/>
        <v>0</v>
      </c>
      <c r="S35" s="182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8">
        <v>300026</v>
      </c>
      <c r="B36" s="171" t="s">
        <v>55</v>
      </c>
      <c r="C36" s="219" t="s">
        <v>56</v>
      </c>
      <c r="D36" s="219"/>
      <c r="E36" s="184" t="s">
        <v>37</v>
      </c>
      <c r="F36" s="13"/>
      <c r="G36" s="110"/>
      <c r="H36" s="110"/>
      <c r="I36" s="110"/>
      <c r="J36" s="110"/>
      <c r="K36" s="182">
        <f t="shared" si="0"/>
        <v>0</v>
      </c>
      <c r="L36" s="182">
        <f t="shared" si="1"/>
        <v>0</v>
      </c>
      <c r="M36" s="182">
        <v>550.4</v>
      </c>
      <c r="N36" s="182">
        <f>+M36*1000/(31*20*15*60)*T36</f>
        <v>2.9591397849462364</v>
      </c>
      <c r="O36" s="182"/>
      <c r="P36" s="182">
        <f t="shared" si="2"/>
        <v>0</v>
      </c>
      <c r="Q36" s="182"/>
      <c r="R36" s="19">
        <f t="shared" si="3"/>
        <v>0</v>
      </c>
      <c r="S36" s="182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8">
        <v>300032</v>
      </c>
      <c r="B37" s="171">
        <v>3002</v>
      </c>
      <c r="C37" s="219" t="s">
        <v>58</v>
      </c>
      <c r="D37" s="219" t="s">
        <v>59</v>
      </c>
      <c r="E37" s="184" t="s">
        <v>35</v>
      </c>
      <c r="F37" s="13"/>
      <c r="G37" s="110"/>
      <c r="H37" s="110"/>
      <c r="I37" s="110"/>
      <c r="J37" s="110"/>
      <c r="K37" s="182">
        <f t="shared" si="0"/>
        <v>0</v>
      </c>
      <c r="L37" s="182">
        <f t="shared" si="1"/>
        <v>0</v>
      </c>
      <c r="M37" s="182">
        <v>285.7</v>
      </c>
      <c r="N37" s="182">
        <f>+M37*1000/(31*10*13*60)*T37</f>
        <v>7.0893300248138953</v>
      </c>
      <c r="O37" s="182"/>
      <c r="P37" s="182">
        <f t="shared" si="2"/>
        <v>0</v>
      </c>
      <c r="Q37" s="182"/>
      <c r="R37" s="19">
        <f t="shared" si="3"/>
        <v>0</v>
      </c>
      <c r="S37" s="182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8">
        <v>300413</v>
      </c>
      <c r="B38" s="171">
        <v>3002</v>
      </c>
      <c r="C38" s="230" t="s">
        <v>296</v>
      </c>
      <c r="D38" s="231"/>
      <c r="E38" s="184" t="s">
        <v>294</v>
      </c>
      <c r="F38" s="13"/>
      <c r="G38" s="110"/>
      <c r="H38" s="110"/>
      <c r="I38" s="110"/>
      <c r="J38" s="110"/>
      <c r="K38" s="182">
        <f t="shared" si="0"/>
        <v>0</v>
      </c>
      <c r="L38" s="182">
        <f t="shared" si="1"/>
        <v>0</v>
      </c>
      <c r="M38" s="182">
        <v>528.79999999999995</v>
      </c>
      <c r="N38" s="182">
        <f>+M38*1000/(31*10*13*60)*T38</f>
        <v>6.5607940446650126</v>
      </c>
      <c r="O38" s="182"/>
      <c r="P38" s="182">
        <f t="shared" si="2"/>
        <v>0</v>
      </c>
      <c r="Q38" s="182"/>
      <c r="R38" s="19">
        <f t="shared" si="3"/>
        <v>0</v>
      </c>
      <c r="S38" s="182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8">
        <v>300414</v>
      </c>
      <c r="B39" s="171">
        <v>3002</v>
      </c>
      <c r="C39" s="230" t="s">
        <v>296</v>
      </c>
      <c r="D39" s="231"/>
      <c r="E39" s="184" t="s">
        <v>303</v>
      </c>
      <c r="F39" s="13"/>
      <c r="G39" s="110"/>
      <c r="H39" s="110"/>
      <c r="I39" s="110"/>
      <c r="J39" s="110"/>
      <c r="K39" s="182">
        <f t="shared" si="0"/>
        <v>0</v>
      </c>
      <c r="L39" s="182">
        <f t="shared" si="1"/>
        <v>0</v>
      </c>
      <c r="M39" s="182">
        <v>528.79999999999995</v>
      </c>
      <c r="N39" s="182">
        <f>+M39*1000/(31*10*13*60)*T39</f>
        <v>6.5607940446650126</v>
      </c>
      <c r="O39" s="182"/>
      <c r="P39" s="182">
        <f t="shared" si="2"/>
        <v>0</v>
      </c>
      <c r="Q39" s="182"/>
      <c r="R39" s="19">
        <f t="shared" si="3"/>
        <v>0</v>
      </c>
      <c r="S39" s="182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8">
        <v>300415</v>
      </c>
      <c r="B40" s="171">
        <v>3002</v>
      </c>
      <c r="C40" s="230" t="s">
        <v>296</v>
      </c>
      <c r="D40" s="231"/>
      <c r="E40" s="184" t="s">
        <v>295</v>
      </c>
      <c r="F40" s="13"/>
      <c r="G40" s="110"/>
      <c r="H40" s="110"/>
      <c r="I40" s="110"/>
      <c r="J40" s="110"/>
      <c r="K40" s="182">
        <f t="shared" si="0"/>
        <v>0</v>
      </c>
      <c r="L40" s="182">
        <f t="shared" si="1"/>
        <v>0</v>
      </c>
      <c r="M40" s="182">
        <v>528.79999999999995</v>
      </c>
      <c r="N40" s="182">
        <f>+M40*1000/(31*10*13*60)*T40</f>
        <v>6.5607940446650126</v>
      </c>
      <c r="O40" s="182"/>
      <c r="P40" s="182">
        <f t="shared" si="2"/>
        <v>0</v>
      </c>
      <c r="Q40" s="182"/>
      <c r="R40" s="19">
        <f t="shared" si="3"/>
        <v>0</v>
      </c>
      <c r="S40" s="182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8">
        <v>300035</v>
      </c>
      <c r="B41" s="171" t="s">
        <v>60</v>
      </c>
      <c r="C41" s="219" t="s">
        <v>61</v>
      </c>
      <c r="D41" s="219" t="s">
        <v>62</v>
      </c>
      <c r="E41" s="184" t="s">
        <v>35</v>
      </c>
      <c r="F41" s="13"/>
      <c r="G41" s="110"/>
      <c r="H41" s="110"/>
      <c r="I41" s="110"/>
      <c r="J41" s="110"/>
      <c r="K41" s="182">
        <f t="shared" si="0"/>
        <v>0</v>
      </c>
      <c r="L41" s="182">
        <f t="shared" si="1"/>
        <v>0</v>
      </c>
      <c r="M41" s="182">
        <v>366.93</v>
      </c>
      <c r="N41" s="182">
        <f>+M41*1000/(35.8*10*13*60)*T41</f>
        <v>2.6280618822518265</v>
      </c>
      <c r="O41" s="182"/>
      <c r="P41" s="182">
        <f t="shared" si="2"/>
        <v>0</v>
      </c>
      <c r="Q41" s="182"/>
      <c r="R41" s="19">
        <f t="shared" si="3"/>
        <v>0</v>
      </c>
      <c r="S41" s="182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8">
        <v>300036</v>
      </c>
      <c r="B42" s="171" t="s">
        <v>60</v>
      </c>
      <c r="C42" s="219" t="s">
        <v>61</v>
      </c>
      <c r="D42" s="219" t="s">
        <v>62</v>
      </c>
      <c r="E42" s="184" t="s">
        <v>63</v>
      </c>
      <c r="F42" s="13"/>
      <c r="G42" s="110"/>
      <c r="H42" s="110"/>
      <c r="I42" s="110"/>
      <c r="J42" s="110"/>
      <c r="K42" s="182">
        <f t="shared" si="0"/>
        <v>0</v>
      </c>
      <c r="L42" s="182">
        <f t="shared" si="1"/>
        <v>0</v>
      </c>
      <c r="M42" s="182">
        <v>366.93</v>
      </c>
      <c r="N42" s="182">
        <f>+M42*1000/(35.8*10*13*60)*T42</f>
        <v>2.6280618822518265</v>
      </c>
      <c r="O42" s="182"/>
      <c r="P42" s="182">
        <f t="shared" si="2"/>
        <v>0</v>
      </c>
      <c r="Q42" s="182"/>
      <c r="R42" s="19">
        <f t="shared" si="3"/>
        <v>0</v>
      </c>
      <c r="S42" s="182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8">
        <v>300037</v>
      </c>
      <c r="B43" s="171" t="s">
        <v>60</v>
      </c>
      <c r="C43" s="219" t="s">
        <v>61</v>
      </c>
      <c r="D43" s="219" t="s">
        <v>62</v>
      </c>
      <c r="E43" s="184" t="s">
        <v>37</v>
      </c>
      <c r="F43" s="13"/>
      <c r="G43" s="110"/>
      <c r="H43" s="110"/>
      <c r="I43" s="110"/>
      <c r="J43" s="110"/>
      <c r="K43" s="182">
        <f t="shared" si="0"/>
        <v>0</v>
      </c>
      <c r="L43" s="182">
        <f t="shared" si="1"/>
        <v>0</v>
      </c>
      <c r="M43" s="182">
        <v>366.93</v>
      </c>
      <c r="N43" s="182">
        <f>+M43*1000/(35.8*10*13*60)*T43</f>
        <v>2.6280618822518265</v>
      </c>
      <c r="O43" s="182"/>
      <c r="P43" s="182">
        <f t="shared" si="2"/>
        <v>0</v>
      </c>
      <c r="Q43" s="182"/>
      <c r="R43" s="19">
        <f t="shared" si="3"/>
        <v>0</v>
      </c>
      <c r="S43" s="182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8">
        <v>300038</v>
      </c>
      <c r="B44" s="171" t="s">
        <v>60</v>
      </c>
      <c r="C44" s="219" t="s">
        <v>64</v>
      </c>
      <c r="D44" s="219" t="s">
        <v>65</v>
      </c>
      <c r="E44" s="184" t="s">
        <v>35</v>
      </c>
      <c r="F44" s="13"/>
      <c r="G44" s="110"/>
      <c r="H44" s="110"/>
      <c r="I44" s="110"/>
      <c r="J44" s="110"/>
      <c r="K44" s="182">
        <f t="shared" si="0"/>
        <v>0</v>
      </c>
      <c r="L44" s="182">
        <f t="shared" si="1"/>
        <v>0</v>
      </c>
      <c r="M44" s="182">
        <v>301.14</v>
      </c>
      <c r="N44" s="182">
        <f>+M44*1000/(35.8*10*13*60)*T44</f>
        <v>5.3921357971637294</v>
      </c>
      <c r="O44" s="182"/>
      <c r="P44" s="182">
        <f t="shared" si="2"/>
        <v>0</v>
      </c>
      <c r="Q44" s="182"/>
      <c r="R44" s="19">
        <f t="shared" si="3"/>
        <v>0</v>
      </c>
      <c r="S44" s="182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8">
        <v>300039</v>
      </c>
      <c r="B45" s="171" t="s">
        <v>60</v>
      </c>
      <c r="C45" s="219" t="s">
        <v>64</v>
      </c>
      <c r="D45" s="219" t="s">
        <v>65</v>
      </c>
      <c r="E45" s="184" t="s">
        <v>66</v>
      </c>
      <c r="F45" s="13"/>
      <c r="G45" s="110"/>
      <c r="H45" s="110"/>
      <c r="I45" s="110"/>
      <c r="J45" s="110"/>
      <c r="K45" s="182">
        <f t="shared" si="0"/>
        <v>0</v>
      </c>
      <c r="L45" s="182">
        <f t="shared" si="1"/>
        <v>0</v>
      </c>
      <c r="M45" s="182">
        <v>310.39999999999998</v>
      </c>
      <c r="N45" s="182">
        <f>+M45*1000/(35.8*10*13*60)*T45</f>
        <v>5.557942988110586</v>
      </c>
      <c r="O45" s="182"/>
      <c r="P45" s="182">
        <f t="shared" si="2"/>
        <v>0</v>
      </c>
      <c r="Q45" s="182"/>
      <c r="R45" s="19">
        <f t="shared" si="3"/>
        <v>0</v>
      </c>
      <c r="S45" s="182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8">
        <v>300416</v>
      </c>
      <c r="B46" s="171" t="s">
        <v>67</v>
      </c>
      <c r="C46" s="230" t="s">
        <v>68</v>
      </c>
      <c r="D46" s="231"/>
      <c r="E46" s="184" t="s">
        <v>69</v>
      </c>
      <c r="F46" s="183"/>
      <c r="G46" s="14"/>
      <c r="H46" s="14"/>
      <c r="I46" s="14"/>
      <c r="J46" s="14"/>
      <c r="K46" s="182">
        <f t="shared" si="0"/>
        <v>0</v>
      </c>
      <c r="L46" s="182">
        <f t="shared" si="1"/>
        <v>0</v>
      </c>
      <c r="M46" s="182">
        <v>385.6</v>
      </c>
      <c r="N46" s="182">
        <f>+M46*1000/(25.4*20*15*60)*T46</f>
        <v>2.5301837270341205</v>
      </c>
      <c r="O46" s="182"/>
      <c r="P46" s="182">
        <f t="shared" si="2"/>
        <v>0</v>
      </c>
      <c r="Q46" s="182"/>
      <c r="R46" s="19">
        <f t="shared" si="3"/>
        <v>0</v>
      </c>
      <c r="S46" s="182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8">
        <v>300417</v>
      </c>
      <c r="B47" s="171" t="s">
        <v>67</v>
      </c>
      <c r="C47" s="230" t="s">
        <v>68</v>
      </c>
      <c r="D47" s="231"/>
      <c r="E47" s="184" t="s">
        <v>70</v>
      </c>
      <c r="F47" s="183"/>
      <c r="G47" s="14"/>
      <c r="H47" s="14"/>
      <c r="I47" s="14"/>
      <c r="J47" s="14"/>
      <c r="K47" s="182">
        <f t="shared" si="0"/>
        <v>0</v>
      </c>
      <c r="L47" s="182">
        <f t="shared" si="1"/>
        <v>0</v>
      </c>
      <c r="M47" s="182">
        <v>385.6</v>
      </c>
      <c r="N47" s="182">
        <f>+M47*1000/(25.4*20*15*60)*T47</f>
        <v>2.5301837270341205</v>
      </c>
      <c r="O47" s="182"/>
      <c r="P47" s="182">
        <f t="shared" si="2"/>
        <v>0</v>
      </c>
      <c r="Q47" s="182"/>
      <c r="R47" s="19">
        <f t="shared" si="3"/>
        <v>0</v>
      </c>
      <c r="S47" s="182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8">
        <v>300418</v>
      </c>
      <c r="B48" s="171" t="s">
        <v>67</v>
      </c>
      <c r="C48" s="230" t="s">
        <v>68</v>
      </c>
      <c r="D48" s="231"/>
      <c r="E48" s="184" t="s">
        <v>71</v>
      </c>
      <c r="F48" s="183"/>
      <c r="G48" s="14"/>
      <c r="H48" s="14"/>
      <c r="I48" s="14"/>
      <c r="J48" s="14"/>
      <c r="K48" s="182">
        <f t="shared" si="0"/>
        <v>0</v>
      </c>
      <c r="L48" s="182">
        <f t="shared" si="1"/>
        <v>0</v>
      </c>
      <c r="M48" s="182">
        <v>385.6</v>
      </c>
      <c r="N48" s="182">
        <f>+M48*1000/(25.4*20*15*60)*T48</f>
        <v>2.5301837270341205</v>
      </c>
      <c r="O48" s="182"/>
      <c r="P48" s="182">
        <f t="shared" si="2"/>
        <v>0</v>
      </c>
      <c r="Q48" s="182"/>
      <c r="R48" s="19">
        <f t="shared" si="3"/>
        <v>0</v>
      </c>
      <c r="S48" s="182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8">
        <v>300419</v>
      </c>
      <c r="B49" s="171" t="s">
        <v>67</v>
      </c>
      <c r="C49" s="230" t="s">
        <v>68</v>
      </c>
      <c r="D49" s="231"/>
      <c r="E49" s="184" t="s">
        <v>72</v>
      </c>
      <c r="F49" s="183"/>
      <c r="G49" s="14"/>
      <c r="H49" s="14"/>
      <c r="I49" s="14"/>
      <c r="J49" s="14"/>
      <c r="K49" s="182">
        <f t="shared" si="0"/>
        <v>0</v>
      </c>
      <c r="L49" s="182">
        <f t="shared" si="1"/>
        <v>0</v>
      </c>
      <c r="M49" s="182">
        <v>385.6</v>
      </c>
      <c r="N49" s="182">
        <f>+M49*1000/(25.4*20*15*60)*T49</f>
        <v>2.5301837270341205</v>
      </c>
      <c r="O49" s="182"/>
      <c r="P49" s="182">
        <f t="shared" si="2"/>
        <v>0</v>
      </c>
      <c r="Q49" s="182"/>
      <c r="R49" s="19">
        <f t="shared" si="3"/>
        <v>0</v>
      </c>
      <c r="S49" s="182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8">
        <v>300260</v>
      </c>
      <c r="B50" s="171" t="s">
        <v>67</v>
      </c>
      <c r="C50" s="219" t="s">
        <v>73</v>
      </c>
      <c r="D50" s="219"/>
      <c r="E50" s="184" t="s">
        <v>74</v>
      </c>
      <c r="F50" s="13"/>
      <c r="G50" s="110"/>
      <c r="H50" s="110"/>
      <c r="I50" s="110"/>
      <c r="J50" s="110"/>
      <c r="K50" s="182">
        <f t="shared" si="0"/>
        <v>0</v>
      </c>
      <c r="L50" s="182">
        <f t="shared" si="1"/>
        <v>0</v>
      </c>
      <c r="M50" s="182">
        <v>434.33</v>
      </c>
      <c r="N50" s="182">
        <f>+M50*1000/(42.7*10*15*60)*T50</f>
        <v>2.2603695029924538</v>
      </c>
      <c r="O50" s="182"/>
      <c r="P50" s="182">
        <f t="shared" si="2"/>
        <v>0</v>
      </c>
      <c r="Q50" s="182"/>
      <c r="R50" s="19">
        <f t="shared" si="3"/>
        <v>0</v>
      </c>
      <c r="S50" s="182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8">
        <v>300261</v>
      </c>
      <c r="B51" s="171" t="s">
        <v>67</v>
      </c>
      <c r="C51" s="219" t="s">
        <v>73</v>
      </c>
      <c r="D51" s="219"/>
      <c r="E51" s="184" t="s">
        <v>41</v>
      </c>
      <c r="F51" s="13"/>
      <c r="G51" s="110"/>
      <c r="H51" s="110"/>
      <c r="I51" s="110"/>
      <c r="J51" s="110"/>
      <c r="K51" s="182">
        <f t="shared" si="0"/>
        <v>0</v>
      </c>
      <c r="L51" s="182">
        <f t="shared" si="1"/>
        <v>0</v>
      </c>
      <c r="M51" s="182">
        <v>434.33</v>
      </c>
      <c r="N51" s="182">
        <f>+M51*1000/(42.7*10*15*60)*T51</f>
        <v>2.2603695029924538</v>
      </c>
      <c r="O51" s="182"/>
      <c r="P51" s="182">
        <f t="shared" si="2"/>
        <v>0</v>
      </c>
      <c r="Q51" s="182"/>
      <c r="R51" s="19">
        <f t="shared" si="3"/>
        <v>0</v>
      </c>
      <c r="S51" s="182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8">
        <v>300262</v>
      </c>
      <c r="B52" s="171" t="s">
        <v>67</v>
      </c>
      <c r="C52" s="219" t="s">
        <v>73</v>
      </c>
      <c r="D52" s="219"/>
      <c r="E52" s="184" t="s">
        <v>39</v>
      </c>
      <c r="F52" s="13"/>
      <c r="G52" s="110"/>
      <c r="H52" s="110"/>
      <c r="I52" s="110"/>
      <c r="J52" s="110"/>
      <c r="K52" s="182">
        <f t="shared" si="0"/>
        <v>0</v>
      </c>
      <c r="L52" s="182">
        <f t="shared" si="1"/>
        <v>0</v>
      </c>
      <c r="M52" s="182">
        <v>434.33</v>
      </c>
      <c r="N52" s="182">
        <f>+M52*1000/(42.7*10*15*60)*T52</f>
        <v>2.2603695029924538</v>
      </c>
      <c r="O52" s="182"/>
      <c r="P52" s="182">
        <f t="shared" si="2"/>
        <v>0</v>
      </c>
      <c r="Q52" s="182"/>
      <c r="R52" s="19">
        <f t="shared" si="3"/>
        <v>0</v>
      </c>
      <c r="S52" s="182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8">
        <v>300263</v>
      </c>
      <c r="B53" s="171" t="s">
        <v>67</v>
      </c>
      <c r="C53" s="219" t="s">
        <v>73</v>
      </c>
      <c r="D53" s="219"/>
      <c r="E53" s="184" t="s">
        <v>54</v>
      </c>
      <c r="F53" s="13"/>
      <c r="G53" s="110"/>
      <c r="H53" s="110"/>
      <c r="I53" s="110"/>
      <c r="J53" s="110"/>
      <c r="K53" s="182">
        <f t="shared" si="0"/>
        <v>0</v>
      </c>
      <c r="L53" s="182">
        <f t="shared" si="1"/>
        <v>0</v>
      </c>
      <c r="M53" s="182">
        <v>434.33</v>
      </c>
      <c r="N53" s="182">
        <f>+M53*1000/(42.7*10*15*60)*T53</f>
        <v>2.2603695029924538</v>
      </c>
      <c r="O53" s="182"/>
      <c r="P53" s="182">
        <f t="shared" si="2"/>
        <v>0</v>
      </c>
      <c r="Q53" s="182"/>
      <c r="R53" s="19">
        <f t="shared" si="3"/>
        <v>0</v>
      </c>
      <c r="S53" s="182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8">
        <v>300051</v>
      </c>
      <c r="B54" s="171" t="s">
        <v>67</v>
      </c>
      <c r="C54" s="219" t="s">
        <v>75</v>
      </c>
      <c r="D54" s="219" t="s">
        <v>76</v>
      </c>
      <c r="E54" s="184" t="s">
        <v>40</v>
      </c>
      <c r="F54" s="13"/>
      <c r="G54" s="110"/>
      <c r="H54" s="110"/>
      <c r="I54" s="110"/>
      <c r="J54" s="110"/>
      <c r="K54" s="182">
        <f t="shared" si="0"/>
        <v>0</v>
      </c>
      <c r="L54" s="182">
        <f t="shared" si="1"/>
        <v>0</v>
      </c>
      <c r="M54" s="182">
        <v>545.9</v>
      </c>
      <c r="N54" s="182">
        <f>+M54*1000/(41.5*10*16*60)*T54</f>
        <v>2.7404618473895583</v>
      </c>
      <c r="O54" s="182"/>
      <c r="P54" s="182">
        <f t="shared" si="2"/>
        <v>0</v>
      </c>
      <c r="Q54" s="182"/>
      <c r="R54" s="19">
        <f t="shared" si="3"/>
        <v>0</v>
      </c>
      <c r="S54" s="182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8">
        <v>300052</v>
      </c>
      <c r="B55" s="171" t="s">
        <v>67</v>
      </c>
      <c r="C55" s="219" t="s">
        <v>75</v>
      </c>
      <c r="D55" s="219" t="s">
        <v>76</v>
      </c>
      <c r="E55" s="184" t="s">
        <v>39</v>
      </c>
      <c r="F55" s="13"/>
      <c r="G55" s="110"/>
      <c r="H55" s="110"/>
      <c r="I55" s="110"/>
      <c r="J55" s="110"/>
      <c r="K55" s="182">
        <f t="shared" si="0"/>
        <v>0</v>
      </c>
      <c r="L55" s="182">
        <f t="shared" si="1"/>
        <v>0</v>
      </c>
      <c r="M55" s="182">
        <v>545.9</v>
      </c>
      <c r="N55" s="182">
        <f>+M55*1000/(41.5*10*16*60)*T55</f>
        <v>2.7404618473895583</v>
      </c>
      <c r="O55" s="182"/>
      <c r="P55" s="182">
        <f t="shared" si="2"/>
        <v>0</v>
      </c>
      <c r="Q55" s="182"/>
      <c r="R55" s="19">
        <f t="shared" si="3"/>
        <v>0</v>
      </c>
      <c r="S55" s="182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8">
        <v>300054</v>
      </c>
      <c r="B56" s="171" t="s">
        <v>67</v>
      </c>
      <c r="C56" s="219" t="s">
        <v>75</v>
      </c>
      <c r="D56" s="219" t="s">
        <v>76</v>
      </c>
      <c r="E56" s="184" t="s">
        <v>38</v>
      </c>
      <c r="F56" s="13"/>
      <c r="G56" s="110"/>
      <c r="H56" s="110"/>
      <c r="I56" s="110"/>
      <c r="J56" s="110"/>
      <c r="K56" s="182">
        <f t="shared" si="0"/>
        <v>0</v>
      </c>
      <c r="L56" s="182">
        <f t="shared" si="1"/>
        <v>0</v>
      </c>
      <c r="M56" s="182">
        <v>545.9</v>
      </c>
      <c r="N56" s="182">
        <f>+M56*1000/(41.5*10*16*60)*T56</f>
        <v>2.7404618473895583</v>
      </c>
      <c r="O56" s="182"/>
      <c r="P56" s="182">
        <f t="shared" si="2"/>
        <v>0</v>
      </c>
      <c r="Q56" s="182"/>
      <c r="R56" s="19">
        <f t="shared" si="3"/>
        <v>0</v>
      </c>
      <c r="S56" s="182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4" t="s">
        <v>67</v>
      </c>
      <c r="C57" s="232" t="s">
        <v>75</v>
      </c>
      <c r="D57" s="232" t="s">
        <v>76</v>
      </c>
      <c r="E57" s="42" t="s">
        <v>301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8">
        <v>300050</v>
      </c>
      <c r="B58" s="171" t="s">
        <v>67</v>
      </c>
      <c r="C58" s="219" t="s">
        <v>77</v>
      </c>
      <c r="D58" s="219" t="s">
        <v>78</v>
      </c>
      <c r="E58" s="184" t="s">
        <v>79</v>
      </c>
      <c r="F58" s="13"/>
      <c r="G58" s="110"/>
      <c r="H58" s="110"/>
      <c r="I58" s="110"/>
      <c r="J58" s="110"/>
      <c r="K58" s="182">
        <f t="shared" si="0"/>
        <v>0</v>
      </c>
      <c r="L58" s="182">
        <f t="shared" si="1"/>
        <v>0</v>
      </c>
      <c r="M58" s="182">
        <v>427.5</v>
      </c>
      <c r="N58" s="182">
        <f>+M58*1000/(45*10*14*60)*T58</f>
        <v>5.6547619047619051</v>
      </c>
      <c r="O58" s="182"/>
      <c r="P58" s="182">
        <f t="shared" si="2"/>
        <v>0</v>
      </c>
      <c r="Q58" s="182"/>
      <c r="R58" s="19">
        <f t="shared" si="3"/>
        <v>0</v>
      </c>
      <c r="S58" s="182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8">
        <v>300045</v>
      </c>
      <c r="B59" s="171" t="s">
        <v>67</v>
      </c>
      <c r="C59" s="219" t="s">
        <v>77</v>
      </c>
      <c r="D59" s="219" t="s">
        <v>78</v>
      </c>
      <c r="E59" s="184" t="s">
        <v>35</v>
      </c>
      <c r="F59" s="13"/>
      <c r="G59" s="110"/>
      <c r="H59" s="110"/>
      <c r="I59" s="110"/>
      <c r="J59" s="110"/>
      <c r="K59" s="182">
        <f t="shared" si="0"/>
        <v>0</v>
      </c>
      <c r="L59" s="182">
        <f t="shared" si="1"/>
        <v>0</v>
      </c>
      <c r="M59" s="15">
        <v>406.6</v>
      </c>
      <c r="N59" s="182">
        <f>+M59*1000/(45*10*13*60)*T59</f>
        <v>5.7920227920227916</v>
      </c>
      <c r="O59" s="182"/>
      <c r="P59" s="182">
        <f t="shared" si="2"/>
        <v>0</v>
      </c>
      <c r="Q59" s="182"/>
      <c r="R59" s="19">
        <f t="shared" si="3"/>
        <v>0</v>
      </c>
      <c r="S59" s="182">
        <f t="shared" si="4"/>
        <v>0</v>
      </c>
      <c r="T59" s="20">
        <v>5</v>
      </c>
      <c r="U59" s="20"/>
      <c r="V59" s="17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8">
        <v>300422</v>
      </c>
      <c r="B60" s="171" t="s">
        <v>67</v>
      </c>
      <c r="C60" s="230" t="s">
        <v>293</v>
      </c>
      <c r="D60" s="231"/>
      <c r="E60" s="184" t="s">
        <v>54</v>
      </c>
      <c r="F60" s="13"/>
      <c r="G60" s="110"/>
      <c r="H60" s="110"/>
      <c r="I60" s="110"/>
      <c r="J60" s="110"/>
      <c r="K60" s="182">
        <f t="shared" si="0"/>
        <v>0</v>
      </c>
      <c r="L60" s="182">
        <f t="shared" si="1"/>
        <v>0</v>
      </c>
      <c r="M60" s="15">
        <v>429.8</v>
      </c>
      <c r="N60" s="182">
        <f>+M60*1000/(45*10*13*60)*T60</f>
        <v>3.6735042735042738</v>
      </c>
      <c r="O60" s="182"/>
      <c r="P60" s="182">
        <f t="shared" si="2"/>
        <v>0</v>
      </c>
      <c r="Q60" s="182"/>
      <c r="R60" s="19">
        <f t="shared" si="3"/>
        <v>0</v>
      </c>
      <c r="S60" s="182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8">
        <v>300421</v>
      </c>
      <c r="B61" s="171" t="s">
        <v>67</v>
      </c>
      <c r="C61" s="230" t="s">
        <v>293</v>
      </c>
      <c r="D61" s="231"/>
      <c r="E61" s="184" t="s">
        <v>80</v>
      </c>
      <c r="F61" s="13"/>
      <c r="G61" s="110"/>
      <c r="H61" s="110"/>
      <c r="I61" s="110"/>
      <c r="J61" s="110"/>
      <c r="K61" s="182">
        <f t="shared" si="0"/>
        <v>0</v>
      </c>
      <c r="L61" s="182">
        <f t="shared" si="1"/>
        <v>0</v>
      </c>
      <c r="M61" s="15">
        <v>429.8</v>
      </c>
      <c r="N61" s="182">
        <f>+M61*1000/(45*10*13*60)*T61</f>
        <v>3.6735042735042738</v>
      </c>
      <c r="O61" s="182"/>
      <c r="P61" s="182">
        <f t="shared" si="2"/>
        <v>0</v>
      </c>
      <c r="Q61" s="182"/>
      <c r="R61" s="19">
        <f t="shared" si="3"/>
        <v>0</v>
      </c>
      <c r="S61" s="182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8">
        <v>300149</v>
      </c>
      <c r="B62" s="171" t="s">
        <v>67</v>
      </c>
      <c r="C62" s="219" t="s">
        <v>81</v>
      </c>
      <c r="D62" s="219" t="s">
        <v>82</v>
      </c>
      <c r="E62" s="184" t="s">
        <v>80</v>
      </c>
      <c r="F62" s="13"/>
      <c r="G62" s="110"/>
      <c r="H62" s="110"/>
      <c r="I62" s="110"/>
      <c r="J62" s="110"/>
      <c r="K62" s="182">
        <f t="shared" si="0"/>
        <v>0</v>
      </c>
      <c r="L62" s="182">
        <f t="shared" si="1"/>
        <v>0</v>
      </c>
      <c r="M62" s="182">
        <v>589.1</v>
      </c>
      <c r="N62" s="182">
        <f>+M62*1000/(67.1*10*13*60)*T62</f>
        <v>3.3767052619511633</v>
      </c>
      <c r="O62" s="182"/>
      <c r="P62" s="182">
        <f t="shared" si="2"/>
        <v>0</v>
      </c>
      <c r="Q62" s="182"/>
      <c r="R62" s="19">
        <f t="shared" si="3"/>
        <v>0</v>
      </c>
      <c r="S62" s="182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8">
        <v>300150</v>
      </c>
      <c r="B63" s="171" t="s">
        <v>67</v>
      </c>
      <c r="C63" s="219" t="s">
        <v>81</v>
      </c>
      <c r="D63" s="219" t="s">
        <v>82</v>
      </c>
      <c r="E63" s="184" t="s">
        <v>54</v>
      </c>
      <c r="F63" s="13"/>
      <c r="G63" s="110"/>
      <c r="H63" s="110"/>
      <c r="I63" s="110"/>
      <c r="J63" s="110"/>
      <c r="K63" s="182">
        <f t="shared" si="0"/>
        <v>0</v>
      </c>
      <c r="L63" s="182">
        <f t="shared" si="1"/>
        <v>0</v>
      </c>
      <c r="M63" s="182">
        <v>589.1</v>
      </c>
      <c r="N63" s="182">
        <f>+M63*1000/(67.1*10*13*60)*T63</f>
        <v>3.3767052619511633</v>
      </c>
      <c r="O63" s="182"/>
      <c r="P63" s="182">
        <f t="shared" si="2"/>
        <v>0</v>
      </c>
      <c r="Q63" s="182"/>
      <c r="R63" s="19">
        <f t="shared" si="3"/>
        <v>0</v>
      </c>
      <c r="S63" s="182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8">
        <v>300330</v>
      </c>
      <c r="B64" s="171" t="s">
        <v>67</v>
      </c>
      <c r="C64" s="230" t="s">
        <v>83</v>
      </c>
      <c r="D64" s="231"/>
      <c r="E64" s="184" t="s">
        <v>84</v>
      </c>
      <c r="F64" s="13"/>
      <c r="G64" s="110"/>
      <c r="H64" s="110"/>
      <c r="I64" s="110"/>
      <c r="J64" s="110"/>
      <c r="K64" s="182">
        <f t="shared" si="0"/>
        <v>0</v>
      </c>
      <c r="L64" s="182">
        <f t="shared" si="1"/>
        <v>0</v>
      </c>
      <c r="M64" s="182">
        <v>416.3</v>
      </c>
      <c r="N64" s="182">
        <f t="shared" ref="N64:N70" si="6">+M64*1000/(45*10*18*60)*T64</f>
        <v>1.7131687242798355</v>
      </c>
      <c r="O64" s="182"/>
      <c r="P64" s="182">
        <f t="shared" si="2"/>
        <v>0</v>
      </c>
      <c r="Q64" s="182"/>
      <c r="R64" s="19">
        <f t="shared" si="3"/>
        <v>0</v>
      </c>
      <c r="S64" s="182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8">
        <v>300331</v>
      </c>
      <c r="B65" s="171" t="s">
        <v>67</v>
      </c>
      <c r="C65" s="230" t="s">
        <v>83</v>
      </c>
      <c r="D65" s="231"/>
      <c r="E65" s="184" t="s">
        <v>49</v>
      </c>
      <c r="F65" s="13"/>
      <c r="G65" s="110"/>
      <c r="H65" s="110"/>
      <c r="I65" s="110"/>
      <c r="J65" s="110"/>
      <c r="K65" s="182">
        <f t="shared" si="0"/>
        <v>0</v>
      </c>
      <c r="L65" s="182">
        <f t="shared" si="1"/>
        <v>0</v>
      </c>
      <c r="M65" s="182">
        <v>416.3</v>
      </c>
      <c r="N65" s="182">
        <f t="shared" si="6"/>
        <v>1.7131687242798355</v>
      </c>
      <c r="O65" s="182"/>
      <c r="P65" s="182">
        <f t="shared" si="2"/>
        <v>0</v>
      </c>
      <c r="Q65" s="182"/>
      <c r="R65" s="19">
        <f t="shared" si="3"/>
        <v>0</v>
      </c>
      <c r="S65" s="182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8">
        <v>300332</v>
      </c>
      <c r="B66" s="171" t="s">
        <v>67</v>
      </c>
      <c r="C66" s="230" t="s">
        <v>83</v>
      </c>
      <c r="D66" s="231"/>
      <c r="E66" s="184" t="s">
        <v>85</v>
      </c>
      <c r="F66" s="13"/>
      <c r="G66" s="110"/>
      <c r="H66" s="110"/>
      <c r="I66" s="110"/>
      <c r="J66" s="110"/>
      <c r="K66" s="182">
        <f t="shared" si="0"/>
        <v>0</v>
      </c>
      <c r="L66" s="182">
        <f t="shared" si="1"/>
        <v>0</v>
      </c>
      <c r="M66" s="182">
        <v>416.3</v>
      </c>
      <c r="N66" s="182">
        <f t="shared" si="6"/>
        <v>1.7131687242798355</v>
      </c>
      <c r="O66" s="182"/>
      <c r="P66" s="182">
        <f t="shared" si="2"/>
        <v>0</v>
      </c>
      <c r="Q66" s="182"/>
      <c r="R66" s="19">
        <f t="shared" si="3"/>
        <v>0</v>
      </c>
      <c r="S66" s="182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8">
        <v>300333</v>
      </c>
      <c r="B67" s="171" t="s">
        <v>67</v>
      </c>
      <c r="C67" s="230" t="s">
        <v>86</v>
      </c>
      <c r="D67" s="231"/>
      <c r="E67" s="184" t="s">
        <v>84</v>
      </c>
      <c r="F67" s="13"/>
      <c r="G67" s="110"/>
      <c r="H67" s="110"/>
      <c r="I67" s="110"/>
      <c r="J67" s="110"/>
      <c r="K67" s="182">
        <f t="shared" si="0"/>
        <v>0</v>
      </c>
      <c r="L67" s="182">
        <f t="shared" si="1"/>
        <v>0</v>
      </c>
      <c r="M67" s="182">
        <v>416.3</v>
      </c>
      <c r="N67" s="182">
        <f t="shared" si="6"/>
        <v>1.7131687242798355</v>
      </c>
      <c r="O67" s="182"/>
      <c r="P67" s="182">
        <f t="shared" si="2"/>
        <v>0</v>
      </c>
      <c r="Q67" s="182"/>
      <c r="R67" s="19">
        <f t="shared" si="3"/>
        <v>0</v>
      </c>
      <c r="S67" s="182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8">
        <v>300334</v>
      </c>
      <c r="B68" s="171" t="s">
        <v>67</v>
      </c>
      <c r="C68" s="230" t="s">
        <v>86</v>
      </c>
      <c r="D68" s="231"/>
      <c r="E68" s="184" t="s">
        <v>85</v>
      </c>
      <c r="F68" s="13"/>
      <c r="G68" s="110"/>
      <c r="H68" s="110"/>
      <c r="I68" s="110"/>
      <c r="J68" s="110"/>
      <c r="K68" s="182">
        <f t="shared" si="0"/>
        <v>0</v>
      </c>
      <c r="L68" s="182">
        <f t="shared" si="1"/>
        <v>0</v>
      </c>
      <c r="M68" s="182">
        <v>416.3</v>
      </c>
      <c r="N68" s="182">
        <f t="shared" si="6"/>
        <v>1.7131687242798355</v>
      </c>
      <c r="O68" s="182"/>
      <c r="P68" s="182">
        <f t="shared" si="2"/>
        <v>0</v>
      </c>
      <c r="Q68" s="182"/>
      <c r="R68" s="19">
        <f t="shared" si="3"/>
        <v>0</v>
      </c>
      <c r="S68" s="182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8">
        <v>300335</v>
      </c>
      <c r="B69" s="171" t="s">
        <v>67</v>
      </c>
      <c r="C69" s="230" t="s">
        <v>86</v>
      </c>
      <c r="D69" s="231"/>
      <c r="E69" s="184" t="s">
        <v>49</v>
      </c>
      <c r="F69" s="13"/>
      <c r="G69" s="110"/>
      <c r="H69" s="110"/>
      <c r="I69" s="110"/>
      <c r="J69" s="110"/>
      <c r="K69" s="182">
        <f t="shared" si="0"/>
        <v>0</v>
      </c>
      <c r="L69" s="182">
        <f t="shared" si="1"/>
        <v>0</v>
      </c>
      <c r="M69" s="182">
        <v>416.3</v>
      </c>
      <c r="N69" s="182">
        <f t="shared" si="6"/>
        <v>1.7131687242798355</v>
      </c>
      <c r="O69" s="182"/>
      <c r="P69" s="182">
        <f t="shared" si="2"/>
        <v>0</v>
      </c>
      <c r="Q69" s="182"/>
      <c r="R69" s="19">
        <f t="shared" si="3"/>
        <v>0</v>
      </c>
      <c r="S69" s="182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8">
        <v>300291</v>
      </c>
      <c r="B70" s="171" t="s">
        <v>87</v>
      </c>
      <c r="C70" s="219" t="s">
        <v>88</v>
      </c>
      <c r="D70" s="219" t="s">
        <v>89</v>
      </c>
      <c r="E70" s="184" t="s">
        <v>42</v>
      </c>
      <c r="F70" s="13"/>
      <c r="G70" s="110"/>
      <c r="H70" s="110"/>
      <c r="I70" s="110"/>
      <c r="J70" s="110"/>
      <c r="K70" s="182">
        <f t="shared" si="0"/>
        <v>0</v>
      </c>
      <c r="L70" s="182">
        <f t="shared" si="1"/>
        <v>0</v>
      </c>
      <c r="M70" s="182">
        <v>517.79999999999995</v>
      </c>
      <c r="N70" s="182">
        <f t="shared" si="6"/>
        <v>4.261728395061728</v>
      </c>
      <c r="O70" s="182"/>
      <c r="P70" s="182">
        <f t="shared" si="2"/>
        <v>0</v>
      </c>
      <c r="Q70" s="182"/>
      <c r="R70" s="19">
        <f t="shared" si="3"/>
        <v>0</v>
      </c>
      <c r="S70" s="182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8">
        <v>300292</v>
      </c>
      <c r="B71" s="171" t="s">
        <v>87</v>
      </c>
      <c r="C71" s="219" t="s">
        <v>88</v>
      </c>
      <c r="D71" s="219" t="s">
        <v>89</v>
      </c>
      <c r="E71" s="184" t="s">
        <v>41</v>
      </c>
      <c r="F71" s="13"/>
      <c r="G71" s="110"/>
      <c r="H71" s="110"/>
      <c r="I71" s="110"/>
      <c r="J71" s="110"/>
      <c r="K71" s="182">
        <f t="shared" si="0"/>
        <v>0</v>
      </c>
      <c r="L71" s="182">
        <f t="shared" si="1"/>
        <v>0</v>
      </c>
      <c r="M71" s="182">
        <v>517.79999999999995</v>
      </c>
      <c r="N71" s="182">
        <f>+M71*1000/(66.8*1*110*60)*T71</f>
        <v>4.6978769733260748</v>
      </c>
      <c r="O71" s="182"/>
      <c r="P71" s="182">
        <f t="shared" si="2"/>
        <v>0</v>
      </c>
      <c r="Q71" s="182"/>
      <c r="R71" s="19">
        <f t="shared" si="3"/>
        <v>0</v>
      </c>
      <c r="S71" s="182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8">
        <v>300293</v>
      </c>
      <c r="B72" s="171" t="s">
        <v>87</v>
      </c>
      <c r="C72" s="219" t="s">
        <v>88</v>
      </c>
      <c r="D72" s="219" t="s">
        <v>89</v>
      </c>
      <c r="E72" s="184" t="s">
        <v>57</v>
      </c>
      <c r="F72" s="13"/>
      <c r="G72" s="110"/>
      <c r="H72" s="110"/>
      <c r="I72" s="110"/>
      <c r="J72" s="110"/>
      <c r="K72" s="182">
        <f t="shared" si="0"/>
        <v>0</v>
      </c>
      <c r="L72" s="182">
        <f t="shared" si="1"/>
        <v>0</v>
      </c>
      <c r="M72" s="182">
        <v>517.9</v>
      </c>
      <c r="N72" s="182">
        <f>+M72*1000/(67.1*1*110*60)*T72</f>
        <v>4.6777762724111467</v>
      </c>
      <c r="O72" s="182"/>
      <c r="P72" s="182">
        <f t="shared" si="2"/>
        <v>0</v>
      </c>
      <c r="Q72" s="182"/>
      <c r="R72" s="19">
        <f t="shared" si="3"/>
        <v>0</v>
      </c>
      <c r="S72" s="182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8">
        <v>300290</v>
      </c>
      <c r="B73" s="171" t="s">
        <v>87</v>
      </c>
      <c r="C73" s="219" t="s">
        <v>88</v>
      </c>
      <c r="D73" s="219" t="s">
        <v>89</v>
      </c>
      <c r="E73" s="184" t="s">
        <v>35</v>
      </c>
      <c r="F73" s="13"/>
      <c r="G73" s="110"/>
      <c r="H73" s="110"/>
      <c r="I73" s="110"/>
      <c r="J73" s="110"/>
      <c r="K73" s="182">
        <f t="shared" si="0"/>
        <v>0</v>
      </c>
      <c r="L73" s="182">
        <f t="shared" si="1"/>
        <v>0</v>
      </c>
      <c r="M73" s="182">
        <v>520</v>
      </c>
      <c r="N73" s="182">
        <f>+M73*1000/(67.5*1*110*60)*T73</f>
        <v>4.6689113355780023</v>
      </c>
      <c r="O73" s="182"/>
      <c r="P73" s="182">
        <f t="shared" si="2"/>
        <v>0</v>
      </c>
      <c r="Q73" s="182"/>
      <c r="R73" s="19">
        <f t="shared" si="3"/>
        <v>0</v>
      </c>
      <c r="S73" s="182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9" t="s">
        <v>308</v>
      </c>
      <c r="D74" s="21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8">
        <v>300058</v>
      </c>
      <c r="B75" s="171" t="s">
        <v>87</v>
      </c>
      <c r="C75" s="219" t="s">
        <v>308</v>
      </c>
      <c r="D75" s="219" t="s">
        <v>89</v>
      </c>
      <c r="E75" s="184" t="s">
        <v>42</v>
      </c>
      <c r="F75" s="13"/>
      <c r="G75" s="110"/>
      <c r="H75" s="110"/>
      <c r="I75" s="110"/>
      <c r="J75" s="110"/>
      <c r="K75" s="182">
        <f t="shared" si="0"/>
        <v>0</v>
      </c>
      <c r="L75" s="182">
        <f t="shared" si="1"/>
        <v>0</v>
      </c>
      <c r="M75" s="182">
        <v>419.2</v>
      </c>
      <c r="N75" s="182">
        <f>+M75*1000/(51.5*1*110*60)*T75</f>
        <v>4.9332156516622536</v>
      </c>
      <c r="O75" s="182"/>
      <c r="P75" s="182">
        <f t="shared" si="2"/>
        <v>0</v>
      </c>
      <c r="Q75" s="182"/>
      <c r="R75" s="19">
        <f t="shared" si="3"/>
        <v>0</v>
      </c>
      <c r="S75" s="182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8">
        <v>300061</v>
      </c>
      <c r="B76" s="171" t="s">
        <v>90</v>
      </c>
      <c r="C76" s="219" t="s">
        <v>309</v>
      </c>
      <c r="D76" s="219" t="s">
        <v>91</v>
      </c>
      <c r="E76" s="184" t="s">
        <v>41</v>
      </c>
      <c r="F76" s="13"/>
      <c r="G76" s="110"/>
      <c r="H76" s="110"/>
      <c r="I76" s="110"/>
      <c r="J76" s="110"/>
      <c r="K76" s="182">
        <f t="shared" si="0"/>
        <v>0</v>
      </c>
      <c r="L76" s="182">
        <f t="shared" si="1"/>
        <v>0</v>
      </c>
      <c r="M76" s="182">
        <v>418.4</v>
      </c>
      <c r="N76" s="182">
        <f>+M76*1000/(51*1*110*60)*T76</f>
        <v>4.9720736779560308</v>
      </c>
      <c r="O76" s="182"/>
      <c r="P76" s="182">
        <f t="shared" si="2"/>
        <v>0</v>
      </c>
      <c r="Q76" s="182"/>
      <c r="R76" s="19">
        <f t="shared" si="3"/>
        <v>0</v>
      </c>
      <c r="S76" s="182">
        <f t="shared" si="4"/>
        <v>0</v>
      </c>
      <c r="T76" s="20">
        <v>4</v>
      </c>
      <c r="U76" s="20"/>
      <c r="V76" s="17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8">
        <v>300064</v>
      </c>
      <c r="B77" s="171">
        <v>5002</v>
      </c>
      <c r="C77" s="219" t="s">
        <v>309</v>
      </c>
      <c r="D77" s="219" t="s">
        <v>91</v>
      </c>
      <c r="E77" s="184" t="s">
        <v>35</v>
      </c>
      <c r="F77" s="13"/>
      <c r="G77" s="110"/>
      <c r="H77" s="110"/>
      <c r="I77" s="110"/>
      <c r="J77" s="110"/>
      <c r="K77" s="182">
        <f t="shared" ref="K77:K153" si="7">G77*M77</f>
        <v>0</v>
      </c>
      <c r="L77" s="182">
        <f t="shared" ref="L77:L153" si="8">I77*M77</f>
        <v>0</v>
      </c>
      <c r="M77" s="182">
        <v>419.2</v>
      </c>
      <c r="N77" s="182">
        <f>+M77*1000/(51.9*1*110*60)*T77</f>
        <v>4.8951947217843168</v>
      </c>
      <c r="O77" s="182"/>
      <c r="P77" s="182">
        <f t="shared" ref="P77:P153" si="9">N77*I77+O77*U77</f>
        <v>0</v>
      </c>
      <c r="Q77" s="182"/>
      <c r="R77" s="19">
        <f t="shared" ref="R77:R153" si="10">Q77*U77</f>
        <v>0</v>
      </c>
      <c r="S77" s="182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8">
        <v>300060</v>
      </c>
      <c r="B78" s="171" t="s">
        <v>87</v>
      </c>
      <c r="C78" s="219" t="s">
        <v>309</v>
      </c>
      <c r="D78" s="219" t="s">
        <v>91</v>
      </c>
      <c r="E78" s="184" t="s">
        <v>57</v>
      </c>
      <c r="F78" s="13"/>
      <c r="G78" s="110"/>
      <c r="H78" s="110"/>
      <c r="I78" s="110"/>
      <c r="J78" s="110"/>
      <c r="K78" s="182">
        <f t="shared" si="7"/>
        <v>0</v>
      </c>
      <c r="L78" s="182">
        <f t="shared" si="8"/>
        <v>0</v>
      </c>
      <c r="M78" s="182">
        <v>416.9</v>
      </c>
      <c r="N78" s="182">
        <f>+M78*1000/(51*1*110*60)*T78</f>
        <v>4.9542483660130721</v>
      </c>
      <c r="O78" s="182"/>
      <c r="P78" s="182">
        <f t="shared" si="9"/>
        <v>0</v>
      </c>
      <c r="Q78" s="182"/>
      <c r="R78" s="19">
        <f t="shared" si="10"/>
        <v>0</v>
      </c>
      <c r="S78" s="182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8">
        <v>300068</v>
      </c>
      <c r="B79" s="171" t="s">
        <v>87</v>
      </c>
      <c r="C79" s="219" t="s">
        <v>92</v>
      </c>
      <c r="D79" s="219" t="s">
        <v>93</v>
      </c>
      <c r="E79" s="184" t="s">
        <v>37</v>
      </c>
      <c r="F79" s="13"/>
      <c r="G79" s="110"/>
      <c r="H79" s="110"/>
      <c r="I79" s="110"/>
      <c r="J79" s="110"/>
      <c r="K79" s="182">
        <f t="shared" si="7"/>
        <v>0</v>
      </c>
      <c r="L79" s="182">
        <f t="shared" si="8"/>
        <v>0</v>
      </c>
      <c r="M79" s="182">
        <v>438.4</v>
      </c>
      <c r="N79" s="182">
        <f>+M79*1000/(50*1*120*60)*T79</f>
        <v>4.8711111111111114</v>
      </c>
      <c r="O79" s="182"/>
      <c r="P79" s="182">
        <f t="shared" si="9"/>
        <v>0</v>
      </c>
      <c r="Q79" s="182"/>
      <c r="R79" s="19">
        <f t="shared" si="10"/>
        <v>0</v>
      </c>
      <c r="S79" s="182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8">
        <v>300065</v>
      </c>
      <c r="B80" s="171" t="s">
        <v>87</v>
      </c>
      <c r="C80" s="219" t="s">
        <v>92</v>
      </c>
      <c r="D80" s="219" t="s">
        <v>93</v>
      </c>
      <c r="E80" s="184" t="s">
        <v>35</v>
      </c>
      <c r="F80" s="13"/>
      <c r="G80" s="110"/>
      <c r="H80" s="110"/>
      <c r="I80" s="110"/>
      <c r="J80" s="110"/>
      <c r="K80" s="182">
        <f t="shared" si="7"/>
        <v>0</v>
      </c>
      <c r="L80" s="182">
        <f t="shared" si="8"/>
        <v>0</v>
      </c>
      <c r="M80" s="182">
        <v>438.8</v>
      </c>
      <c r="N80" s="182">
        <f>+M80*1000/(50*1*120*60)*T80</f>
        <v>4.8755555555555556</v>
      </c>
      <c r="O80" s="182"/>
      <c r="P80" s="182">
        <f t="shared" si="9"/>
        <v>0</v>
      </c>
      <c r="Q80" s="182"/>
      <c r="R80" s="19">
        <f t="shared" si="10"/>
        <v>0</v>
      </c>
      <c r="S80" s="182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8">
        <v>300066</v>
      </c>
      <c r="B81" s="171" t="s">
        <v>87</v>
      </c>
      <c r="C81" s="219" t="s">
        <v>92</v>
      </c>
      <c r="D81" s="219" t="s">
        <v>93</v>
      </c>
      <c r="E81" s="184" t="s">
        <v>66</v>
      </c>
      <c r="F81" s="13"/>
      <c r="G81" s="110"/>
      <c r="H81" s="110"/>
      <c r="I81" s="110"/>
      <c r="J81" s="110"/>
      <c r="K81" s="182">
        <f t="shared" si="7"/>
        <v>0</v>
      </c>
      <c r="L81" s="182">
        <f t="shared" si="8"/>
        <v>0</v>
      </c>
      <c r="M81" s="182">
        <v>438.4</v>
      </c>
      <c r="N81" s="182">
        <f>+M81*1000/(50*1*120*60)*T81</f>
        <v>4.8711111111111114</v>
      </c>
      <c r="O81" s="182"/>
      <c r="P81" s="182">
        <f t="shared" si="9"/>
        <v>0</v>
      </c>
      <c r="Q81" s="182"/>
      <c r="R81" s="19">
        <f t="shared" si="10"/>
        <v>0</v>
      </c>
      <c r="S81" s="182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8">
        <v>300067</v>
      </c>
      <c r="B82" s="171" t="s">
        <v>87</v>
      </c>
      <c r="C82" s="219" t="s">
        <v>92</v>
      </c>
      <c r="D82" s="219" t="s">
        <v>93</v>
      </c>
      <c r="E82" s="184" t="s">
        <v>41</v>
      </c>
      <c r="F82" s="13"/>
      <c r="G82" s="110"/>
      <c r="H82" s="110"/>
      <c r="I82" s="110"/>
      <c r="J82" s="110"/>
      <c r="K82" s="182">
        <f t="shared" si="7"/>
        <v>0</v>
      </c>
      <c r="L82" s="182">
        <f t="shared" si="8"/>
        <v>0</v>
      </c>
      <c r="M82" s="182">
        <v>438.8</v>
      </c>
      <c r="N82" s="182">
        <f>+M82*1000/(50*1*120*60)*T82</f>
        <v>4.8755555555555556</v>
      </c>
      <c r="O82" s="182"/>
      <c r="P82" s="182">
        <f t="shared" si="9"/>
        <v>0</v>
      </c>
      <c r="Q82" s="182"/>
      <c r="R82" s="19">
        <f t="shared" si="10"/>
        <v>0</v>
      </c>
      <c r="S82" s="182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4" t="s">
        <v>87</v>
      </c>
      <c r="C83" s="232" t="s">
        <v>92</v>
      </c>
      <c r="D83" s="232" t="s">
        <v>93</v>
      </c>
      <c r="E83" s="42" t="s">
        <v>302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8">
        <v>300384</v>
      </c>
      <c r="B84" s="171" t="s">
        <v>87</v>
      </c>
      <c r="C84" s="219" t="s">
        <v>94</v>
      </c>
      <c r="D84" s="219" t="s">
        <v>95</v>
      </c>
      <c r="E84" s="184" t="s">
        <v>35</v>
      </c>
      <c r="F84" s="183"/>
      <c r="G84" s="110"/>
      <c r="H84" s="110"/>
      <c r="I84" s="110"/>
      <c r="J84" s="110"/>
      <c r="K84" s="182">
        <f t="shared" si="7"/>
        <v>0</v>
      </c>
      <c r="L84" s="182">
        <f t="shared" si="8"/>
        <v>0</v>
      </c>
      <c r="M84" s="182">
        <v>415.5</v>
      </c>
      <c r="N84" s="15">
        <f>+M84*1000/(51*1*110*60)*T84</f>
        <v>8.6408199643493759</v>
      </c>
      <c r="O84" s="182"/>
      <c r="P84" s="182">
        <f t="shared" si="9"/>
        <v>0</v>
      </c>
      <c r="Q84" s="182"/>
      <c r="R84" s="19">
        <f t="shared" si="10"/>
        <v>0</v>
      </c>
      <c r="S84" s="182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8">
        <v>300383</v>
      </c>
      <c r="B85" s="171" t="s">
        <v>87</v>
      </c>
      <c r="C85" s="219" t="s">
        <v>94</v>
      </c>
      <c r="D85" s="219" t="s">
        <v>96</v>
      </c>
      <c r="E85" s="184" t="s">
        <v>41</v>
      </c>
      <c r="F85" s="183"/>
      <c r="G85" s="110"/>
      <c r="H85" s="110"/>
      <c r="I85" s="110"/>
      <c r="J85" s="110"/>
      <c r="K85" s="182">
        <f t="shared" si="7"/>
        <v>0</v>
      </c>
      <c r="L85" s="182">
        <f t="shared" si="8"/>
        <v>0</v>
      </c>
      <c r="M85" s="182">
        <v>415.5</v>
      </c>
      <c r="N85" s="15">
        <f>+M85*1000/(51*1*110*60)*T85</f>
        <v>8.6408199643493759</v>
      </c>
      <c r="O85" s="182"/>
      <c r="P85" s="182">
        <f t="shared" si="9"/>
        <v>0</v>
      </c>
      <c r="Q85" s="182"/>
      <c r="R85" s="19">
        <f t="shared" si="10"/>
        <v>0</v>
      </c>
      <c r="S85" s="182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8">
        <v>300386</v>
      </c>
      <c r="B86" s="171" t="s">
        <v>87</v>
      </c>
      <c r="C86" s="219" t="s">
        <v>94</v>
      </c>
      <c r="D86" s="219" t="s">
        <v>97</v>
      </c>
      <c r="E86" s="184" t="s">
        <v>66</v>
      </c>
      <c r="F86" s="183"/>
      <c r="G86" s="110"/>
      <c r="H86" s="110"/>
      <c r="I86" s="110"/>
      <c r="J86" s="110"/>
      <c r="K86" s="182">
        <f t="shared" si="7"/>
        <v>0</v>
      </c>
      <c r="L86" s="182">
        <f t="shared" si="8"/>
        <v>0</v>
      </c>
      <c r="M86" s="182">
        <v>415.5</v>
      </c>
      <c r="N86" s="15">
        <f>+M86*1000/(51*1*110*60)*T86</f>
        <v>8.6408199643493759</v>
      </c>
      <c r="O86" s="182"/>
      <c r="P86" s="182">
        <f t="shared" si="9"/>
        <v>0</v>
      </c>
      <c r="Q86" s="182"/>
      <c r="R86" s="19">
        <f t="shared" si="10"/>
        <v>0</v>
      </c>
      <c r="S86" s="182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8">
        <v>300385</v>
      </c>
      <c r="B87" s="171" t="s">
        <v>87</v>
      </c>
      <c r="C87" s="219" t="s">
        <v>94</v>
      </c>
      <c r="D87" s="219" t="s">
        <v>98</v>
      </c>
      <c r="E87" s="184" t="s">
        <v>99</v>
      </c>
      <c r="F87" s="183"/>
      <c r="G87" s="110"/>
      <c r="H87" s="110"/>
      <c r="I87" s="110"/>
      <c r="J87" s="110"/>
      <c r="K87" s="182">
        <f t="shared" si="7"/>
        <v>0</v>
      </c>
      <c r="L87" s="182">
        <f t="shared" si="8"/>
        <v>0</v>
      </c>
      <c r="M87" s="182">
        <v>415.5</v>
      </c>
      <c r="N87" s="15">
        <f>+M87*1000/(51*1*110*60)*T87</f>
        <v>8.6408199643493759</v>
      </c>
      <c r="O87" s="182"/>
      <c r="P87" s="182">
        <f t="shared" si="9"/>
        <v>0</v>
      </c>
      <c r="Q87" s="182"/>
      <c r="R87" s="19">
        <f t="shared" si="10"/>
        <v>0</v>
      </c>
      <c r="S87" s="182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8">
        <v>300352</v>
      </c>
      <c r="B88" s="171" t="s">
        <v>87</v>
      </c>
      <c r="C88" s="219" t="s">
        <v>100</v>
      </c>
      <c r="D88" s="219" t="s">
        <v>95</v>
      </c>
      <c r="E88" s="184" t="s">
        <v>35</v>
      </c>
      <c r="F88" s="13"/>
      <c r="G88" s="110"/>
      <c r="H88" s="110"/>
      <c r="I88" s="110"/>
      <c r="J88" s="110"/>
      <c r="K88" s="182">
        <f t="shared" si="7"/>
        <v>0</v>
      </c>
      <c r="L88" s="182">
        <f t="shared" si="8"/>
        <v>0</v>
      </c>
      <c r="M88" s="182">
        <v>515.9</v>
      </c>
      <c r="N88" s="182">
        <f>+M88*1000/(80*1*110*60)*T88</f>
        <v>6.8395833333333336</v>
      </c>
      <c r="O88" s="182"/>
      <c r="P88" s="182">
        <f t="shared" si="9"/>
        <v>0</v>
      </c>
      <c r="Q88" s="182"/>
      <c r="R88" s="19">
        <f t="shared" si="10"/>
        <v>0</v>
      </c>
      <c r="S88" s="182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8">
        <v>300353</v>
      </c>
      <c r="B89" s="171" t="s">
        <v>87</v>
      </c>
      <c r="C89" s="219" t="s">
        <v>100</v>
      </c>
      <c r="D89" s="219" t="s">
        <v>95</v>
      </c>
      <c r="E89" s="184" t="s">
        <v>99</v>
      </c>
      <c r="F89" s="13"/>
      <c r="G89" s="110"/>
      <c r="H89" s="110"/>
      <c r="I89" s="110"/>
      <c r="J89" s="110"/>
      <c r="K89" s="182">
        <f t="shared" si="7"/>
        <v>0</v>
      </c>
      <c r="L89" s="182">
        <f t="shared" si="8"/>
        <v>0</v>
      </c>
      <c r="M89" s="182">
        <v>515.9</v>
      </c>
      <c r="N89" s="182">
        <f>+M89*1000/(80*1*110*60)*T89</f>
        <v>6.8395833333333336</v>
      </c>
      <c r="O89" s="182"/>
      <c r="P89" s="182">
        <f t="shared" si="9"/>
        <v>0</v>
      </c>
      <c r="Q89" s="182"/>
      <c r="R89" s="19">
        <f t="shared" si="10"/>
        <v>0</v>
      </c>
      <c r="S89" s="182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8">
        <v>300351</v>
      </c>
      <c r="B90" s="171" t="s">
        <v>87</v>
      </c>
      <c r="C90" s="219" t="s">
        <v>100</v>
      </c>
      <c r="D90" s="219" t="s">
        <v>95</v>
      </c>
      <c r="E90" s="184" t="s">
        <v>41</v>
      </c>
      <c r="F90" s="13"/>
      <c r="G90" s="110"/>
      <c r="H90" s="110"/>
      <c r="I90" s="110"/>
      <c r="J90" s="110"/>
      <c r="K90" s="182">
        <f t="shared" si="7"/>
        <v>0</v>
      </c>
      <c r="L90" s="182">
        <f t="shared" si="8"/>
        <v>0</v>
      </c>
      <c r="M90" s="182">
        <v>515.9</v>
      </c>
      <c r="N90" s="182">
        <f>+M90*1000/(80*1*110*60)*T90</f>
        <v>6.8395833333333336</v>
      </c>
      <c r="O90" s="182"/>
      <c r="P90" s="182">
        <f t="shared" si="9"/>
        <v>0</v>
      </c>
      <c r="Q90" s="182"/>
      <c r="R90" s="19">
        <f t="shared" si="10"/>
        <v>0</v>
      </c>
      <c r="S90" s="182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8">
        <v>300354</v>
      </c>
      <c r="B91" s="171" t="s">
        <v>87</v>
      </c>
      <c r="C91" s="219" t="s">
        <v>100</v>
      </c>
      <c r="D91" s="219" t="s">
        <v>95</v>
      </c>
      <c r="E91" s="184" t="s">
        <v>66</v>
      </c>
      <c r="F91" s="13"/>
      <c r="G91" s="110"/>
      <c r="H91" s="110"/>
      <c r="I91" s="110"/>
      <c r="J91" s="110"/>
      <c r="K91" s="182">
        <f t="shared" si="7"/>
        <v>0</v>
      </c>
      <c r="L91" s="182">
        <f t="shared" si="8"/>
        <v>0</v>
      </c>
      <c r="M91" s="182">
        <v>515.9</v>
      </c>
      <c r="N91" s="182">
        <f>+M91*1000/(80*1*110*60)*T91</f>
        <v>6.8395833333333336</v>
      </c>
      <c r="O91" s="182"/>
      <c r="P91" s="182">
        <f t="shared" si="9"/>
        <v>0</v>
      </c>
      <c r="Q91" s="182"/>
      <c r="R91" s="19">
        <f t="shared" si="10"/>
        <v>0</v>
      </c>
      <c r="S91" s="182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8">
        <v>300250</v>
      </c>
      <c r="B92" s="171" t="s">
        <v>87</v>
      </c>
      <c r="C92" s="219" t="s">
        <v>101</v>
      </c>
      <c r="D92" s="219" t="s">
        <v>95</v>
      </c>
      <c r="E92" s="184" t="s">
        <v>35</v>
      </c>
      <c r="F92" s="13"/>
      <c r="G92" s="110"/>
      <c r="H92" s="110"/>
      <c r="I92" s="110"/>
      <c r="J92" s="110"/>
      <c r="K92" s="182">
        <f t="shared" si="7"/>
        <v>0</v>
      </c>
      <c r="L92" s="182">
        <f t="shared" si="8"/>
        <v>0</v>
      </c>
      <c r="M92" s="182">
        <v>412.5</v>
      </c>
      <c r="N92" s="182">
        <f>+M92*1000/(84*1*110*60)*T92</f>
        <v>5.2083333333333339</v>
      </c>
      <c r="O92" s="182"/>
      <c r="P92" s="182">
        <f t="shared" si="9"/>
        <v>0</v>
      </c>
      <c r="Q92" s="182"/>
      <c r="R92" s="19">
        <f t="shared" si="10"/>
        <v>0</v>
      </c>
      <c r="S92" s="182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8">
        <v>300251</v>
      </c>
      <c r="B93" s="171" t="s">
        <v>87</v>
      </c>
      <c r="C93" s="219" t="s">
        <v>101</v>
      </c>
      <c r="D93" s="219" t="s">
        <v>95</v>
      </c>
      <c r="E93" s="184" t="s">
        <v>99</v>
      </c>
      <c r="F93" s="13"/>
      <c r="G93" s="110"/>
      <c r="H93" s="110"/>
      <c r="I93" s="110"/>
      <c r="J93" s="110"/>
      <c r="K93" s="182">
        <f t="shared" si="7"/>
        <v>0</v>
      </c>
      <c r="L93" s="182">
        <f t="shared" si="8"/>
        <v>0</v>
      </c>
      <c r="M93" s="182">
        <v>412.5</v>
      </c>
      <c r="N93" s="182">
        <f>+M93*1000/(84*1*110*60)*T93</f>
        <v>5.2083333333333339</v>
      </c>
      <c r="O93" s="182"/>
      <c r="P93" s="182">
        <f t="shared" si="9"/>
        <v>0</v>
      </c>
      <c r="Q93" s="182"/>
      <c r="R93" s="19">
        <f t="shared" si="10"/>
        <v>0</v>
      </c>
      <c r="S93" s="182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8">
        <v>300254</v>
      </c>
      <c r="B94" s="171" t="s">
        <v>87</v>
      </c>
      <c r="C94" s="219" t="s">
        <v>101</v>
      </c>
      <c r="D94" s="219" t="s">
        <v>95</v>
      </c>
      <c r="E94" s="184" t="s">
        <v>41</v>
      </c>
      <c r="F94" s="13"/>
      <c r="G94" s="110"/>
      <c r="H94" s="110"/>
      <c r="I94" s="110"/>
      <c r="J94" s="110"/>
      <c r="K94" s="182">
        <f t="shared" si="7"/>
        <v>0</v>
      </c>
      <c r="L94" s="182">
        <f t="shared" si="8"/>
        <v>0</v>
      </c>
      <c r="M94" s="182">
        <v>412.5</v>
      </c>
      <c r="N94" s="182">
        <f>+M94*1000/(84*1*110*60)*T94</f>
        <v>5.2083333333333339</v>
      </c>
      <c r="O94" s="182"/>
      <c r="P94" s="182">
        <f t="shared" si="9"/>
        <v>0</v>
      </c>
      <c r="Q94" s="182"/>
      <c r="R94" s="19">
        <f t="shared" si="10"/>
        <v>0</v>
      </c>
      <c r="S94" s="182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8">
        <v>300253</v>
      </c>
      <c r="B95" s="171" t="s">
        <v>87</v>
      </c>
      <c r="C95" s="219" t="s">
        <v>101</v>
      </c>
      <c r="D95" s="219" t="s">
        <v>95</v>
      </c>
      <c r="E95" s="184" t="s">
        <v>66</v>
      </c>
      <c r="F95" s="13"/>
      <c r="G95" s="110"/>
      <c r="H95" s="110"/>
      <c r="I95" s="110"/>
      <c r="J95" s="110"/>
      <c r="K95" s="182">
        <f t="shared" si="7"/>
        <v>0</v>
      </c>
      <c r="L95" s="182">
        <f t="shared" si="8"/>
        <v>0</v>
      </c>
      <c r="M95" s="182">
        <v>412.5</v>
      </c>
      <c r="N95" s="182">
        <f>+M95*1000/(84*1*110*60)*T95</f>
        <v>5.2083333333333339</v>
      </c>
      <c r="O95" s="182"/>
      <c r="P95" s="182">
        <f t="shared" si="9"/>
        <v>0</v>
      </c>
      <c r="Q95" s="182"/>
      <c r="R95" s="19">
        <f t="shared" si="10"/>
        <v>0</v>
      </c>
      <c r="S95" s="182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8">
        <v>300255</v>
      </c>
      <c r="B96" s="171" t="s">
        <v>87</v>
      </c>
      <c r="C96" s="219" t="s">
        <v>101</v>
      </c>
      <c r="D96" s="219" t="s">
        <v>95</v>
      </c>
      <c r="E96" s="184" t="s">
        <v>102</v>
      </c>
      <c r="F96" s="13"/>
      <c r="G96" s="110"/>
      <c r="H96" s="110"/>
      <c r="I96" s="110"/>
      <c r="J96" s="110"/>
      <c r="K96" s="182">
        <f t="shared" si="7"/>
        <v>0</v>
      </c>
      <c r="L96" s="182">
        <f t="shared" si="8"/>
        <v>0</v>
      </c>
      <c r="M96" s="182">
        <v>412.5</v>
      </c>
      <c r="N96" s="182">
        <f>+M96*1000/(84*1*110*60)*T96</f>
        <v>5.2083333333333339</v>
      </c>
      <c r="O96" s="182"/>
      <c r="P96" s="182">
        <f t="shared" si="9"/>
        <v>0</v>
      </c>
      <c r="Q96" s="182"/>
      <c r="R96" s="19">
        <f t="shared" si="10"/>
        <v>0</v>
      </c>
      <c r="S96" s="182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33" t="s">
        <v>103</v>
      </c>
      <c r="D97" s="234"/>
      <c r="E97" s="24" t="s">
        <v>99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8">
        <v>300088</v>
      </c>
      <c r="B98" s="171" t="s">
        <v>87</v>
      </c>
      <c r="C98" s="219" t="s">
        <v>310</v>
      </c>
      <c r="D98" s="219" t="s">
        <v>91</v>
      </c>
      <c r="E98" s="184" t="s">
        <v>39</v>
      </c>
      <c r="F98" s="13"/>
      <c r="G98" s="110"/>
      <c r="H98" s="110"/>
      <c r="I98" s="110"/>
      <c r="J98" s="110"/>
      <c r="K98" s="182">
        <f t="shared" si="7"/>
        <v>0</v>
      </c>
      <c r="L98" s="182">
        <f t="shared" si="8"/>
        <v>0</v>
      </c>
      <c r="M98" s="182">
        <v>617.79999999999995</v>
      </c>
      <c r="N98" s="182">
        <f>+M98*1000/(123*1*80*60)*T98</f>
        <v>3.1392276422764223</v>
      </c>
      <c r="O98" s="182"/>
      <c r="P98" s="182">
        <f t="shared" si="9"/>
        <v>0</v>
      </c>
      <c r="Q98" s="182"/>
      <c r="R98" s="19">
        <f t="shared" si="10"/>
        <v>0</v>
      </c>
      <c r="S98" s="182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8">
        <v>300089</v>
      </c>
      <c r="B99" s="171" t="s">
        <v>87</v>
      </c>
      <c r="C99" s="219" t="s">
        <v>310</v>
      </c>
      <c r="D99" s="219" t="s">
        <v>91</v>
      </c>
      <c r="E99" s="184" t="s">
        <v>42</v>
      </c>
      <c r="F99" s="13"/>
      <c r="G99" s="110"/>
      <c r="H99" s="110"/>
      <c r="I99" s="110"/>
      <c r="J99" s="110"/>
      <c r="K99" s="182">
        <f t="shared" si="7"/>
        <v>0</v>
      </c>
      <c r="L99" s="182">
        <f t="shared" si="8"/>
        <v>0</v>
      </c>
      <c r="M99" s="182">
        <v>618.6</v>
      </c>
      <c r="N99" s="182">
        <f>+M99*1000/(124*1*80*60)*T99</f>
        <v>3.117943548387097</v>
      </c>
      <c r="O99" s="182"/>
      <c r="P99" s="182">
        <f t="shared" si="9"/>
        <v>0</v>
      </c>
      <c r="Q99" s="182"/>
      <c r="R99" s="19">
        <f t="shared" si="10"/>
        <v>0</v>
      </c>
      <c r="S99" s="182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8">
        <v>300128</v>
      </c>
      <c r="B100" s="171" t="s">
        <v>87</v>
      </c>
      <c r="C100" s="219" t="s">
        <v>104</v>
      </c>
      <c r="D100" s="219" t="s">
        <v>105</v>
      </c>
      <c r="E100" s="184" t="s">
        <v>35</v>
      </c>
      <c r="F100" s="13"/>
      <c r="G100" s="110"/>
      <c r="H100" s="110"/>
      <c r="I100" s="110"/>
      <c r="J100" s="110"/>
      <c r="K100" s="182">
        <f t="shared" si="7"/>
        <v>0</v>
      </c>
      <c r="L100" s="182">
        <f t="shared" si="8"/>
        <v>0</v>
      </c>
      <c r="M100" s="182">
        <v>621.29999999999995</v>
      </c>
      <c r="N100" s="182">
        <f t="shared" ref="N100:N105" si="12">+M100*1000/(130.5*1*80*60)*T100</f>
        <v>3.9674329501915708</v>
      </c>
      <c r="O100" s="182"/>
      <c r="P100" s="182">
        <f t="shared" si="9"/>
        <v>0</v>
      </c>
      <c r="Q100" s="182"/>
      <c r="R100" s="19">
        <f t="shared" si="10"/>
        <v>0</v>
      </c>
      <c r="S100" s="182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8">
        <v>300129</v>
      </c>
      <c r="B101" s="171" t="s">
        <v>87</v>
      </c>
      <c r="C101" s="219" t="s">
        <v>104</v>
      </c>
      <c r="D101" s="219" t="s">
        <v>105</v>
      </c>
      <c r="E101" s="184" t="s">
        <v>41</v>
      </c>
      <c r="F101" s="13"/>
      <c r="G101" s="110"/>
      <c r="H101" s="110"/>
      <c r="I101" s="110"/>
      <c r="J101" s="110"/>
      <c r="K101" s="182">
        <f t="shared" si="7"/>
        <v>0</v>
      </c>
      <c r="L101" s="182">
        <f t="shared" si="8"/>
        <v>0</v>
      </c>
      <c r="M101" s="182">
        <v>621.29999999999995</v>
      </c>
      <c r="N101" s="182">
        <f t="shared" si="12"/>
        <v>3.9674329501915708</v>
      </c>
      <c r="O101" s="182"/>
      <c r="P101" s="182">
        <f t="shared" si="9"/>
        <v>0</v>
      </c>
      <c r="Q101" s="182"/>
      <c r="R101" s="19">
        <f t="shared" si="10"/>
        <v>0</v>
      </c>
      <c r="S101" s="182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8">
        <v>300130</v>
      </c>
      <c r="B102" s="171" t="s">
        <v>87</v>
      </c>
      <c r="C102" s="219" t="s">
        <v>104</v>
      </c>
      <c r="D102" s="219" t="s">
        <v>105</v>
      </c>
      <c r="E102" s="184" t="s">
        <v>37</v>
      </c>
      <c r="F102" s="13"/>
      <c r="G102" s="110"/>
      <c r="H102" s="110"/>
      <c r="I102" s="110"/>
      <c r="J102" s="110"/>
      <c r="K102" s="182">
        <f t="shared" si="7"/>
        <v>0</v>
      </c>
      <c r="L102" s="182">
        <f t="shared" si="8"/>
        <v>0</v>
      </c>
      <c r="M102" s="182">
        <v>621.29999999999995</v>
      </c>
      <c r="N102" s="182">
        <f t="shared" si="12"/>
        <v>3.9674329501915708</v>
      </c>
      <c r="O102" s="182"/>
      <c r="P102" s="182">
        <f t="shared" si="9"/>
        <v>0</v>
      </c>
      <c r="Q102" s="182"/>
      <c r="R102" s="19">
        <f t="shared" si="10"/>
        <v>0</v>
      </c>
      <c r="S102" s="182">
        <f t="shared" si="11"/>
        <v>0</v>
      </c>
      <c r="T102" s="20">
        <v>4</v>
      </c>
      <c r="U102" s="20"/>
      <c r="V102" s="17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8">
        <v>300423</v>
      </c>
      <c r="B103" s="171" t="s">
        <v>292</v>
      </c>
      <c r="C103" s="230" t="s">
        <v>288</v>
      </c>
      <c r="D103" s="231"/>
      <c r="E103" s="184" t="s">
        <v>289</v>
      </c>
      <c r="F103" s="13"/>
      <c r="G103" s="110"/>
      <c r="H103" s="110"/>
      <c r="I103" s="110"/>
      <c r="J103" s="110"/>
      <c r="K103" s="182">
        <f t="shared" si="7"/>
        <v>0</v>
      </c>
      <c r="L103" s="182">
        <f t="shared" si="8"/>
        <v>0</v>
      </c>
      <c r="M103" s="182">
        <v>524.1</v>
      </c>
      <c r="N103" s="182">
        <f t="shared" si="12"/>
        <v>3.3467432950191571</v>
      </c>
      <c r="O103" s="182"/>
      <c r="P103" s="182">
        <f t="shared" si="9"/>
        <v>0</v>
      </c>
      <c r="Q103" s="182"/>
      <c r="R103" s="19">
        <f t="shared" si="10"/>
        <v>0</v>
      </c>
      <c r="S103" s="182">
        <f t="shared" si="11"/>
        <v>0</v>
      </c>
      <c r="T103" s="20">
        <v>4</v>
      </c>
      <c r="U103" s="20"/>
      <c r="V103" s="179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8">
        <v>300424</v>
      </c>
      <c r="B104" s="171" t="s">
        <v>292</v>
      </c>
      <c r="C104" s="230" t="s">
        <v>288</v>
      </c>
      <c r="D104" s="231"/>
      <c r="E104" s="184" t="s">
        <v>290</v>
      </c>
      <c r="F104" s="13"/>
      <c r="G104" s="110"/>
      <c r="H104" s="110"/>
      <c r="I104" s="110"/>
      <c r="J104" s="110"/>
      <c r="K104" s="182">
        <f t="shared" si="7"/>
        <v>0</v>
      </c>
      <c r="L104" s="182">
        <f t="shared" si="8"/>
        <v>0</v>
      </c>
      <c r="M104" s="182">
        <v>524.1</v>
      </c>
      <c r="N104" s="182">
        <f t="shared" si="12"/>
        <v>3.3467432950191571</v>
      </c>
      <c r="O104" s="182"/>
      <c r="P104" s="182">
        <f t="shared" si="9"/>
        <v>0</v>
      </c>
      <c r="Q104" s="182"/>
      <c r="R104" s="19">
        <f t="shared" si="10"/>
        <v>0</v>
      </c>
      <c r="S104" s="182">
        <f t="shared" si="11"/>
        <v>0</v>
      </c>
      <c r="T104" s="20">
        <v>4</v>
      </c>
      <c r="U104" s="20"/>
      <c r="V104" s="179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8">
        <v>300425</v>
      </c>
      <c r="B105" s="171" t="s">
        <v>292</v>
      </c>
      <c r="C105" s="230" t="s">
        <v>288</v>
      </c>
      <c r="D105" s="231"/>
      <c r="E105" s="184" t="s">
        <v>291</v>
      </c>
      <c r="F105" s="13"/>
      <c r="G105" s="110"/>
      <c r="H105" s="110"/>
      <c r="I105" s="110"/>
      <c r="J105" s="110"/>
      <c r="K105" s="182">
        <f t="shared" si="7"/>
        <v>0</v>
      </c>
      <c r="L105" s="182">
        <f t="shared" si="8"/>
        <v>0</v>
      </c>
      <c r="M105" s="182">
        <v>524.1</v>
      </c>
      <c r="N105" s="182">
        <f t="shared" si="12"/>
        <v>3.3467432950191571</v>
      </c>
      <c r="O105" s="182"/>
      <c r="P105" s="182">
        <f t="shared" si="9"/>
        <v>0</v>
      </c>
      <c r="Q105" s="182"/>
      <c r="R105" s="19">
        <f t="shared" si="10"/>
        <v>0</v>
      </c>
      <c r="S105" s="182">
        <f t="shared" si="11"/>
        <v>0</v>
      </c>
      <c r="T105" s="20">
        <v>4</v>
      </c>
      <c r="U105" s="20"/>
      <c r="V105" s="179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71" t="s">
        <v>292</v>
      </c>
      <c r="C106" s="233" t="s">
        <v>106</v>
      </c>
      <c r="D106" s="234"/>
      <c r="E106" s="24" t="s">
        <v>107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71" t="s">
        <v>292</v>
      </c>
      <c r="C107" s="233" t="s">
        <v>106</v>
      </c>
      <c r="D107" s="234"/>
      <c r="E107" s="24" t="s">
        <v>109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71" t="s">
        <v>292</v>
      </c>
      <c r="C108" s="233" t="s">
        <v>297</v>
      </c>
      <c r="D108" s="234"/>
      <c r="E108" s="24" t="s">
        <v>298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71" t="s">
        <v>292</v>
      </c>
      <c r="C109" s="233" t="s">
        <v>297</v>
      </c>
      <c r="D109" s="234"/>
      <c r="E109" s="24" t="s">
        <v>299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71" t="s">
        <v>292</v>
      </c>
      <c r="C110" s="233" t="s">
        <v>297</v>
      </c>
      <c r="D110" s="234"/>
      <c r="E110" s="125" t="s">
        <v>300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8">
        <v>300074</v>
      </c>
      <c r="B111" s="171" t="s">
        <v>110</v>
      </c>
      <c r="C111" s="219" t="s">
        <v>111</v>
      </c>
      <c r="D111" s="219" t="s">
        <v>112</v>
      </c>
      <c r="E111" s="184" t="s">
        <v>54</v>
      </c>
      <c r="F111" s="13"/>
      <c r="G111" s="110"/>
      <c r="H111" s="110"/>
      <c r="I111" s="110"/>
      <c r="J111" s="110"/>
      <c r="K111" s="182">
        <f t="shared" si="7"/>
        <v>0</v>
      </c>
      <c r="L111" s="182">
        <f t="shared" si="8"/>
        <v>0</v>
      </c>
      <c r="M111" s="182">
        <v>290.8</v>
      </c>
      <c r="N111" s="182">
        <f>+M111*1000/(88*4*13*60)*T111</f>
        <v>3.1774475524475525</v>
      </c>
      <c r="O111" s="182"/>
      <c r="P111" s="182">
        <f t="shared" si="9"/>
        <v>0</v>
      </c>
      <c r="Q111" s="182"/>
      <c r="R111" s="19">
        <f t="shared" si="10"/>
        <v>0</v>
      </c>
      <c r="S111" s="182">
        <f t="shared" si="11"/>
        <v>0</v>
      </c>
      <c r="T111" s="20">
        <v>3</v>
      </c>
      <c r="U111" s="20"/>
      <c r="V111" s="17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8">
        <v>300076</v>
      </c>
      <c r="B112" s="171" t="s">
        <v>110</v>
      </c>
      <c r="C112" s="219" t="s">
        <v>111</v>
      </c>
      <c r="D112" s="219" t="s">
        <v>112</v>
      </c>
      <c r="E112" s="184" t="s">
        <v>35</v>
      </c>
      <c r="F112" s="13"/>
      <c r="G112" s="110"/>
      <c r="H112" s="110"/>
      <c r="I112" s="110"/>
      <c r="J112" s="110"/>
      <c r="K112" s="182">
        <f t="shared" si="7"/>
        <v>0</v>
      </c>
      <c r="L112" s="182">
        <f t="shared" si="8"/>
        <v>0</v>
      </c>
      <c r="M112" s="182">
        <v>303.10000000000002</v>
      </c>
      <c r="N112" s="182">
        <f>+M112*1000/(88*4*12*60)*T112</f>
        <v>4.7837752525252526</v>
      </c>
      <c r="O112" s="182"/>
      <c r="P112" s="182">
        <f t="shared" si="9"/>
        <v>0</v>
      </c>
      <c r="Q112" s="182"/>
      <c r="R112" s="19">
        <f t="shared" si="10"/>
        <v>0</v>
      </c>
      <c r="S112" s="182">
        <f t="shared" si="11"/>
        <v>0</v>
      </c>
      <c r="T112" s="20">
        <v>4</v>
      </c>
      <c r="U112" s="20"/>
      <c r="V112" s="179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8">
        <v>300096</v>
      </c>
      <c r="B113" s="171" t="s">
        <v>110</v>
      </c>
      <c r="C113" s="219" t="s">
        <v>113</v>
      </c>
      <c r="D113" s="219" t="s">
        <v>114</v>
      </c>
      <c r="E113" s="184" t="s">
        <v>37</v>
      </c>
      <c r="F113" s="13"/>
      <c r="G113" s="110"/>
      <c r="H113" s="110"/>
      <c r="I113" s="110"/>
      <c r="J113" s="110"/>
      <c r="K113" s="182">
        <f t="shared" si="7"/>
        <v>0</v>
      </c>
      <c r="L113" s="182">
        <f t="shared" si="8"/>
        <v>0</v>
      </c>
      <c r="M113" s="182">
        <v>480.13</v>
      </c>
      <c r="N113" s="182">
        <f>+M113*1000/(126.5*4*12*60)*T113</f>
        <v>2.6357597716293371</v>
      </c>
      <c r="O113" s="182"/>
      <c r="P113" s="182">
        <f t="shared" si="9"/>
        <v>0</v>
      </c>
      <c r="Q113" s="182"/>
      <c r="R113" s="19">
        <f t="shared" si="10"/>
        <v>0</v>
      </c>
      <c r="S113" s="182">
        <f t="shared" si="11"/>
        <v>0</v>
      </c>
      <c r="T113" s="20">
        <v>2</v>
      </c>
      <c r="U113" s="20"/>
      <c r="V113" s="179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8"/>
      <c r="B114" s="171" t="s">
        <v>110</v>
      </c>
      <c r="C114" s="219" t="s">
        <v>113</v>
      </c>
      <c r="D114" s="219" t="s">
        <v>114</v>
      </c>
      <c r="E114" s="184" t="s">
        <v>35</v>
      </c>
      <c r="F114" s="13"/>
      <c r="G114" s="110"/>
      <c r="H114" s="110"/>
      <c r="I114" s="110"/>
      <c r="J114" s="110"/>
      <c r="K114" s="182">
        <f t="shared" si="7"/>
        <v>0</v>
      </c>
      <c r="L114" s="182">
        <f t="shared" si="8"/>
        <v>0</v>
      </c>
      <c r="M114" s="182">
        <v>480.13</v>
      </c>
      <c r="N114" s="182">
        <f>+M114*1000/(126.5*4*12*60)*T114</f>
        <v>2.6357597716293371</v>
      </c>
      <c r="O114" s="182"/>
      <c r="P114" s="182">
        <f t="shared" si="9"/>
        <v>0</v>
      </c>
      <c r="Q114" s="182"/>
      <c r="R114" s="19">
        <f t="shared" si="10"/>
        <v>0</v>
      </c>
      <c r="S114" s="182">
        <f t="shared" si="11"/>
        <v>0</v>
      </c>
      <c r="T114" s="20">
        <v>2</v>
      </c>
      <c r="U114" s="20"/>
      <c r="V114" s="179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8">
        <v>300097</v>
      </c>
      <c r="B115" s="171" t="s">
        <v>110</v>
      </c>
      <c r="C115" s="219" t="s">
        <v>113</v>
      </c>
      <c r="D115" s="219" t="s">
        <v>114</v>
      </c>
      <c r="E115" s="184" t="s">
        <v>63</v>
      </c>
      <c r="F115" s="13"/>
      <c r="G115" s="110"/>
      <c r="H115" s="110"/>
      <c r="I115" s="110"/>
      <c r="J115" s="110"/>
      <c r="K115" s="182">
        <f t="shared" si="7"/>
        <v>0</v>
      </c>
      <c r="L115" s="182">
        <f t="shared" si="8"/>
        <v>0</v>
      </c>
      <c r="M115" s="182">
        <v>480.13</v>
      </c>
      <c r="N115" s="182">
        <f>+M115*1000/(126.5*4*12*60)*T115</f>
        <v>2.6357597716293371</v>
      </c>
      <c r="O115" s="182"/>
      <c r="P115" s="182">
        <f t="shared" si="9"/>
        <v>0</v>
      </c>
      <c r="Q115" s="182"/>
      <c r="R115" s="19">
        <f t="shared" si="10"/>
        <v>0</v>
      </c>
      <c r="S115" s="182">
        <f t="shared" si="11"/>
        <v>0</v>
      </c>
      <c r="T115" s="20">
        <v>2</v>
      </c>
      <c r="U115" s="20"/>
      <c r="V115" s="179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71">
        <v>300294</v>
      </c>
      <c r="B116" s="171" t="s">
        <v>110</v>
      </c>
      <c r="C116" s="219" t="s">
        <v>115</v>
      </c>
      <c r="D116" s="219"/>
      <c r="E116" s="184" t="s">
        <v>41</v>
      </c>
      <c r="F116" s="27"/>
      <c r="G116" s="110"/>
      <c r="H116" s="110"/>
      <c r="I116" s="110"/>
      <c r="J116" s="110"/>
      <c r="K116" s="182">
        <f t="shared" si="7"/>
        <v>0</v>
      </c>
      <c r="L116" s="182">
        <f t="shared" si="8"/>
        <v>0</v>
      </c>
      <c r="M116" s="182">
        <v>373.14</v>
      </c>
      <c r="N116" s="182">
        <f t="shared" ref="N116:N125" si="13">+M116*1000/(90*4*14*60)*T116</f>
        <v>3.7017857142857142</v>
      </c>
      <c r="O116" s="182"/>
      <c r="P116" s="182">
        <f t="shared" si="9"/>
        <v>0</v>
      </c>
      <c r="Q116" s="182"/>
      <c r="R116" s="19">
        <f t="shared" si="10"/>
        <v>0</v>
      </c>
      <c r="S116" s="182">
        <f t="shared" si="11"/>
        <v>0</v>
      </c>
      <c r="T116" s="20">
        <v>3</v>
      </c>
      <c r="U116" s="20"/>
      <c r="V116" s="179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71">
        <v>300295</v>
      </c>
      <c r="B117" s="171" t="s">
        <v>116</v>
      </c>
      <c r="C117" s="219" t="s">
        <v>117</v>
      </c>
      <c r="D117" s="219"/>
      <c r="E117" s="184" t="s">
        <v>118</v>
      </c>
      <c r="F117" s="27"/>
      <c r="G117" s="110"/>
      <c r="H117" s="110"/>
      <c r="I117" s="110"/>
      <c r="J117" s="110"/>
      <c r="K117" s="182">
        <f t="shared" si="7"/>
        <v>0</v>
      </c>
      <c r="L117" s="182">
        <f t="shared" si="8"/>
        <v>0</v>
      </c>
      <c r="M117" s="182">
        <v>373.14</v>
      </c>
      <c r="N117" s="182">
        <f t="shared" si="13"/>
        <v>3.7017857142857142</v>
      </c>
      <c r="O117" s="182"/>
      <c r="P117" s="182">
        <f t="shared" si="9"/>
        <v>0</v>
      </c>
      <c r="Q117" s="182"/>
      <c r="R117" s="19">
        <f t="shared" si="10"/>
        <v>0</v>
      </c>
      <c r="S117" s="182">
        <f t="shared" si="11"/>
        <v>0</v>
      </c>
      <c r="T117" s="20">
        <v>3</v>
      </c>
      <c r="U117" s="20"/>
      <c r="V117" s="179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71">
        <v>300258</v>
      </c>
      <c r="B118" s="171" t="s">
        <v>110</v>
      </c>
      <c r="C118" s="219" t="s">
        <v>115</v>
      </c>
      <c r="D118" s="219"/>
      <c r="E118" s="184" t="s">
        <v>42</v>
      </c>
      <c r="F118" s="27"/>
      <c r="G118" s="110"/>
      <c r="H118" s="110"/>
      <c r="I118" s="110"/>
      <c r="J118" s="110"/>
      <c r="K118" s="182">
        <f t="shared" si="7"/>
        <v>0</v>
      </c>
      <c r="L118" s="182">
        <f t="shared" si="8"/>
        <v>0</v>
      </c>
      <c r="M118" s="182">
        <v>373.14</v>
      </c>
      <c r="N118" s="182">
        <f t="shared" si="13"/>
        <v>3.7017857142857142</v>
      </c>
      <c r="O118" s="182"/>
      <c r="P118" s="182">
        <f t="shared" si="9"/>
        <v>0</v>
      </c>
      <c r="Q118" s="182"/>
      <c r="R118" s="19">
        <f t="shared" si="10"/>
        <v>0</v>
      </c>
      <c r="S118" s="182">
        <f t="shared" si="11"/>
        <v>0</v>
      </c>
      <c r="T118" s="20">
        <v>3</v>
      </c>
      <c r="U118" s="20"/>
      <c r="V118" s="179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71">
        <v>300256</v>
      </c>
      <c r="B119" s="171" t="s">
        <v>110</v>
      </c>
      <c r="C119" s="219" t="s">
        <v>115</v>
      </c>
      <c r="D119" s="219"/>
      <c r="E119" s="184" t="s">
        <v>74</v>
      </c>
      <c r="F119" s="27"/>
      <c r="G119" s="110"/>
      <c r="H119" s="110"/>
      <c r="I119" s="110"/>
      <c r="J119" s="110"/>
      <c r="K119" s="182">
        <f t="shared" si="7"/>
        <v>0</v>
      </c>
      <c r="L119" s="182">
        <f t="shared" si="8"/>
        <v>0</v>
      </c>
      <c r="M119" s="182">
        <v>373.14</v>
      </c>
      <c r="N119" s="182">
        <f t="shared" si="13"/>
        <v>3.7017857142857142</v>
      </c>
      <c r="O119" s="182"/>
      <c r="P119" s="182">
        <f t="shared" si="9"/>
        <v>0</v>
      </c>
      <c r="Q119" s="182"/>
      <c r="R119" s="19">
        <f t="shared" si="10"/>
        <v>0</v>
      </c>
      <c r="S119" s="182">
        <f t="shared" si="11"/>
        <v>0</v>
      </c>
      <c r="T119" s="20">
        <v>3</v>
      </c>
      <c r="U119" s="20"/>
      <c r="V119" s="179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71">
        <v>300259</v>
      </c>
      <c r="B120" s="171" t="s">
        <v>110</v>
      </c>
      <c r="C120" s="219" t="s">
        <v>115</v>
      </c>
      <c r="D120" s="219"/>
      <c r="E120" s="184" t="s">
        <v>40</v>
      </c>
      <c r="F120" s="27"/>
      <c r="G120" s="110"/>
      <c r="H120" s="110"/>
      <c r="I120" s="110"/>
      <c r="J120" s="110"/>
      <c r="K120" s="182">
        <f t="shared" si="7"/>
        <v>0</v>
      </c>
      <c r="L120" s="182">
        <f t="shared" si="8"/>
        <v>0</v>
      </c>
      <c r="M120" s="182">
        <v>373.14</v>
      </c>
      <c r="N120" s="182">
        <f t="shared" si="13"/>
        <v>3.7017857142857142</v>
      </c>
      <c r="O120" s="182"/>
      <c r="P120" s="182">
        <f t="shared" si="9"/>
        <v>0</v>
      </c>
      <c r="Q120" s="182"/>
      <c r="R120" s="19">
        <f t="shared" si="10"/>
        <v>0</v>
      </c>
      <c r="S120" s="182">
        <f t="shared" si="11"/>
        <v>0</v>
      </c>
      <c r="T120" s="20">
        <v>3</v>
      </c>
      <c r="U120" s="20"/>
      <c r="V120" s="179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71">
        <v>300345</v>
      </c>
      <c r="B121" s="171" t="s">
        <v>110</v>
      </c>
      <c r="C121" s="219" t="s">
        <v>119</v>
      </c>
      <c r="D121" s="219"/>
      <c r="E121" s="184" t="s">
        <v>74</v>
      </c>
      <c r="F121" s="27"/>
      <c r="G121" s="41"/>
      <c r="H121" s="41"/>
      <c r="I121" s="41"/>
      <c r="J121" s="41"/>
      <c r="K121" s="182">
        <f t="shared" si="7"/>
        <v>0</v>
      </c>
      <c r="L121" s="182">
        <f t="shared" si="8"/>
        <v>0</v>
      </c>
      <c r="M121" s="182">
        <v>373.14</v>
      </c>
      <c r="N121" s="182">
        <f t="shared" si="13"/>
        <v>3.7017857142857142</v>
      </c>
      <c r="O121" s="41"/>
      <c r="P121" s="182">
        <f t="shared" si="9"/>
        <v>0</v>
      </c>
      <c r="Q121" s="41"/>
      <c r="R121" s="19">
        <f t="shared" si="10"/>
        <v>0</v>
      </c>
      <c r="S121" s="182">
        <f t="shared" si="11"/>
        <v>0</v>
      </c>
      <c r="T121" s="20">
        <v>3</v>
      </c>
      <c r="U121" s="41"/>
      <c r="V121" s="179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71">
        <v>300346</v>
      </c>
      <c r="B122" s="171" t="s">
        <v>110</v>
      </c>
      <c r="C122" s="219" t="s">
        <v>119</v>
      </c>
      <c r="D122" s="219"/>
      <c r="E122" s="184" t="s">
        <v>42</v>
      </c>
      <c r="F122" s="27"/>
      <c r="G122" s="41"/>
      <c r="H122" s="41"/>
      <c r="I122" s="41"/>
      <c r="J122" s="41"/>
      <c r="K122" s="182">
        <f t="shared" si="7"/>
        <v>0</v>
      </c>
      <c r="L122" s="182">
        <f t="shared" si="8"/>
        <v>0</v>
      </c>
      <c r="M122" s="182">
        <v>373.14</v>
      </c>
      <c r="N122" s="182">
        <f t="shared" si="13"/>
        <v>3.7017857142857142</v>
      </c>
      <c r="O122" s="41"/>
      <c r="P122" s="182">
        <f t="shared" si="9"/>
        <v>0</v>
      </c>
      <c r="Q122" s="41"/>
      <c r="R122" s="19">
        <f t="shared" si="10"/>
        <v>0</v>
      </c>
      <c r="S122" s="182">
        <f t="shared" si="11"/>
        <v>0</v>
      </c>
      <c r="T122" s="20">
        <v>3</v>
      </c>
      <c r="U122" s="41"/>
      <c r="V122" s="179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71">
        <v>300347</v>
      </c>
      <c r="B123" s="171" t="s">
        <v>110</v>
      </c>
      <c r="C123" s="219" t="s">
        <v>119</v>
      </c>
      <c r="D123" s="219"/>
      <c r="E123" s="184" t="s">
        <v>41</v>
      </c>
      <c r="F123" s="27"/>
      <c r="G123" s="41"/>
      <c r="H123" s="41"/>
      <c r="I123" s="41"/>
      <c r="J123" s="41"/>
      <c r="K123" s="182">
        <f t="shared" si="7"/>
        <v>0</v>
      </c>
      <c r="L123" s="182">
        <f t="shared" si="8"/>
        <v>0</v>
      </c>
      <c r="M123" s="182">
        <v>373.14</v>
      </c>
      <c r="N123" s="182">
        <f t="shared" si="13"/>
        <v>3.7017857142857142</v>
      </c>
      <c r="O123" s="41"/>
      <c r="P123" s="182">
        <f t="shared" si="9"/>
        <v>0</v>
      </c>
      <c r="Q123" s="41"/>
      <c r="R123" s="19">
        <f t="shared" si="10"/>
        <v>0</v>
      </c>
      <c r="S123" s="182">
        <f t="shared" si="11"/>
        <v>0</v>
      </c>
      <c r="T123" s="20">
        <v>3</v>
      </c>
      <c r="U123" s="41"/>
      <c r="V123" s="179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71">
        <v>300348</v>
      </c>
      <c r="B124" s="171" t="s">
        <v>110</v>
      </c>
      <c r="C124" s="219" t="s">
        <v>119</v>
      </c>
      <c r="D124" s="219"/>
      <c r="E124" s="184" t="s">
        <v>118</v>
      </c>
      <c r="F124" s="27"/>
      <c r="G124" s="41"/>
      <c r="H124" s="41"/>
      <c r="I124" s="41"/>
      <c r="J124" s="41"/>
      <c r="K124" s="182">
        <f t="shared" si="7"/>
        <v>0</v>
      </c>
      <c r="L124" s="182">
        <f t="shared" si="8"/>
        <v>0</v>
      </c>
      <c r="M124" s="182">
        <v>373.14</v>
      </c>
      <c r="N124" s="182">
        <f t="shared" si="13"/>
        <v>3.7017857142857142</v>
      </c>
      <c r="O124" s="41"/>
      <c r="P124" s="182">
        <f t="shared" si="9"/>
        <v>0</v>
      </c>
      <c r="Q124" s="41"/>
      <c r="R124" s="19">
        <f t="shared" si="10"/>
        <v>0</v>
      </c>
      <c r="S124" s="182">
        <f t="shared" si="11"/>
        <v>0</v>
      </c>
      <c r="T124" s="20">
        <v>3</v>
      </c>
      <c r="U124" s="41"/>
      <c r="V124" s="179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71">
        <v>300349</v>
      </c>
      <c r="B125" s="171" t="s">
        <v>110</v>
      </c>
      <c r="C125" s="219" t="s">
        <v>119</v>
      </c>
      <c r="D125" s="219"/>
      <c r="E125" s="184" t="s">
        <v>40</v>
      </c>
      <c r="F125" s="27"/>
      <c r="G125" s="41"/>
      <c r="H125" s="41"/>
      <c r="I125" s="41"/>
      <c r="J125" s="41"/>
      <c r="K125" s="182">
        <f t="shared" si="7"/>
        <v>0</v>
      </c>
      <c r="L125" s="182">
        <f t="shared" si="8"/>
        <v>0</v>
      </c>
      <c r="M125" s="182">
        <v>373.14</v>
      </c>
      <c r="N125" s="182">
        <f t="shared" si="13"/>
        <v>3.7017857142857142</v>
      </c>
      <c r="O125" s="41"/>
      <c r="P125" s="182">
        <f t="shared" si="9"/>
        <v>0</v>
      </c>
      <c r="Q125" s="41"/>
      <c r="R125" s="19">
        <f t="shared" si="10"/>
        <v>0</v>
      </c>
      <c r="S125" s="182">
        <f t="shared" si="11"/>
        <v>0</v>
      </c>
      <c r="T125" s="20">
        <v>3</v>
      </c>
      <c r="U125" s="41"/>
      <c r="V125" s="179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71">
        <v>300298</v>
      </c>
      <c r="B126" s="171" t="s">
        <v>110</v>
      </c>
      <c r="C126" s="219" t="s">
        <v>120</v>
      </c>
      <c r="D126" s="219"/>
      <c r="E126" s="184" t="s">
        <v>54</v>
      </c>
      <c r="F126" s="27"/>
      <c r="G126" s="110"/>
      <c r="H126" s="110"/>
      <c r="I126" s="110"/>
      <c r="J126" s="110"/>
      <c r="K126" s="182">
        <f t="shared" si="7"/>
        <v>0</v>
      </c>
      <c r="L126" s="182">
        <f t="shared" si="8"/>
        <v>0</v>
      </c>
      <c r="M126" s="182">
        <v>380.63</v>
      </c>
      <c r="N126" s="182">
        <f t="shared" ref="N126:N131" si="14">+M126*1000/(94.7*4*15*60)*T126</f>
        <v>4.4659157573624313</v>
      </c>
      <c r="O126" s="182"/>
      <c r="P126" s="182">
        <f t="shared" si="9"/>
        <v>0</v>
      </c>
      <c r="Q126" s="182"/>
      <c r="R126" s="19">
        <f t="shared" si="10"/>
        <v>0</v>
      </c>
      <c r="S126" s="182">
        <f t="shared" si="11"/>
        <v>0</v>
      </c>
      <c r="T126" s="20">
        <v>4</v>
      </c>
      <c r="U126" s="20"/>
      <c r="V126" s="179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71">
        <v>300299</v>
      </c>
      <c r="B127" s="171" t="s">
        <v>110</v>
      </c>
      <c r="C127" s="219" t="s">
        <v>120</v>
      </c>
      <c r="D127" s="219"/>
      <c r="E127" s="184" t="s">
        <v>39</v>
      </c>
      <c r="F127" s="27"/>
      <c r="G127" s="110"/>
      <c r="H127" s="110"/>
      <c r="I127" s="110"/>
      <c r="J127" s="110"/>
      <c r="K127" s="182">
        <f t="shared" si="7"/>
        <v>0</v>
      </c>
      <c r="L127" s="182">
        <f t="shared" si="8"/>
        <v>0</v>
      </c>
      <c r="M127" s="182">
        <v>380.63</v>
      </c>
      <c r="N127" s="182">
        <f t="shared" si="14"/>
        <v>4.4659157573624313</v>
      </c>
      <c r="O127" s="182"/>
      <c r="P127" s="182">
        <f t="shared" si="9"/>
        <v>0</v>
      </c>
      <c r="Q127" s="182"/>
      <c r="R127" s="19">
        <f t="shared" si="10"/>
        <v>0</v>
      </c>
      <c r="S127" s="182">
        <f t="shared" si="11"/>
        <v>0</v>
      </c>
      <c r="T127" s="20">
        <v>4</v>
      </c>
      <c r="U127" s="20"/>
      <c r="V127" s="179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71">
        <v>300296</v>
      </c>
      <c r="B128" s="171" t="s">
        <v>110</v>
      </c>
      <c r="C128" s="219" t="s">
        <v>120</v>
      </c>
      <c r="D128" s="219"/>
      <c r="E128" s="184" t="s">
        <v>41</v>
      </c>
      <c r="F128" s="27"/>
      <c r="G128" s="110"/>
      <c r="H128" s="110"/>
      <c r="I128" s="110"/>
      <c r="J128" s="110"/>
      <c r="K128" s="182">
        <f t="shared" si="7"/>
        <v>0</v>
      </c>
      <c r="L128" s="182">
        <f t="shared" si="8"/>
        <v>0</v>
      </c>
      <c r="M128" s="182">
        <v>380.63</v>
      </c>
      <c r="N128" s="182">
        <f t="shared" si="14"/>
        <v>4.4659157573624313</v>
      </c>
      <c r="O128" s="182"/>
      <c r="P128" s="182">
        <f t="shared" si="9"/>
        <v>0</v>
      </c>
      <c r="Q128" s="182"/>
      <c r="R128" s="19">
        <f t="shared" si="10"/>
        <v>0</v>
      </c>
      <c r="S128" s="182">
        <f t="shared" si="11"/>
        <v>0</v>
      </c>
      <c r="T128" s="20">
        <v>4</v>
      </c>
      <c r="U128" s="20"/>
      <c r="V128" s="179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71">
        <v>300297</v>
      </c>
      <c r="B129" s="171" t="s">
        <v>110</v>
      </c>
      <c r="C129" s="219" t="s">
        <v>120</v>
      </c>
      <c r="D129" s="219"/>
      <c r="E129" s="184" t="s">
        <v>37</v>
      </c>
      <c r="F129" s="27"/>
      <c r="G129" s="110"/>
      <c r="H129" s="110"/>
      <c r="I129" s="110"/>
      <c r="J129" s="110"/>
      <c r="K129" s="182">
        <f t="shared" si="7"/>
        <v>0</v>
      </c>
      <c r="L129" s="182">
        <f t="shared" si="8"/>
        <v>0</v>
      </c>
      <c r="M129" s="182">
        <v>380.63</v>
      </c>
      <c r="N129" s="182">
        <f t="shared" si="14"/>
        <v>4.4659157573624313</v>
      </c>
      <c r="O129" s="182"/>
      <c r="P129" s="182">
        <f t="shared" si="9"/>
        <v>0</v>
      </c>
      <c r="Q129" s="182"/>
      <c r="R129" s="19">
        <f t="shared" si="10"/>
        <v>0</v>
      </c>
      <c r="S129" s="182">
        <f t="shared" si="11"/>
        <v>0</v>
      </c>
      <c r="T129" s="20">
        <v>4</v>
      </c>
      <c r="U129" s="20"/>
      <c r="V129" s="179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71">
        <v>300340</v>
      </c>
      <c r="B130" s="171" t="s">
        <v>110</v>
      </c>
      <c r="C130" s="230" t="s">
        <v>121</v>
      </c>
      <c r="D130" s="231"/>
      <c r="E130" s="184" t="s">
        <v>41</v>
      </c>
      <c r="F130" s="27"/>
      <c r="G130" s="110"/>
      <c r="H130" s="110"/>
      <c r="I130" s="110"/>
      <c r="J130" s="110"/>
      <c r="K130" s="182">
        <f t="shared" si="7"/>
        <v>0</v>
      </c>
      <c r="L130" s="182">
        <f t="shared" si="8"/>
        <v>0</v>
      </c>
      <c r="M130" s="182">
        <v>325.60000000000002</v>
      </c>
      <c r="N130" s="182">
        <f t="shared" si="14"/>
        <v>3.8202510852986036</v>
      </c>
      <c r="O130" s="182"/>
      <c r="P130" s="182">
        <f t="shared" si="9"/>
        <v>0</v>
      </c>
      <c r="Q130" s="182"/>
      <c r="R130" s="19">
        <f t="shared" si="10"/>
        <v>0</v>
      </c>
      <c r="S130" s="182">
        <f t="shared" si="11"/>
        <v>0</v>
      </c>
      <c r="T130" s="20">
        <v>4</v>
      </c>
      <c r="U130" s="20"/>
      <c r="V130" s="179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71">
        <v>300339</v>
      </c>
      <c r="B131" s="171" t="s">
        <v>110</v>
      </c>
      <c r="C131" s="230" t="s">
        <v>121</v>
      </c>
      <c r="D131" s="231"/>
      <c r="E131" s="184" t="s">
        <v>39</v>
      </c>
      <c r="F131" s="27"/>
      <c r="G131" s="110"/>
      <c r="H131" s="110"/>
      <c r="I131" s="110"/>
      <c r="J131" s="110"/>
      <c r="K131" s="182">
        <f t="shared" si="7"/>
        <v>0</v>
      </c>
      <c r="L131" s="182">
        <f t="shared" si="8"/>
        <v>0</v>
      </c>
      <c r="M131" s="182">
        <v>325.60000000000002</v>
      </c>
      <c r="N131" s="182">
        <f t="shared" si="14"/>
        <v>3.8202510852986036</v>
      </c>
      <c r="O131" s="182"/>
      <c r="P131" s="182">
        <f t="shared" si="9"/>
        <v>0</v>
      </c>
      <c r="Q131" s="182"/>
      <c r="R131" s="19">
        <f t="shared" si="10"/>
        <v>0</v>
      </c>
      <c r="S131" s="182">
        <f t="shared" si="11"/>
        <v>0</v>
      </c>
      <c r="T131" s="20">
        <v>4</v>
      </c>
      <c r="U131" s="20"/>
      <c r="V131" s="179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71">
        <v>300303</v>
      </c>
      <c r="B132" s="171" t="s">
        <v>110</v>
      </c>
      <c r="C132" s="219" t="s">
        <v>122</v>
      </c>
      <c r="D132" s="219" t="s">
        <v>123</v>
      </c>
      <c r="E132" s="184" t="s">
        <v>57</v>
      </c>
      <c r="F132" s="27"/>
      <c r="G132" s="110"/>
      <c r="H132" s="110"/>
      <c r="I132" s="110"/>
      <c r="J132" s="110"/>
      <c r="K132" s="182">
        <f t="shared" si="7"/>
        <v>0</v>
      </c>
      <c r="L132" s="182">
        <f t="shared" si="8"/>
        <v>0</v>
      </c>
      <c r="M132" s="182">
        <v>396.92</v>
      </c>
      <c r="N132" s="182">
        <f>+M132*1000/(113.8*4*15*60)*T132</f>
        <v>4.8442686975200155</v>
      </c>
      <c r="O132" s="182"/>
      <c r="P132" s="182">
        <f t="shared" si="9"/>
        <v>0</v>
      </c>
      <c r="Q132" s="182"/>
      <c r="R132" s="19">
        <f t="shared" si="10"/>
        <v>0</v>
      </c>
      <c r="S132" s="182">
        <f t="shared" si="11"/>
        <v>0</v>
      </c>
      <c r="T132" s="20">
        <v>5</v>
      </c>
      <c r="U132" s="20"/>
      <c r="V132" s="179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71">
        <v>300302</v>
      </c>
      <c r="B133" s="171" t="s">
        <v>110</v>
      </c>
      <c r="C133" s="219" t="s">
        <v>122</v>
      </c>
      <c r="D133" s="219" t="s">
        <v>123</v>
      </c>
      <c r="E133" s="184" t="s">
        <v>109</v>
      </c>
      <c r="F133" s="27"/>
      <c r="G133" s="110"/>
      <c r="H133" s="110"/>
      <c r="I133" s="110"/>
      <c r="J133" s="110"/>
      <c r="K133" s="182">
        <f t="shared" si="7"/>
        <v>0</v>
      </c>
      <c r="L133" s="182">
        <f t="shared" si="8"/>
        <v>0</v>
      </c>
      <c r="M133" s="182">
        <v>396.06</v>
      </c>
      <c r="N133" s="182">
        <f>+M133*1000/(113.8*4*15*60)*T133</f>
        <v>4.8337727006444053</v>
      </c>
      <c r="O133" s="182"/>
      <c r="P133" s="182">
        <f t="shared" si="9"/>
        <v>0</v>
      </c>
      <c r="Q133" s="182"/>
      <c r="R133" s="19">
        <f t="shared" si="10"/>
        <v>0</v>
      </c>
      <c r="S133" s="182">
        <f t="shared" si="11"/>
        <v>0</v>
      </c>
      <c r="T133" s="20">
        <v>5</v>
      </c>
      <c r="U133" s="20"/>
      <c r="V133" s="179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71">
        <v>300301</v>
      </c>
      <c r="B134" s="171" t="s">
        <v>110</v>
      </c>
      <c r="C134" s="219" t="s">
        <v>122</v>
      </c>
      <c r="D134" s="219" t="s">
        <v>123</v>
      </c>
      <c r="E134" s="184" t="s">
        <v>124</v>
      </c>
      <c r="F134" s="27"/>
      <c r="G134" s="110"/>
      <c r="H134" s="110"/>
      <c r="I134" s="110"/>
      <c r="J134" s="110"/>
      <c r="K134" s="182">
        <f t="shared" si="7"/>
        <v>0</v>
      </c>
      <c r="L134" s="182">
        <f t="shared" si="8"/>
        <v>0</v>
      </c>
      <c r="M134" s="182">
        <v>401.25</v>
      </c>
      <c r="N134" s="182">
        <f>+M134*1000/(113.8*4*15*60)*T134</f>
        <v>4.8971148213239601</v>
      </c>
      <c r="O134" s="182"/>
      <c r="P134" s="182">
        <f t="shared" si="9"/>
        <v>0</v>
      </c>
      <c r="Q134" s="182"/>
      <c r="R134" s="19">
        <f t="shared" si="10"/>
        <v>0</v>
      </c>
      <c r="S134" s="182">
        <f t="shared" si="11"/>
        <v>0</v>
      </c>
      <c r="T134" s="20">
        <v>5</v>
      </c>
      <c r="U134" s="20"/>
      <c r="V134" s="179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8">
        <v>300304</v>
      </c>
      <c r="B135" s="171" t="s">
        <v>110</v>
      </c>
      <c r="C135" s="219" t="s">
        <v>122</v>
      </c>
      <c r="D135" s="219"/>
      <c r="E135" s="184" t="s">
        <v>125</v>
      </c>
      <c r="F135" s="27"/>
      <c r="G135" s="110"/>
      <c r="H135" s="110"/>
      <c r="I135" s="110"/>
      <c r="J135" s="110"/>
      <c r="K135" s="182">
        <f t="shared" si="7"/>
        <v>0</v>
      </c>
      <c r="L135" s="182">
        <f t="shared" si="8"/>
        <v>0</v>
      </c>
      <c r="M135" s="182">
        <v>401.25</v>
      </c>
      <c r="N135" s="182">
        <f>+M135*1000/(113.8*4*15*60)*T135</f>
        <v>4.8971148213239601</v>
      </c>
      <c r="O135" s="182"/>
      <c r="P135" s="182">
        <f t="shared" si="9"/>
        <v>0</v>
      </c>
      <c r="Q135" s="182"/>
      <c r="R135" s="19">
        <f t="shared" si="10"/>
        <v>0</v>
      </c>
      <c r="S135" s="182">
        <f t="shared" si="11"/>
        <v>0</v>
      </c>
      <c r="T135" s="20">
        <v>5</v>
      </c>
      <c r="U135" s="20"/>
      <c r="V135" s="179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8">
        <v>300300</v>
      </c>
      <c r="B136" s="171" t="s">
        <v>110</v>
      </c>
      <c r="C136" s="219" t="s">
        <v>122</v>
      </c>
      <c r="D136" s="219" t="s">
        <v>123</v>
      </c>
      <c r="E136" s="184" t="s">
        <v>54</v>
      </c>
      <c r="F136" s="27"/>
      <c r="G136" s="110"/>
      <c r="H136" s="110"/>
      <c r="I136" s="110"/>
      <c r="J136" s="110"/>
      <c r="K136" s="182">
        <f t="shared" si="7"/>
        <v>0</v>
      </c>
      <c r="L136" s="182">
        <f t="shared" si="8"/>
        <v>0</v>
      </c>
      <c r="M136" s="182">
        <v>399.07</v>
      </c>
      <c r="N136" s="182">
        <f>+M136*1000/(113.8*4*15*60)*T136</f>
        <v>4.8705086897090411</v>
      </c>
      <c r="O136" s="182"/>
      <c r="P136" s="182">
        <f t="shared" si="9"/>
        <v>0</v>
      </c>
      <c r="Q136" s="182"/>
      <c r="R136" s="19">
        <f t="shared" si="10"/>
        <v>0</v>
      </c>
      <c r="S136" s="182">
        <f t="shared" si="11"/>
        <v>0</v>
      </c>
      <c r="T136" s="20">
        <v>5</v>
      </c>
      <c r="U136" s="20"/>
      <c r="V136" s="179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8">
        <v>300085</v>
      </c>
      <c r="B137" s="171">
        <v>6503</v>
      </c>
      <c r="C137" s="219" t="s">
        <v>126</v>
      </c>
      <c r="D137" s="219" t="s">
        <v>123</v>
      </c>
      <c r="E137" s="184" t="s">
        <v>127</v>
      </c>
      <c r="F137" s="27"/>
      <c r="G137" s="110"/>
      <c r="H137" s="110"/>
      <c r="I137" s="110"/>
      <c r="J137" s="110"/>
      <c r="K137" s="182">
        <f t="shared" si="7"/>
        <v>0</v>
      </c>
      <c r="L137" s="182">
        <f t="shared" si="8"/>
        <v>0</v>
      </c>
      <c r="M137" s="182">
        <v>394.3</v>
      </c>
      <c r="N137" s="182">
        <f>+M137*1000/(104.2*4*15*60)*T137</f>
        <v>6.3067818298144598</v>
      </c>
      <c r="O137" s="182"/>
      <c r="P137" s="182">
        <f t="shared" si="9"/>
        <v>0</v>
      </c>
      <c r="Q137" s="182"/>
      <c r="R137" s="19">
        <f t="shared" si="10"/>
        <v>0</v>
      </c>
      <c r="S137" s="182">
        <f t="shared" si="11"/>
        <v>0</v>
      </c>
      <c r="T137" s="20">
        <v>6</v>
      </c>
      <c r="U137" s="20"/>
      <c r="V137" s="179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8">
        <v>300087</v>
      </c>
      <c r="B138" s="171" t="s">
        <v>110</v>
      </c>
      <c r="C138" s="219" t="s">
        <v>126</v>
      </c>
      <c r="D138" s="219" t="s">
        <v>123</v>
      </c>
      <c r="E138" s="184" t="s">
        <v>80</v>
      </c>
      <c r="F138" s="27"/>
      <c r="G138" s="110"/>
      <c r="H138" s="110"/>
      <c r="I138" s="110"/>
      <c r="J138" s="110"/>
      <c r="K138" s="182">
        <f t="shared" si="7"/>
        <v>0</v>
      </c>
      <c r="L138" s="182">
        <f t="shared" si="8"/>
        <v>0</v>
      </c>
      <c r="M138" s="182">
        <v>380.1</v>
      </c>
      <c r="N138" s="182">
        <f>+M138*1000/(104.2*4*16*60)*T138</f>
        <v>4.7497300863723604</v>
      </c>
      <c r="O138" s="182"/>
      <c r="P138" s="182">
        <f t="shared" si="9"/>
        <v>0</v>
      </c>
      <c r="Q138" s="182"/>
      <c r="R138" s="19">
        <f t="shared" si="10"/>
        <v>0</v>
      </c>
      <c r="S138" s="182">
        <f t="shared" si="11"/>
        <v>0</v>
      </c>
      <c r="T138" s="20">
        <v>5</v>
      </c>
      <c r="U138" s="20"/>
      <c r="V138" s="179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8">
        <v>300387</v>
      </c>
      <c r="B139" s="171" t="s">
        <v>128</v>
      </c>
      <c r="C139" s="230" t="s">
        <v>129</v>
      </c>
      <c r="D139" s="231"/>
      <c r="E139" s="184" t="s">
        <v>57</v>
      </c>
      <c r="F139" s="27"/>
      <c r="G139" s="110"/>
      <c r="H139" s="110"/>
      <c r="I139" s="110"/>
      <c r="J139" s="110"/>
      <c r="K139" s="182">
        <f t="shared" si="7"/>
        <v>0</v>
      </c>
      <c r="L139" s="182">
        <f t="shared" si="8"/>
        <v>0</v>
      </c>
      <c r="M139" s="182">
        <v>352.29</v>
      </c>
      <c r="N139" s="182">
        <f>+M139*1000/(104.2*4*16*60)*T139</f>
        <v>4.4022162907869484</v>
      </c>
      <c r="O139" s="182"/>
      <c r="P139" s="182">
        <f t="shared" si="9"/>
        <v>0</v>
      </c>
      <c r="Q139" s="182"/>
      <c r="R139" s="19">
        <f t="shared" si="10"/>
        <v>0</v>
      </c>
      <c r="S139" s="182">
        <f t="shared" si="11"/>
        <v>0</v>
      </c>
      <c r="T139" s="20">
        <v>5</v>
      </c>
      <c r="U139" s="20"/>
      <c r="V139" s="179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8">
        <v>300388</v>
      </c>
      <c r="B140" s="171" t="s">
        <v>130</v>
      </c>
      <c r="C140" s="230" t="s">
        <v>129</v>
      </c>
      <c r="D140" s="231"/>
      <c r="E140" s="184" t="s">
        <v>109</v>
      </c>
      <c r="F140" s="27"/>
      <c r="G140" s="110"/>
      <c r="H140" s="110"/>
      <c r="I140" s="110"/>
      <c r="J140" s="110"/>
      <c r="K140" s="182">
        <f t="shared" si="7"/>
        <v>0</v>
      </c>
      <c r="L140" s="182">
        <f t="shared" si="8"/>
        <v>0</v>
      </c>
      <c r="M140" s="182">
        <v>352.29</v>
      </c>
      <c r="N140" s="182">
        <f>+M140*1000/(104.2*4*16*60)*T140</f>
        <v>4.4022162907869484</v>
      </c>
      <c r="O140" s="182"/>
      <c r="P140" s="182">
        <f t="shared" si="9"/>
        <v>0</v>
      </c>
      <c r="Q140" s="182"/>
      <c r="R140" s="19">
        <f t="shared" si="10"/>
        <v>0</v>
      </c>
      <c r="S140" s="182">
        <f t="shared" si="11"/>
        <v>0</v>
      </c>
      <c r="T140" s="20">
        <v>5</v>
      </c>
      <c r="U140" s="20"/>
      <c r="V140" s="179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8">
        <v>300123</v>
      </c>
      <c r="B141" s="171" t="s">
        <v>110</v>
      </c>
      <c r="C141" s="219" t="s">
        <v>131</v>
      </c>
      <c r="D141" s="219" t="s">
        <v>132</v>
      </c>
      <c r="E141" s="184" t="s">
        <v>127</v>
      </c>
      <c r="F141" s="27"/>
      <c r="G141" s="110"/>
      <c r="H141" s="110"/>
      <c r="I141" s="110"/>
      <c r="J141" s="110"/>
      <c r="K141" s="182">
        <f t="shared" si="7"/>
        <v>0</v>
      </c>
      <c r="L141" s="182">
        <f t="shared" si="8"/>
        <v>0</v>
      </c>
      <c r="M141" s="182">
        <v>557</v>
      </c>
      <c r="N141" s="182">
        <f>+M141*1000/(126.5*4*15*60)*T141</f>
        <v>6.1155028546332888</v>
      </c>
      <c r="O141" s="182"/>
      <c r="P141" s="182">
        <f t="shared" si="9"/>
        <v>0</v>
      </c>
      <c r="Q141" s="182"/>
      <c r="R141" s="19">
        <f t="shared" si="10"/>
        <v>0</v>
      </c>
      <c r="S141" s="182">
        <f t="shared" si="11"/>
        <v>0</v>
      </c>
      <c r="T141" s="20">
        <v>5</v>
      </c>
      <c r="U141" s="20"/>
      <c r="V141" s="179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8">
        <v>300270</v>
      </c>
      <c r="B142" s="171" t="s">
        <v>110</v>
      </c>
      <c r="C142" s="219" t="s">
        <v>133</v>
      </c>
      <c r="D142" s="219"/>
      <c r="E142" s="184" t="s">
        <v>134</v>
      </c>
      <c r="F142" s="27"/>
      <c r="G142" s="110"/>
      <c r="H142" s="110"/>
      <c r="I142" s="110"/>
      <c r="J142" s="110"/>
      <c r="K142" s="182">
        <f t="shared" si="7"/>
        <v>0</v>
      </c>
      <c r="L142" s="182">
        <f t="shared" si="8"/>
        <v>0</v>
      </c>
      <c r="M142" s="182">
        <v>485.7</v>
      </c>
      <c r="N142" s="182">
        <f>+M142*1000/(126.5*4*15*60)*T142</f>
        <v>4.2661396574440049</v>
      </c>
      <c r="O142" s="182"/>
      <c r="P142" s="182">
        <f t="shared" si="9"/>
        <v>0</v>
      </c>
      <c r="Q142" s="182"/>
      <c r="R142" s="19">
        <f t="shared" si="10"/>
        <v>0</v>
      </c>
      <c r="S142" s="182">
        <f t="shared" si="11"/>
        <v>0</v>
      </c>
      <c r="T142" s="20">
        <v>4</v>
      </c>
      <c r="U142" s="20"/>
      <c r="V142" s="179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8">
        <v>300336</v>
      </c>
      <c r="B143" s="171" t="s">
        <v>128</v>
      </c>
      <c r="C143" s="219" t="s">
        <v>135</v>
      </c>
      <c r="D143" s="219"/>
      <c r="E143" s="184" t="s">
        <v>84</v>
      </c>
      <c r="F143" s="27"/>
      <c r="G143" s="110"/>
      <c r="H143" s="110"/>
      <c r="I143" s="110"/>
      <c r="J143" s="110"/>
      <c r="K143" s="182">
        <f t="shared" si="7"/>
        <v>0</v>
      </c>
      <c r="L143" s="182">
        <f t="shared" si="8"/>
        <v>0</v>
      </c>
      <c r="M143" s="182">
        <v>411.4</v>
      </c>
      <c r="N143" s="182">
        <f>+M143*1000/(104.2*4*16*60)*T143</f>
        <v>2.0563419705694179</v>
      </c>
      <c r="O143" s="182"/>
      <c r="P143" s="182">
        <f t="shared" si="9"/>
        <v>0</v>
      </c>
      <c r="Q143" s="182"/>
      <c r="R143" s="19">
        <f t="shared" si="10"/>
        <v>0</v>
      </c>
      <c r="S143" s="182">
        <f t="shared" si="11"/>
        <v>0</v>
      </c>
      <c r="T143" s="20">
        <v>2</v>
      </c>
      <c r="U143" s="20"/>
      <c r="V143" s="179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8">
        <v>300337</v>
      </c>
      <c r="B144" s="171" t="s">
        <v>130</v>
      </c>
      <c r="C144" s="219" t="s">
        <v>135</v>
      </c>
      <c r="D144" s="219"/>
      <c r="E144" s="184" t="s">
        <v>49</v>
      </c>
      <c r="F144" s="27"/>
      <c r="G144" s="110"/>
      <c r="H144" s="110"/>
      <c r="I144" s="110"/>
      <c r="J144" s="110"/>
      <c r="K144" s="182">
        <f t="shared" si="7"/>
        <v>0</v>
      </c>
      <c r="L144" s="182">
        <f t="shared" si="8"/>
        <v>0</v>
      </c>
      <c r="M144" s="182">
        <v>411.4</v>
      </c>
      <c r="N144" s="182">
        <f>+M144*1000/(104.2*4*16*60)*T144</f>
        <v>2.0563419705694179</v>
      </c>
      <c r="O144" s="182"/>
      <c r="P144" s="182">
        <f t="shared" si="9"/>
        <v>0</v>
      </c>
      <c r="Q144" s="182"/>
      <c r="R144" s="19">
        <f t="shared" si="10"/>
        <v>0</v>
      </c>
      <c r="S144" s="182">
        <f t="shared" si="11"/>
        <v>0</v>
      </c>
      <c r="T144" s="20">
        <v>2</v>
      </c>
      <c r="U144" s="20"/>
      <c r="V144" s="179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8">
        <v>300338</v>
      </c>
      <c r="B145" s="171" t="s">
        <v>136</v>
      </c>
      <c r="C145" s="219" t="s">
        <v>135</v>
      </c>
      <c r="D145" s="219"/>
      <c r="E145" s="184" t="s">
        <v>85</v>
      </c>
      <c r="F145" s="27"/>
      <c r="G145" s="110"/>
      <c r="H145" s="110"/>
      <c r="I145" s="110"/>
      <c r="J145" s="110"/>
      <c r="K145" s="182">
        <f t="shared" si="7"/>
        <v>0</v>
      </c>
      <c r="L145" s="182">
        <f t="shared" si="8"/>
        <v>0</v>
      </c>
      <c r="M145" s="182">
        <v>411.4</v>
      </c>
      <c r="N145" s="182">
        <f>+M145*1000/(104.2*4*16*60)*T145</f>
        <v>2.0563419705694179</v>
      </c>
      <c r="O145" s="182"/>
      <c r="P145" s="182">
        <f t="shared" si="9"/>
        <v>0</v>
      </c>
      <c r="Q145" s="182"/>
      <c r="R145" s="19">
        <f t="shared" si="10"/>
        <v>0</v>
      </c>
      <c r="S145" s="182">
        <f t="shared" si="11"/>
        <v>0</v>
      </c>
      <c r="T145" s="20">
        <v>2</v>
      </c>
      <c r="U145" s="20"/>
      <c r="V145" s="179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8">
        <v>300309</v>
      </c>
      <c r="B146" s="171">
        <v>6504</v>
      </c>
      <c r="C146" s="219" t="s">
        <v>137</v>
      </c>
      <c r="D146" s="219"/>
      <c r="E146" s="184" t="s">
        <v>47</v>
      </c>
      <c r="F146" s="27"/>
      <c r="G146" s="110"/>
      <c r="H146" s="110"/>
      <c r="I146" s="110"/>
      <c r="J146" s="110"/>
      <c r="K146" s="182">
        <f t="shared" si="7"/>
        <v>0</v>
      </c>
      <c r="L146" s="182">
        <f t="shared" si="8"/>
        <v>0</v>
      </c>
      <c r="M146" s="182">
        <v>316.88</v>
      </c>
      <c r="N146" s="15">
        <f>+M146*1000/(75.2*4*16*60)*T146</f>
        <v>6.5841090425531918</v>
      </c>
      <c r="O146" s="182"/>
      <c r="P146" s="182">
        <f t="shared" si="9"/>
        <v>0</v>
      </c>
      <c r="Q146" s="182"/>
      <c r="R146" s="19">
        <f t="shared" si="10"/>
        <v>0</v>
      </c>
      <c r="S146" s="182">
        <f t="shared" si="11"/>
        <v>0</v>
      </c>
      <c r="T146" s="20">
        <v>6</v>
      </c>
      <c r="U146" s="20"/>
      <c r="V146" s="179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8">
        <v>300310</v>
      </c>
      <c r="B147" s="171">
        <v>6504</v>
      </c>
      <c r="C147" s="219" t="s">
        <v>137</v>
      </c>
      <c r="D147" s="219"/>
      <c r="E147" s="184" t="s">
        <v>138</v>
      </c>
      <c r="F147" s="27"/>
      <c r="G147" s="110"/>
      <c r="H147" s="110"/>
      <c r="I147" s="110"/>
      <c r="J147" s="110"/>
      <c r="K147" s="182">
        <f t="shared" si="7"/>
        <v>0</v>
      </c>
      <c r="L147" s="182">
        <f t="shared" si="8"/>
        <v>0</v>
      </c>
      <c r="M147" s="182">
        <v>316.88</v>
      </c>
      <c r="N147" s="15">
        <f>+M147*1000/(75.2*4*16*60)*T147</f>
        <v>6.5841090425531918</v>
      </c>
      <c r="O147" s="182"/>
      <c r="P147" s="182">
        <f t="shared" si="9"/>
        <v>0</v>
      </c>
      <c r="Q147" s="182"/>
      <c r="R147" s="19">
        <f t="shared" si="10"/>
        <v>0</v>
      </c>
      <c r="S147" s="182">
        <f t="shared" si="11"/>
        <v>0</v>
      </c>
      <c r="T147" s="20">
        <v>6</v>
      </c>
      <c r="U147" s="20"/>
      <c r="V147" s="179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8">
        <v>300312</v>
      </c>
      <c r="B148" s="171">
        <v>6504</v>
      </c>
      <c r="C148" s="219" t="s">
        <v>137</v>
      </c>
      <c r="D148" s="219"/>
      <c r="E148" s="184" t="s">
        <v>139</v>
      </c>
      <c r="F148" s="27"/>
      <c r="G148" s="110"/>
      <c r="H148" s="110"/>
      <c r="I148" s="110"/>
      <c r="J148" s="110"/>
      <c r="K148" s="182">
        <f t="shared" si="7"/>
        <v>0</v>
      </c>
      <c r="L148" s="182">
        <f t="shared" si="8"/>
        <v>0</v>
      </c>
      <c r="M148" s="182">
        <v>316.88</v>
      </c>
      <c r="N148" s="15">
        <f>+M148*1000/(75.2*4*16*60)*T148</f>
        <v>6.5841090425531918</v>
      </c>
      <c r="O148" s="182"/>
      <c r="P148" s="182">
        <f t="shared" si="9"/>
        <v>0</v>
      </c>
      <c r="Q148" s="182"/>
      <c r="R148" s="19">
        <f t="shared" si="10"/>
        <v>0</v>
      </c>
      <c r="S148" s="182">
        <f t="shared" si="11"/>
        <v>0</v>
      </c>
      <c r="T148" s="20">
        <v>6</v>
      </c>
      <c r="U148" s="20"/>
      <c r="V148" s="179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8">
        <v>300311</v>
      </c>
      <c r="B149" s="171">
        <v>6504</v>
      </c>
      <c r="C149" s="230" t="s">
        <v>137</v>
      </c>
      <c r="D149" s="231"/>
      <c r="E149" s="184" t="s">
        <v>74</v>
      </c>
      <c r="F149" s="27"/>
      <c r="G149" s="110"/>
      <c r="H149" s="110"/>
      <c r="I149" s="110"/>
      <c r="J149" s="110"/>
      <c r="K149" s="182">
        <f t="shared" si="7"/>
        <v>0</v>
      </c>
      <c r="L149" s="182">
        <f t="shared" si="8"/>
        <v>0</v>
      </c>
      <c r="M149" s="182">
        <v>316.88</v>
      </c>
      <c r="N149" s="15">
        <f>+M149*1000/(75.2*4*16*60)*T149</f>
        <v>6.5841090425531918</v>
      </c>
      <c r="O149" s="182"/>
      <c r="P149" s="182">
        <f t="shared" si="9"/>
        <v>0</v>
      </c>
      <c r="Q149" s="182"/>
      <c r="R149" s="19">
        <f t="shared" si="10"/>
        <v>0</v>
      </c>
      <c r="S149" s="182">
        <f t="shared" si="11"/>
        <v>0</v>
      </c>
      <c r="T149" s="20">
        <v>6</v>
      </c>
      <c r="U149" s="20"/>
      <c r="V149" s="179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8">
        <v>300399</v>
      </c>
      <c r="B150" s="171">
        <v>18501</v>
      </c>
      <c r="C150" s="235" t="s">
        <v>140</v>
      </c>
      <c r="D150" s="236"/>
      <c r="E150" s="32" t="s">
        <v>41</v>
      </c>
      <c r="F150" s="27"/>
      <c r="G150" s="110"/>
      <c r="H150" s="110"/>
      <c r="I150" s="110"/>
      <c r="J150" s="110"/>
      <c r="K150" s="182">
        <f t="shared" si="7"/>
        <v>0</v>
      </c>
      <c r="L150" s="182">
        <f t="shared" si="8"/>
        <v>0</v>
      </c>
      <c r="M150" s="182">
        <v>311.2</v>
      </c>
      <c r="N150" s="40">
        <f>+M150*1000/(100*4*16*60)*T150</f>
        <v>4.8624999999999998</v>
      </c>
      <c r="O150" s="182"/>
      <c r="P150" s="182">
        <f t="shared" si="9"/>
        <v>0</v>
      </c>
      <c r="Q150" s="182"/>
      <c r="R150" s="19">
        <f t="shared" si="10"/>
        <v>0</v>
      </c>
      <c r="S150" s="182">
        <f t="shared" si="11"/>
        <v>0</v>
      </c>
      <c r="T150" s="43">
        <v>6</v>
      </c>
      <c r="U150" s="20"/>
      <c r="V150" s="179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8">
        <v>300400</v>
      </c>
      <c r="B151" s="171">
        <v>18501</v>
      </c>
      <c r="C151" s="235" t="s">
        <v>140</v>
      </c>
      <c r="D151" s="236"/>
      <c r="E151" s="32" t="s">
        <v>66</v>
      </c>
      <c r="F151" s="27"/>
      <c r="G151" s="110"/>
      <c r="H151" s="110"/>
      <c r="I151" s="110"/>
      <c r="J151" s="110"/>
      <c r="K151" s="182">
        <f t="shared" si="7"/>
        <v>0</v>
      </c>
      <c r="L151" s="182">
        <f t="shared" si="8"/>
        <v>0</v>
      </c>
      <c r="M151" s="182">
        <v>311.2</v>
      </c>
      <c r="N151" s="40">
        <f>+M151*1000/(100*4*16*60)*T151</f>
        <v>4.8624999999999998</v>
      </c>
      <c r="O151" s="182"/>
      <c r="P151" s="182">
        <f t="shared" si="9"/>
        <v>0</v>
      </c>
      <c r="Q151" s="182"/>
      <c r="R151" s="19">
        <f t="shared" si="10"/>
        <v>0</v>
      </c>
      <c r="S151" s="182">
        <f t="shared" si="11"/>
        <v>0</v>
      </c>
      <c r="T151" s="43">
        <v>6</v>
      </c>
      <c r="U151" s="20"/>
      <c r="V151" s="179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8">
        <v>300401</v>
      </c>
      <c r="B152" s="171">
        <v>18501</v>
      </c>
      <c r="C152" s="235" t="s">
        <v>140</v>
      </c>
      <c r="D152" s="236"/>
      <c r="E152" s="32" t="s">
        <v>141</v>
      </c>
      <c r="F152" s="27"/>
      <c r="G152" s="110"/>
      <c r="H152" s="110"/>
      <c r="I152" s="110"/>
      <c r="J152" s="110"/>
      <c r="K152" s="182">
        <f t="shared" si="7"/>
        <v>0</v>
      </c>
      <c r="L152" s="182">
        <f t="shared" si="8"/>
        <v>0</v>
      </c>
      <c r="M152" s="182">
        <v>311.2</v>
      </c>
      <c r="N152" s="40">
        <f>+M152*1000/(100*4*16*60)*T152</f>
        <v>4.8624999999999998</v>
      </c>
      <c r="O152" s="182"/>
      <c r="P152" s="182">
        <f t="shared" si="9"/>
        <v>0</v>
      </c>
      <c r="Q152" s="182"/>
      <c r="R152" s="19">
        <f t="shared" si="10"/>
        <v>0</v>
      </c>
      <c r="S152" s="182">
        <f t="shared" si="11"/>
        <v>0</v>
      </c>
      <c r="T152" s="43">
        <v>6</v>
      </c>
      <c r="U152" s="20"/>
      <c r="V152" s="179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8">
        <v>300402</v>
      </c>
      <c r="B153" s="171">
        <v>18501</v>
      </c>
      <c r="C153" s="235" t="s">
        <v>142</v>
      </c>
      <c r="D153" s="236"/>
      <c r="E153" s="32" t="s">
        <v>143</v>
      </c>
      <c r="F153" s="27"/>
      <c r="G153" s="110"/>
      <c r="H153" s="110"/>
      <c r="I153" s="110"/>
      <c r="J153" s="110"/>
      <c r="K153" s="182">
        <f t="shared" si="7"/>
        <v>0</v>
      </c>
      <c r="L153" s="182">
        <f t="shared" si="8"/>
        <v>0</v>
      </c>
      <c r="M153" s="182">
        <v>465.3</v>
      </c>
      <c r="N153" s="40">
        <f>+M153*1000/(137*4*16*60)*T153</f>
        <v>5.3067974452554747</v>
      </c>
      <c r="O153" s="182"/>
      <c r="P153" s="182">
        <f t="shared" si="9"/>
        <v>0</v>
      </c>
      <c r="Q153" s="182"/>
      <c r="R153" s="19">
        <f t="shared" si="10"/>
        <v>0</v>
      </c>
      <c r="S153" s="182">
        <f t="shared" si="11"/>
        <v>0</v>
      </c>
      <c r="T153" s="43">
        <v>6</v>
      </c>
      <c r="U153" s="20"/>
      <c r="V153" s="179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8">
        <v>300403</v>
      </c>
      <c r="B154" s="171">
        <v>18501</v>
      </c>
      <c r="C154" s="235" t="s">
        <v>142</v>
      </c>
      <c r="D154" s="236"/>
      <c r="E154" s="32" t="s">
        <v>144</v>
      </c>
      <c r="F154" s="27"/>
      <c r="G154" s="110"/>
      <c r="H154" s="110"/>
      <c r="I154" s="110"/>
      <c r="J154" s="110"/>
      <c r="K154" s="182">
        <f t="shared" ref="K154:K198" si="15">G154*M154</f>
        <v>0</v>
      </c>
      <c r="L154" s="182">
        <f t="shared" ref="L154:L198" si="16">I154*M154</f>
        <v>0</v>
      </c>
      <c r="M154" s="182">
        <v>465.3</v>
      </c>
      <c r="N154" s="40">
        <f>+M154*1000/(137*4*16*60)*T154</f>
        <v>5.3067974452554747</v>
      </c>
      <c r="O154" s="182"/>
      <c r="P154" s="182">
        <f t="shared" ref="P154:P198" si="17">N154*I154+O154*U154</f>
        <v>0</v>
      </c>
      <c r="Q154" s="182"/>
      <c r="R154" s="19">
        <f t="shared" ref="R154:R198" si="18">Q154*U154</f>
        <v>0</v>
      </c>
      <c r="S154" s="182">
        <f t="shared" ref="S154:S198" si="19">R154-P154</f>
        <v>0</v>
      </c>
      <c r="T154" s="43">
        <v>6</v>
      </c>
      <c r="U154" s="20"/>
      <c r="V154" s="179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8">
        <v>300404</v>
      </c>
      <c r="B155" s="171">
        <v>18501</v>
      </c>
      <c r="C155" s="235" t="s">
        <v>142</v>
      </c>
      <c r="D155" s="236"/>
      <c r="E155" s="32" t="s">
        <v>70</v>
      </c>
      <c r="F155" s="27"/>
      <c r="G155" s="110"/>
      <c r="H155" s="110"/>
      <c r="I155" s="110"/>
      <c r="J155" s="110"/>
      <c r="K155" s="182">
        <f t="shared" si="15"/>
        <v>0</v>
      </c>
      <c r="L155" s="182">
        <f t="shared" si="16"/>
        <v>0</v>
      </c>
      <c r="M155" s="182">
        <v>465.3</v>
      </c>
      <c r="N155" s="40">
        <f>+M155*1000/(137*4*16*60)*T155</f>
        <v>5.3067974452554747</v>
      </c>
      <c r="O155" s="182"/>
      <c r="P155" s="182">
        <f t="shared" si="17"/>
        <v>0</v>
      </c>
      <c r="Q155" s="182"/>
      <c r="R155" s="19">
        <f t="shared" si="18"/>
        <v>0</v>
      </c>
      <c r="S155" s="182">
        <f t="shared" si="19"/>
        <v>0</v>
      </c>
      <c r="T155" s="43">
        <v>6</v>
      </c>
      <c r="U155" s="20"/>
      <c r="V155" s="179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8">
        <v>300405</v>
      </c>
      <c r="B156" s="171">
        <v>18501</v>
      </c>
      <c r="C156" s="235" t="s">
        <v>142</v>
      </c>
      <c r="D156" s="236"/>
      <c r="E156" s="32" t="s">
        <v>35</v>
      </c>
      <c r="F156" s="27"/>
      <c r="G156" s="110"/>
      <c r="H156" s="110"/>
      <c r="I156" s="110"/>
      <c r="J156" s="110"/>
      <c r="K156" s="182">
        <f t="shared" si="15"/>
        <v>0</v>
      </c>
      <c r="L156" s="182">
        <f t="shared" si="16"/>
        <v>0</v>
      </c>
      <c r="M156" s="182">
        <v>465.3</v>
      </c>
      <c r="N156" s="40">
        <f>+M156*1000/(137*4*16*60)*T156</f>
        <v>5.3067974452554747</v>
      </c>
      <c r="O156" s="182"/>
      <c r="P156" s="182">
        <f t="shared" si="17"/>
        <v>0</v>
      </c>
      <c r="Q156" s="182"/>
      <c r="R156" s="19">
        <f t="shared" si="18"/>
        <v>0</v>
      </c>
      <c r="S156" s="182">
        <f t="shared" si="19"/>
        <v>0</v>
      </c>
      <c r="T156" s="43">
        <v>6</v>
      </c>
      <c r="U156" s="20"/>
      <c r="V156" s="179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8">
        <v>300372</v>
      </c>
      <c r="B157" s="171">
        <v>18501</v>
      </c>
      <c r="C157" s="230" t="s">
        <v>145</v>
      </c>
      <c r="D157" s="231"/>
      <c r="E157" s="184" t="s">
        <v>47</v>
      </c>
      <c r="F157" s="27"/>
      <c r="G157" s="110"/>
      <c r="H157" s="110"/>
      <c r="I157" s="110"/>
      <c r="J157" s="110"/>
      <c r="K157" s="182">
        <f t="shared" si="15"/>
        <v>0</v>
      </c>
      <c r="L157" s="182">
        <f t="shared" si="16"/>
        <v>0</v>
      </c>
      <c r="M157" s="182">
        <v>420.58</v>
      </c>
      <c r="N157" s="15">
        <f>+M157*1000/(140*4*16*60)*T157</f>
        <v>4.6939732142857142</v>
      </c>
      <c r="O157" s="182"/>
      <c r="P157" s="182">
        <f t="shared" si="17"/>
        <v>0</v>
      </c>
      <c r="Q157" s="182"/>
      <c r="R157" s="19">
        <f t="shared" si="18"/>
        <v>0</v>
      </c>
      <c r="S157" s="182">
        <f t="shared" si="19"/>
        <v>0</v>
      </c>
      <c r="T157" s="20">
        <v>6</v>
      </c>
      <c r="U157" s="20"/>
      <c r="V157" s="179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8">
        <v>300373</v>
      </c>
      <c r="B158" s="171">
        <v>18501</v>
      </c>
      <c r="C158" s="230" t="s">
        <v>145</v>
      </c>
      <c r="D158" s="231"/>
      <c r="E158" s="184" t="s">
        <v>138</v>
      </c>
      <c r="F158" s="27"/>
      <c r="G158" s="110"/>
      <c r="H158" s="110"/>
      <c r="I158" s="110"/>
      <c r="J158" s="110"/>
      <c r="K158" s="182">
        <f t="shared" si="15"/>
        <v>0</v>
      </c>
      <c r="L158" s="182">
        <f t="shared" si="16"/>
        <v>0</v>
      </c>
      <c r="M158" s="182">
        <v>420.58</v>
      </c>
      <c r="N158" s="15">
        <f>+M158*1000/(140*4*16*60)*T158</f>
        <v>4.6939732142857142</v>
      </c>
      <c r="O158" s="182"/>
      <c r="P158" s="182">
        <f t="shared" si="17"/>
        <v>0</v>
      </c>
      <c r="Q158" s="182"/>
      <c r="R158" s="19">
        <f t="shared" si="18"/>
        <v>0</v>
      </c>
      <c r="S158" s="182">
        <f t="shared" si="19"/>
        <v>0</v>
      </c>
      <c r="T158" s="20">
        <v>6</v>
      </c>
      <c r="U158" s="20"/>
      <c r="V158" s="179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8">
        <v>300374</v>
      </c>
      <c r="B159" s="171">
        <v>18501</v>
      </c>
      <c r="C159" s="230" t="s">
        <v>145</v>
      </c>
      <c r="D159" s="231"/>
      <c r="E159" s="184" t="s">
        <v>139</v>
      </c>
      <c r="F159" s="27"/>
      <c r="G159" s="110"/>
      <c r="H159" s="110"/>
      <c r="I159" s="110"/>
      <c r="J159" s="110"/>
      <c r="K159" s="182">
        <f t="shared" si="15"/>
        <v>0</v>
      </c>
      <c r="L159" s="182">
        <f t="shared" si="16"/>
        <v>0</v>
      </c>
      <c r="M159" s="182">
        <v>420.58</v>
      </c>
      <c r="N159" s="15">
        <f>+M159*1000/(140*4*16*60)*T159</f>
        <v>4.6939732142857142</v>
      </c>
      <c r="O159" s="182"/>
      <c r="P159" s="182">
        <f t="shared" si="17"/>
        <v>0</v>
      </c>
      <c r="Q159" s="182"/>
      <c r="R159" s="19">
        <f t="shared" si="18"/>
        <v>0</v>
      </c>
      <c r="S159" s="182">
        <f t="shared" si="19"/>
        <v>0</v>
      </c>
      <c r="T159" s="20">
        <v>6</v>
      </c>
      <c r="U159" s="20"/>
      <c r="V159" s="179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8">
        <v>300375</v>
      </c>
      <c r="B160" s="171">
        <v>18501</v>
      </c>
      <c r="C160" s="230" t="s">
        <v>145</v>
      </c>
      <c r="D160" s="231"/>
      <c r="E160" s="184" t="s">
        <v>74</v>
      </c>
      <c r="F160" s="27"/>
      <c r="G160" s="110"/>
      <c r="H160" s="110"/>
      <c r="I160" s="110"/>
      <c r="J160" s="110"/>
      <c r="K160" s="182">
        <f t="shared" si="15"/>
        <v>0</v>
      </c>
      <c r="L160" s="182">
        <f t="shared" si="16"/>
        <v>0</v>
      </c>
      <c r="M160" s="182">
        <v>420.58</v>
      </c>
      <c r="N160" s="15">
        <f>+M160*1000/(140*4*16*60)*T160</f>
        <v>4.6939732142857142</v>
      </c>
      <c r="O160" s="182"/>
      <c r="P160" s="182">
        <f t="shared" si="17"/>
        <v>0</v>
      </c>
      <c r="Q160" s="182"/>
      <c r="R160" s="19">
        <f t="shared" si="18"/>
        <v>0</v>
      </c>
      <c r="S160" s="182">
        <f t="shared" si="19"/>
        <v>0</v>
      </c>
      <c r="T160" s="20">
        <v>6</v>
      </c>
      <c r="U160" s="20"/>
      <c r="V160" s="179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8">
        <v>300341</v>
      </c>
      <c r="B161" s="171">
        <v>18501</v>
      </c>
      <c r="C161" s="237" t="s">
        <v>146</v>
      </c>
      <c r="D161" s="238"/>
      <c r="E161" s="184" t="s">
        <v>39</v>
      </c>
      <c r="F161" s="27"/>
      <c r="G161" s="110"/>
      <c r="H161" s="110"/>
      <c r="I161" s="110"/>
      <c r="J161" s="110"/>
      <c r="K161" s="182">
        <f t="shared" si="15"/>
        <v>0</v>
      </c>
      <c r="L161" s="182">
        <f t="shared" si="16"/>
        <v>0</v>
      </c>
      <c r="M161" s="182">
        <v>439.3</v>
      </c>
      <c r="N161" s="15">
        <f t="shared" ref="N161:N167" si="20">+M161*1000/(169.7*4*13*60)*T161</f>
        <v>4.1485351223123761</v>
      </c>
      <c r="O161" s="182"/>
      <c r="P161" s="182">
        <f t="shared" si="17"/>
        <v>0</v>
      </c>
      <c r="Q161" s="182"/>
      <c r="R161" s="19">
        <f t="shared" si="18"/>
        <v>0</v>
      </c>
      <c r="S161" s="182">
        <f t="shared" si="19"/>
        <v>0</v>
      </c>
      <c r="T161" s="20">
        <v>5</v>
      </c>
      <c r="U161" s="20"/>
      <c r="V161" s="179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8">
        <v>300342</v>
      </c>
      <c r="B162" s="171">
        <v>18501</v>
      </c>
      <c r="C162" s="237" t="s">
        <v>146</v>
      </c>
      <c r="D162" s="238"/>
      <c r="E162" s="184" t="s">
        <v>80</v>
      </c>
      <c r="F162" s="27"/>
      <c r="G162" s="110"/>
      <c r="H162" s="110"/>
      <c r="I162" s="110"/>
      <c r="J162" s="110"/>
      <c r="K162" s="182">
        <f t="shared" si="15"/>
        <v>0</v>
      </c>
      <c r="L162" s="182">
        <f t="shared" si="16"/>
        <v>0</v>
      </c>
      <c r="M162" s="182">
        <v>439.3</v>
      </c>
      <c r="N162" s="15">
        <f t="shared" si="20"/>
        <v>4.1485351223123761</v>
      </c>
      <c r="O162" s="182"/>
      <c r="P162" s="182">
        <f t="shared" si="17"/>
        <v>0</v>
      </c>
      <c r="Q162" s="182"/>
      <c r="R162" s="19">
        <f t="shared" si="18"/>
        <v>0</v>
      </c>
      <c r="S162" s="182">
        <f t="shared" si="19"/>
        <v>0</v>
      </c>
      <c r="T162" s="20">
        <v>5</v>
      </c>
      <c r="U162" s="20"/>
      <c r="V162" s="179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8">
        <v>300343</v>
      </c>
      <c r="B163" s="171">
        <v>18501</v>
      </c>
      <c r="C163" s="237" t="s">
        <v>146</v>
      </c>
      <c r="D163" s="238"/>
      <c r="E163" s="184" t="s">
        <v>35</v>
      </c>
      <c r="F163" s="27"/>
      <c r="G163" s="110"/>
      <c r="H163" s="110"/>
      <c r="I163" s="110"/>
      <c r="J163" s="110"/>
      <c r="K163" s="182">
        <f t="shared" si="15"/>
        <v>0</v>
      </c>
      <c r="L163" s="182">
        <f t="shared" si="16"/>
        <v>0</v>
      </c>
      <c r="M163" s="182">
        <v>455.4</v>
      </c>
      <c r="N163" s="15">
        <f t="shared" si="20"/>
        <v>4.3005756765332483</v>
      </c>
      <c r="O163" s="182"/>
      <c r="P163" s="182">
        <f t="shared" si="17"/>
        <v>0</v>
      </c>
      <c r="Q163" s="182"/>
      <c r="R163" s="19">
        <f t="shared" si="18"/>
        <v>0</v>
      </c>
      <c r="S163" s="182">
        <f t="shared" si="19"/>
        <v>0</v>
      </c>
      <c r="T163" s="20">
        <v>5</v>
      </c>
      <c r="U163" s="20"/>
      <c r="V163" s="179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8">
        <v>300344</v>
      </c>
      <c r="B164" s="171">
        <v>18501</v>
      </c>
      <c r="C164" s="237" t="s">
        <v>146</v>
      </c>
      <c r="D164" s="238"/>
      <c r="E164" s="184" t="s">
        <v>40</v>
      </c>
      <c r="F164" s="27"/>
      <c r="G164" s="110"/>
      <c r="H164" s="110"/>
      <c r="I164" s="110"/>
      <c r="J164" s="110"/>
      <c r="K164" s="182">
        <f t="shared" si="15"/>
        <v>0</v>
      </c>
      <c r="L164" s="182">
        <f t="shared" si="16"/>
        <v>0</v>
      </c>
      <c r="M164" s="182">
        <v>455.4</v>
      </c>
      <c r="N164" s="15">
        <f t="shared" si="20"/>
        <v>4.3005756765332483</v>
      </c>
      <c r="O164" s="182"/>
      <c r="P164" s="182">
        <f t="shared" si="17"/>
        <v>0</v>
      </c>
      <c r="Q164" s="182"/>
      <c r="R164" s="19">
        <f t="shared" si="18"/>
        <v>0</v>
      </c>
      <c r="S164" s="182">
        <f t="shared" si="19"/>
        <v>0</v>
      </c>
      <c r="T164" s="20">
        <v>5</v>
      </c>
      <c r="U164" s="20"/>
      <c r="V164" s="179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8">
        <v>300396</v>
      </c>
      <c r="B165" s="171">
        <v>18501</v>
      </c>
      <c r="C165" s="239" t="s">
        <v>147</v>
      </c>
      <c r="D165" s="240"/>
      <c r="E165" s="32" t="s">
        <v>41</v>
      </c>
      <c r="F165" s="27"/>
      <c r="G165" s="110"/>
      <c r="H165" s="110"/>
      <c r="I165" s="110"/>
      <c r="J165" s="110"/>
      <c r="K165" s="182">
        <f t="shared" si="15"/>
        <v>0</v>
      </c>
      <c r="L165" s="182">
        <f t="shared" si="16"/>
        <v>0</v>
      </c>
      <c r="M165" s="40">
        <v>417.1</v>
      </c>
      <c r="N165" s="15">
        <f t="shared" si="20"/>
        <v>3.9388891407158937</v>
      </c>
      <c r="O165" s="182"/>
      <c r="P165" s="182">
        <f t="shared" si="17"/>
        <v>0</v>
      </c>
      <c r="Q165" s="182"/>
      <c r="R165" s="19">
        <f t="shared" si="18"/>
        <v>0</v>
      </c>
      <c r="S165" s="182">
        <f t="shared" si="19"/>
        <v>0</v>
      </c>
      <c r="T165" s="20">
        <v>5</v>
      </c>
      <c r="U165" s="20"/>
      <c r="V165" s="179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8">
        <v>300397</v>
      </c>
      <c r="B166" s="171">
        <v>18501</v>
      </c>
      <c r="C166" s="239" t="s">
        <v>147</v>
      </c>
      <c r="D166" s="240"/>
      <c r="E166" s="32" t="s">
        <v>66</v>
      </c>
      <c r="F166" s="27"/>
      <c r="G166" s="110"/>
      <c r="H166" s="110"/>
      <c r="I166" s="110"/>
      <c r="J166" s="110"/>
      <c r="K166" s="182">
        <f t="shared" si="15"/>
        <v>0</v>
      </c>
      <c r="L166" s="182">
        <f t="shared" si="16"/>
        <v>0</v>
      </c>
      <c r="M166" s="40">
        <v>417.1</v>
      </c>
      <c r="N166" s="15">
        <f t="shared" si="20"/>
        <v>3.9388891407158937</v>
      </c>
      <c r="O166" s="182"/>
      <c r="P166" s="182">
        <f t="shared" si="17"/>
        <v>0</v>
      </c>
      <c r="Q166" s="182"/>
      <c r="R166" s="19">
        <f t="shared" si="18"/>
        <v>0</v>
      </c>
      <c r="S166" s="182">
        <f t="shared" si="19"/>
        <v>0</v>
      </c>
      <c r="T166" s="20">
        <v>5</v>
      </c>
      <c r="U166" s="20"/>
      <c r="V166" s="179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8">
        <v>300398</v>
      </c>
      <c r="B167" s="171">
        <v>18501</v>
      </c>
      <c r="C167" s="239" t="s">
        <v>147</v>
      </c>
      <c r="D167" s="240"/>
      <c r="E167" s="32" t="s">
        <v>141</v>
      </c>
      <c r="F167" s="27"/>
      <c r="G167" s="110"/>
      <c r="H167" s="110"/>
      <c r="I167" s="110"/>
      <c r="J167" s="110"/>
      <c r="K167" s="182">
        <f t="shared" si="15"/>
        <v>0</v>
      </c>
      <c r="L167" s="182">
        <f t="shared" si="16"/>
        <v>0</v>
      </c>
      <c r="M167" s="40">
        <v>417.1</v>
      </c>
      <c r="N167" s="15">
        <f t="shared" si="20"/>
        <v>3.9388891407158937</v>
      </c>
      <c r="O167" s="182"/>
      <c r="P167" s="182">
        <f t="shared" si="17"/>
        <v>0</v>
      </c>
      <c r="Q167" s="182"/>
      <c r="R167" s="19">
        <f t="shared" si="18"/>
        <v>0</v>
      </c>
      <c r="S167" s="182">
        <f t="shared" si="19"/>
        <v>0</v>
      </c>
      <c r="T167" s="20">
        <v>5</v>
      </c>
      <c r="U167" s="20"/>
      <c r="V167" s="179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8">
        <v>300271</v>
      </c>
      <c r="B168" s="171">
        <v>18501</v>
      </c>
      <c r="C168" s="219" t="s">
        <v>148</v>
      </c>
      <c r="D168" s="219"/>
      <c r="E168" s="184" t="s">
        <v>134</v>
      </c>
      <c r="F168" s="27"/>
      <c r="G168" s="110"/>
      <c r="H168" s="110"/>
      <c r="I168" s="110"/>
      <c r="J168" s="110"/>
      <c r="K168" s="182">
        <f t="shared" si="15"/>
        <v>0</v>
      </c>
      <c r="L168" s="182">
        <f t="shared" si="16"/>
        <v>0</v>
      </c>
      <c r="M168" s="182">
        <v>580.1</v>
      </c>
      <c r="N168" s="182">
        <f>+M168*1000/(202*4*13*60)*T168</f>
        <v>3.6817720233561819</v>
      </c>
      <c r="O168" s="182"/>
      <c r="P168" s="182">
        <f t="shared" si="17"/>
        <v>0</v>
      </c>
      <c r="Q168" s="182"/>
      <c r="R168" s="19">
        <f t="shared" si="18"/>
        <v>0</v>
      </c>
      <c r="S168" s="182">
        <f t="shared" si="19"/>
        <v>0</v>
      </c>
      <c r="T168" s="20">
        <v>4</v>
      </c>
      <c r="U168" s="20"/>
      <c r="V168" s="179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8">
        <v>300009</v>
      </c>
      <c r="B169" s="171">
        <v>18501</v>
      </c>
      <c r="C169" s="219" t="s">
        <v>149</v>
      </c>
      <c r="D169" s="219" t="s">
        <v>150</v>
      </c>
      <c r="E169" s="184" t="s">
        <v>127</v>
      </c>
      <c r="F169" s="27"/>
      <c r="G169" s="110"/>
      <c r="H169" s="110"/>
      <c r="I169" s="110"/>
      <c r="J169" s="110"/>
      <c r="K169" s="182">
        <f t="shared" si="15"/>
        <v>0</v>
      </c>
      <c r="L169" s="182">
        <f t="shared" si="16"/>
        <v>0</v>
      </c>
      <c r="M169" s="15">
        <v>520.79999999999995</v>
      </c>
      <c r="N169" s="182">
        <f>+M169*1000/(188*4*13*60)*T169</f>
        <v>5.3273322422258591</v>
      </c>
      <c r="O169" s="182"/>
      <c r="P169" s="182">
        <f t="shared" si="17"/>
        <v>0</v>
      </c>
      <c r="Q169" s="182"/>
      <c r="R169" s="19">
        <f t="shared" si="18"/>
        <v>0</v>
      </c>
      <c r="S169" s="182">
        <f t="shared" si="19"/>
        <v>0</v>
      </c>
      <c r="T169" s="20">
        <v>6</v>
      </c>
      <c r="U169" s="20"/>
      <c r="V169" s="179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8">
        <v>300010</v>
      </c>
      <c r="B170" s="171">
        <v>18501</v>
      </c>
      <c r="C170" s="219" t="s">
        <v>149</v>
      </c>
      <c r="D170" s="219" t="s">
        <v>150</v>
      </c>
      <c r="E170" s="184" t="s">
        <v>80</v>
      </c>
      <c r="F170" s="27"/>
      <c r="G170" s="110"/>
      <c r="H170" s="110"/>
      <c r="I170" s="110"/>
      <c r="J170" s="113"/>
      <c r="K170" s="182">
        <f t="shared" si="15"/>
        <v>0</v>
      </c>
      <c r="L170" s="182">
        <f t="shared" si="16"/>
        <v>0</v>
      </c>
      <c r="M170" s="15">
        <v>530.9</v>
      </c>
      <c r="N170" s="182">
        <f>+M170*1000/(188*4*13*60)*T170</f>
        <v>4.5255387343153304</v>
      </c>
      <c r="O170" s="182"/>
      <c r="P170" s="182">
        <f t="shared" si="17"/>
        <v>0</v>
      </c>
      <c r="Q170" s="182"/>
      <c r="R170" s="19">
        <f t="shared" si="18"/>
        <v>0</v>
      </c>
      <c r="S170" s="182">
        <f t="shared" si="19"/>
        <v>0</v>
      </c>
      <c r="T170" s="20">
        <v>5</v>
      </c>
      <c r="U170" s="20"/>
      <c r="V170" s="179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8">
        <v>300305</v>
      </c>
      <c r="B171" s="171">
        <v>18501</v>
      </c>
      <c r="C171" s="219" t="s">
        <v>151</v>
      </c>
      <c r="D171" s="219" t="s">
        <v>152</v>
      </c>
      <c r="E171" s="184" t="s">
        <v>57</v>
      </c>
      <c r="F171" s="27"/>
      <c r="G171" s="110"/>
      <c r="H171" s="110"/>
      <c r="I171" s="110"/>
      <c r="J171" s="113"/>
      <c r="K171" s="182">
        <f t="shared" si="15"/>
        <v>0</v>
      </c>
      <c r="L171" s="182">
        <f t="shared" si="16"/>
        <v>0</v>
      </c>
      <c r="M171" s="182">
        <v>530.20000000000005</v>
      </c>
      <c r="N171" s="182">
        <f t="shared" ref="N171:N176" si="21">+M171*1000/(202*4*13*60)*T171</f>
        <v>4.2063340949479562</v>
      </c>
      <c r="O171" s="182"/>
      <c r="P171" s="182">
        <f t="shared" si="17"/>
        <v>0</v>
      </c>
      <c r="Q171" s="182"/>
      <c r="R171" s="19">
        <f t="shared" si="18"/>
        <v>0</v>
      </c>
      <c r="S171" s="182">
        <f t="shared" si="19"/>
        <v>0</v>
      </c>
      <c r="T171" s="20">
        <v>5</v>
      </c>
      <c r="U171" s="20"/>
      <c r="V171" s="179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8">
        <v>300306</v>
      </c>
      <c r="B172" s="171">
        <v>18501</v>
      </c>
      <c r="C172" s="219" t="s">
        <v>151</v>
      </c>
      <c r="D172" s="219" t="s">
        <v>152</v>
      </c>
      <c r="E172" s="184" t="s">
        <v>109</v>
      </c>
      <c r="F172" s="27"/>
      <c r="G172" s="110"/>
      <c r="H172" s="110"/>
      <c r="I172" s="110"/>
      <c r="J172" s="110"/>
      <c r="K172" s="182">
        <f t="shared" si="15"/>
        <v>0</v>
      </c>
      <c r="L172" s="182">
        <f t="shared" si="16"/>
        <v>0</v>
      </c>
      <c r="M172" s="182">
        <v>538.79999999999995</v>
      </c>
      <c r="N172" s="182">
        <f t="shared" si="21"/>
        <v>4.2745620715917747</v>
      </c>
      <c r="O172" s="182"/>
      <c r="P172" s="182">
        <f t="shared" si="17"/>
        <v>0</v>
      </c>
      <c r="Q172" s="182"/>
      <c r="R172" s="19">
        <f t="shared" si="18"/>
        <v>0</v>
      </c>
      <c r="S172" s="182">
        <f t="shared" si="19"/>
        <v>0</v>
      </c>
      <c r="T172" s="20">
        <v>5</v>
      </c>
      <c r="U172" s="20"/>
      <c r="V172" s="179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8">
        <v>300307</v>
      </c>
      <c r="B173" s="171">
        <v>18501</v>
      </c>
      <c r="C173" s="219" t="s">
        <v>151</v>
      </c>
      <c r="D173" s="219" t="s">
        <v>152</v>
      </c>
      <c r="E173" s="184" t="s">
        <v>125</v>
      </c>
      <c r="F173" s="27"/>
      <c r="G173" s="110"/>
      <c r="H173" s="110"/>
      <c r="I173" s="110"/>
      <c r="J173" s="110"/>
      <c r="K173" s="182">
        <f t="shared" si="15"/>
        <v>0</v>
      </c>
      <c r="L173" s="182">
        <f t="shared" si="16"/>
        <v>0</v>
      </c>
      <c r="M173" s="182">
        <v>569</v>
      </c>
      <c r="N173" s="182">
        <f t="shared" si="21"/>
        <v>4.5141533384107637</v>
      </c>
      <c r="O173" s="182"/>
      <c r="P173" s="182">
        <f t="shared" si="17"/>
        <v>0</v>
      </c>
      <c r="Q173" s="182"/>
      <c r="R173" s="19">
        <f t="shared" si="18"/>
        <v>0</v>
      </c>
      <c r="S173" s="182">
        <f t="shared" si="19"/>
        <v>0</v>
      </c>
      <c r="T173" s="20">
        <v>5</v>
      </c>
      <c r="U173" s="20"/>
      <c r="V173" s="179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8">
        <v>300308</v>
      </c>
      <c r="B174" s="171">
        <v>18501</v>
      </c>
      <c r="C174" s="219" t="s">
        <v>151</v>
      </c>
      <c r="D174" s="219" t="s">
        <v>152</v>
      </c>
      <c r="E174" s="184" t="s">
        <v>124</v>
      </c>
      <c r="F174" s="27"/>
      <c r="G174" s="110"/>
      <c r="H174" s="110"/>
      <c r="I174" s="110"/>
      <c r="J174" s="110"/>
      <c r="K174" s="182">
        <f t="shared" si="15"/>
        <v>0</v>
      </c>
      <c r="L174" s="182">
        <f t="shared" si="16"/>
        <v>0</v>
      </c>
      <c r="M174" s="182">
        <v>523.6</v>
      </c>
      <c r="N174" s="182">
        <f t="shared" si="21"/>
        <v>4.1539730896166542</v>
      </c>
      <c r="O174" s="182"/>
      <c r="P174" s="182">
        <f t="shared" si="17"/>
        <v>0</v>
      </c>
      <c r="Q174" s="182"/>
      <c r="R174" s="19">
        <f t="shared" si="18"/>
        <v>0</v>
      </c>
      <c r="S174" s="182">
        <f t="shared" si="19"/>
        <v>0</v>
      </c>
      <c r="T174" s="20">
        <v>5</v>
      </c>
      <c r="U174" s="20"/>
      <c r="V174" s="179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8">
        <v>300182</v>
      </c>
      <c r="B175" s="171">
        <v>18501</v>
      </c>
      <c r="C175" s="219" t="s">
        <v>153</v>
      </c>
      <c r="D175" s="219" t="s">
        <v>152</v>
      </c>
      <c r="E175" s="184" t="s">
        <v>80</v>
      </c>
      <c r="F175" s="27"/>
      <c r="G175" s="110"/>
      <c r="H175" s="110"/>
      <c r="I175" s="110"/>
      <c r="J175" s="110"/>
      <c r="K175" s="182">
        <f t="shared" si="15"/>
        <v>0</v>
      </c>
      <c r="L175" s="182">
        <f t="shared" si="16"/>
        <v>0</v>
      </c>
      <c r="M175" s="15">
        <v>649.1</v>
      </c>
      <c r="N175" s="182">
        <f t="shared" si="21"/>
        <v>5.1496255394770252</v>
      </c>
      <c r="O175" s="182"/>
      <c r="P175" s="182">
        <f t="shared" si="17"/>
        <v>0</v>
      </c>
      <c r="Q175" s="182"/>
      <c r="R175" s="19">
        <f t="shared" si="18"/>
        <v>0</v>
      </c>
      <c r="S175" s="182">
        <f t="shared" si="19"/>
        <v>0</v>
      </c>
      <c r="T175" s="20">
        <v>5</v>
      </c>
      <c r="U175" s="20"/>
      <c r="V175" s="179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8">
        <v>300185</v>
      </c>
      <c r="B176" s="171">
        <v>18501</v>
      </c>
      <c r="C176" s="219" t="s">
        <v>153</v>
      </c>
      <c r="D176" s="219" t="s">
        <v>152</v>
      </c>
      <c r="E176" s="184" t="s">
        <v>127</v>
      </c>
      <c r="F176" s="27"/>
      <c r="G176" s="110"/>
      <c r="H176" s="110"/>
      <c r="I176" s="110"/>
      <c r="J176" s="110"/>
      <c r="K176" s="182">
        <f t="shared" si="15"/>
        <v>0</v>
      </c>
      <c r="L176" s="182">
        <f t="shared" si="16"/>
        <v>0</v>
      </c>
      <c r="M176" s="15">
        <v>638</v>
      </c>
      <c r="N176" s="182">
        <f t="shared" si="21"/>
        <v>6.0738766184310737</v>
      </c>
      <c r="O176" s="182"/>
      <c r="P176" s="182">
        <f t="shared" si="17"/>
        <v>0</v>
      </c>
      <c r="Q176" s="182"/>
      <c r="R176" s="19">
        <f t="shared" si="18"/>
        <v>0</v>
      </c>
      <c r="S176" s="182">
        <f t="shared" si="19"/>
        <v>0</v>
      </c>
      <c r="T176" s="20">
        <v>6</v>
      </c>
      <c r="U176" s="20"/>
      <c r="V176" s="179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8">
        <v>300272</v>
      </c>
      <c r="B177" s="171">
        <v>18502</v>
      </c>
      <c r="C177" s="219" t="s">
        <v>154</v>
      </c>
      <c r="D177" s="219"/>
      <c r="E177" s="184" t="s">
        <v>42</v>
      </c>
      <c r="F177" s="27"/>
      <c r="G177" s="110"/>
      <c r="H177" s="110"/>
      <c r="I177" s="110"/>
      <c r="J177" s="110"/>
      <c r="K177" s="182">
        <f t="shared" si="15"/>
        <v>0</v>
      </c>
      <c r="L177" s="182">
        <f t="shared" si="16"/>
        <v>0</v>
      </c>
      <c r="M177" s="182">
        <v>523.9</v>
      </c>
      <c r="N177" s="182">
        <f>+M177*1000/(128*4*13*60)*T177</f>
        <v>5.247395833333333</v>
      </c>
      <c r="O177" s="182"/>
      <c r="P177" s="182">
        <f t="shared" si="17"/>
        <v>0</v>
      </c>
      <c r="Q177" s="182"/>
      <c r="R177" s="19">
        <f t="shared" si="18"/>
        <v>0</v>
      </c>
      <c r="S177" s="182">
        <f t="shared" si="19"/>
        <v>0</v>
      </c>
      <c r="T177" s="20">
        <v>4</v>
      </c>
      <c r="U177" s="20"/>
      <c r="V177" s="179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8">
        <v>300273</v>
      </c>
      <c r="B178" s="171">
        <v>18502</v>
      </c>
      <c r="C178" s="219" t="s">
        <v>154</v>
      </c>
      <c r="D178" s="219"/>
      <c r="E178" s="184" t="s">
        <v>155</v>
      </c>
      <c r="F178" s="27"/>
      <c r="G178" s="110"/>
      <c r="H178" s="110"/>
      <c r="I178" s="110"/>
      <c r="J178" s="110"/>
      <c r="K178" s="182">
        <f t="shared" si="15"/>
        <v>0</v>
      </c>
      <c r="L178" s="182">
        <f t="shared" si="16"/>
        <v>0</v>
      </c>
      <c r="M178" s="182">
        <v>523.9</v>
      </c>
      <c r="N178" s="182">
        <f>+M178*1000/(128*4*13*60)*T178</f>
        <v>6.5592447916666661</v>
      </c>
      <c r="O178" s="182"/>
      <c r="P178" s="182">
        <f t="shared" si="17"/>
        <v>0</v>
      </c>
      <c r="Q178" s="182"/>
      <c r="R178" s="19">
        <f t="shared" si="18"/>
        <v>0</v>
      </c>
      <c r="S178" s="182">
        <f t="shared" si="19"/>
        <v>0</v>
      </c>
      <c r="T178" s="20">
        <v>5</v>
      </c>
      <c r="U178" s="20"/>
      <c r="V178" s="179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8">
        <v>300274</v>
      </c>
      <c r="B179" s="171">
        <v>18502</v>
      </c>
      <c r="C179" s="219" t="s">
        <v>154</v>
      </c>
      <c r="D179" s="219"/>
      <c r="E179" s="184" t="s">
        <v>138</v>
      </c>
      <c r="F179" s="27"/>
      <c r="G179" s="110"/>
      <c r="H179" s="110"/>
      <c r="I179" s="110"/>
      <c r="J179" s="110"/>
      <c r="K179" s="182">
        <f t="shared" si="15"/>
        <v>0</v>
      </c>
      <c r="L179" s="182">
        <f t="shared" si="16"/>
        <v>0</v>
      </c>
      <c r="M179" s="182">
        <v>523.9</v>
      </c>
      <c r="N179" s="182">
        <f>+M179*1000/(128*4*13*60)*T179</f>
        <v>5.247395833333333</v>
      </c>
      <c r="O179" s="182"/>
      <c r="P179" s="182">
        <f t="shared" si="17"/>
        <v>0</v>
      </c>
      <c r="Q179" s="182"/>
      <c r="R179" s="19">
        <f t="shared" si="18"/>
        <v>0</v>
      </c>
      <c r="S179" s="182">
        <f t="shared" si="19"/>
        <v>0</v>
      </c>
      <c r="T179" s="20">
        <v>4</v>
      </c>
      <c r="U179" s="20"/>
      <c r="V179" s="179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8">
        <v>300275</v>
      </c>
      <c r="B180" s="171">
        <v>18502</v>
      </c>
      <c r="C180" s="219" t="s">
        <v>154</v>
      </c>
      <c r="D180" s="219"/>
      <c r="E180" s="184" t="s">
        <v>156</v>
      </c>
      <c r="F180" s="27"/>
      <c r="G180" s="110"/>
      <c r="H180" s="110"/>
      <c r="I180" s="110"/>
      <c r="J180" s="110"/>
      <c r="K180" s="182">
        <f t="shared" si="15"/>
        <v>0</v>
      </c>
      <c r="L180" s="182">
        <f t="shared" si="16"/>
        <v>0</v>
      </c>
      <c r="M180" s="182">
        <v>523.9</v>
      </c>
      <c r="N180" s="182">
        <f>+M180*1000/(128*4*13*60)*T180</f>
        <v>5.247395833333333</v>
      </c>
      <c r="O180" s="182"/>
      <c r="P180" s="182">
        <f t="shared" si="17"/>
        <v>0</v>
      </c>
      <c r="Q180" s="182"/>
      <c r="R180" s="19">
        <f t="shared" si="18"/>
        <v>0</v>
      </c>
      <c r="S180" s="182">
        <f t="shared" si="19"/>
        <v>0</v>
      </c>
      <c r="T180" s="20">
        <v>4</v>
      </c>
      <c r="U180" s="20"/>
      <c r="V180" s="179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8">
        <v>300285</v>
      </c>
      <c r="B181" s="171">
        <v>13001</v>
      </c>
      <c r="C181" s="219" t="s">
        <v>157</v>
      </c>
      <c r="D181" s="219"/>
      <c r="E181" s="184" t="s">
        <v>37</v>
      </c>
      <c r="F181" s="27"/>
      <c r="G181" s="110"/>
      <c r="H181" s="110"/>
      <c r="I181" s="110"/>
      <c r="J181" s="110"/>
      <c r="K181" s="182">
        <f t="shared" si="15"/>
        <v>0</v>
      </c>
      <c r="L181" s="182">
        <f t="shared" si="16"/>
        <v>0</v>
      </c>
      <c r="M181" s="182">
        <v>438.7</v>
      </c>
      <c r="N181" s="182">
        <f t="shared" ref="N181:N186" si="22">+M181*1000/(90*4*18*60)*T181</f>
        <v>5.6417181069958842</v>
      </c>
      <c r="O181" s="182"/>
      <c r="P181" s="182">
        <f t="shared" si="17"/>
        <v>0</v>
      </c>
      <c r="Q181" s="182"/>
      <c r="R181" s="19">
        <f t="shared" si="18"/>
        <v>0</v>
      </c>
      <c r="S181" s="182">
        <f t="shared" si="19"/>
        <v>0</v>
      </c>
      <c r="T181" s="20">
        <v>5</v>
      </c>
      <c r="U181" s="20"/>
      <c r="V181" s="179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8">
        <v>300287</v>
      </c>
      <c r="B182" s="171">
        <v>13001</v>
      </c>
      <c r="C182" s="219" t="s">
        <v>157</v>
      </c>
      <c r="D182" s="219"/>
      <c r="E182" s="184" t="s">
        <v>57</v>
      </c>
      <c r="F182" s="27"/>
      <c r="G182" s="110"/>
      <c r="H182" s="110"/>
      <c r="I182" s="110"/>
      <c r="J182" s="110"/>
      <c r="K182" s="182">
        <f t="shared" si="15"/>
        <v>0</v>
      </c>
      <c r="L182" s="182">
        <f t="shared" si="16"/>
        <v>0</v>
      </c>
      <c r="M182" s="182">
        <v>438.7</v>
      </c>
      <c r="N182" s="182">
        <f t="shared" si="22"/>
        <v>5.6417181069958842</v>
      </c>
      <c r="O182" s="182"/>
      <c r="P182" s="182">
        <f t="shared" si="17"/>
        <v>0</v>
      </c>
      <c r="Q182" s="182"/>
      <c r="R182" s="19">
        <f t="shared" si="18"/>
        <v>0</v>
      </c>
      <c r="S182" s="182">
        <f t="shared" si="19"/>
        <v>0</v>
      </c>
      <c r="T182" s="20">
        <v>5</v>
      </c>
      <c r="U182" s="20"/>
      <c r="V182" s="179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8">
        <v>300284</v>
      </c>
      <c r="B183" s="171">
        <v>13001</v>
      </c>
      <c r="C183" s="219" t="s">
        <v>157</v>
      </c>
      <c r="D183" s="219"/>
      <c r="E183" s="184" t="s">
        <v>41</v>
      </c>
      <c r="F183" s="27"/>
      <c r="G183" s="110"/>
      <c r="H183" s="110"/>
      <c r="I183" s="110"/>
      <c r="J183" s="110"/>
      <c r="K183" s="182">
        <f t="shared" si="15"/>
        <v>0</v>
      </c>
      <c r="L183" s="182">
        <f t="shared" si="16"/>
        <v>0</v>
      </c>
      <c r="M183" s="182">
        <v>438.7</v>
      </c>
      <c r="N183" s="182">
        <f t="shared" si="22"/>
        <v>5.6417181069958842</v>
      </c>
      <c r="O183" s="182"/>
      <c r="P183" s="182">
        <f t="shared" si="17"/>
        <v>0</v>
      </c>
      <c r="Q183" s="182"/>
      <c r="R183" s="19">
        <f t="shared" si="18"/>
        <v>0</v>
      </c>
      <c r="S183" s="182">
        <f t="shared" si="19"/>
        <v>0</v>
      </c>
      <c r="T183" s="20">
        <v>5</v>
      </c>
      <c r="U183" s="20"/>
      <c r="V183" s="179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8">
        <v>300283</v>
      </c>
      <c r="B184" s="171">
        <v>13001</v>
      </c>
      <c r="C184" s="219" t="s">
        <v>157</v>
      </c>
      <c r="D184" s="219"/>
      <c r="E184" s="184" t="s">
        <v>35</v>
      </c>
      <c r="F184" s="27"/>
      <c r="G184" s="110"/>
      <c r="H184" s="110"/>
      <c r="I184" s="110"/>
      <c r="J184" s="67"/>
      <c r="K184" s="172">
        <f t="shared" si="15"/>
        <v>0</v>
      </c>
      <c r="L184" s="172">
        <f t="shared" si="16"/>
        <v>0</v>
      </c>
      <c r="M184" s="182">
        <v>438.7</v>
      </c>
      <c r="N184" s="182">
        <f t="shared" si="22"/>
        <v>5.6417181069958842</v>
      </c>
      <c r="O184" s="172"/>
      <c r="P184" s="182">
        <f t="shared" si="17"/>
        <v>0</v>
      </c>
      <c r="Q184" s="182"/>
      <c r="R184" s="19">
        <f t="shared" si="18"/>
        <v>0</v>
      </c>
      <c r="S184" s="182">
        <f t="shared" si="19"/>
        <v>0</v>
      </c>
      <c r="T184" s="20">
        <v>5</v>
      </c>
      <c r="U184" s="20"/>
      <c r="V184" s="179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8">
        <v>300289</v>
      </c>
      <c r="B185" s="171">
        <v>13001</v>
      </c>
      <c r="C185" s="219" t="s">
        <v>157</v>
      </c>
      <c r="D185" s="219"/>
      <c r="E185" s="184" t="s">
        <v>66</v>
      </c>
      <c r="F185" s="27"/>
      <c r="G185" s="67"/>
      <c r="H185" s="67"/>
      <c r="I185" s="67"/>
      <c r="J185" s="114"/>
      <c r="K185" s="172">
        <f t="shared" si="15"/>
        <v>0</v>
      </c>
      <c r="L185" s="172">
        <f t="shared" si="16"/>
        <v>0</v>
      </c>
      <c r="M185" s="182">
        <v>438.7</v>
      </c>
      <c r="N185" s="182">
        <f t="shared" si="22"/>
        <v>5.6417181069958842</v>
      </c>
      <c r="O185" s="172"/>
      <c r="P185" s="182">
        <f t="shared" si="17"/>
        <v>0</v>
      </c>
      <c r="Q185" s="182"/>
      <c r="R185" s="19">
        <f t="shared" si="18"/>
        <v>0</v>
      </c>
      <c r="S185" s="182">
        <f t="shared" si="19"/>
        <v>0</v>
      </c>
      <c r="T185" s="20">
        <v>5</v>
      </c>
      <c r="U185" s="20"/>
      <c r="V185" s="179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8">
        <v>300288</v>
      </c>
      <c r="B186" s="171">
        <v>13001</v>
      </c>
      <c r="C186" s="219" t="s">
        <v>157</v>
      </c>
      <c r="D186" s="219"/>
      <c r="E186" s="184" t="s">
        <v>158</v>
      </c>
      <c r="F186" s="27"/>
      <c r="G186" s="182"/>
      <c r="H186" s="182"/>
      <c r="I186" s="110"/>
      <c r="J186" s="110"/>
      <c r="K186" s="182">
        <f t="shared" si="15"/>
        <v>0</v>
      </c>
      <c r="L186" s="182">
        <f t="shared" si="16"/>
        <v>0</v>
      </c>
      <c r="M186" s="182">
        <v>438.7</v>
      </c>
      <c r="N186" s="182">
        <f t="shared" si="22"/>
        <v>5.6417181069958842</v>
      </c>
      <c r="O186" s="182"/>
      <c r="P186" s="182">
        <f t="shared" si="17"/>
        <v>0</v>
      </c>
      <c r="Q186" s="182"/>
      <c r="R186" s="19">
        <f t="shared" si="18"/>
        <v>0</v>
      </c>
      <c r="S186" s="182">
        <f t="shared" si="19"/>
        <v>0</v>
      </c>
      <c r="T186" s="20">
        <v>5</v>
      </c>
      <c r="U186" s="20"/>
      <c r="V186" s="179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5">
        <v>300355</v>
      </c>
      <c r="B187" s="171" t="s">
        <v>159</v>
      </c>
      <c r="C187" s="230" t="s">
        <v>160</v>
      </c>
      <c r="D187" s="231"/>
      <c r="E187" s="33" t="s">
        <v>35</v>
      </c>
      <c r="F187" s="27"/>
      <c r="G187" s="182"/>
      <c r="H187" s="182"/>
      <c r="I187" s="110"/>
      <c r="J187" s="110"/>
      <c r="K187" s="172">
        <f t="shared" si="15"/>
        <v>0</v>
      </c>
      <c r="L187" s="182">
        <f t="shared" si="16"/>
        <v>0</v>
      </c>
      <c r="M187" s="182">
        <v>438</v>
      </c>
      <c r="N187" s="15">
        <f>+M187*1000/(110*4*18*60)*T187</f>
        <v>4.6085858585858581</v>
      </c>
      <c r="O187" s="182"/>
      <c r="P187" s="182">
        <f t="shared" si="17"/>
        <v>0</v>
      </c>
      <c r="Q187" s="182"/>
      <c r="R187" s="19">
        <f t="shared" si="18"/>
        <v>0</v>
      </c>
      <c r="S187" s="182">
        <f t="shared" si="19"/>
        <v>0</v>
      </c>
      <c r="T187" s="20">
        <v>5</v>
      </c>
      <c r="U187" s="20"/>
      <c r="V187" s="179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5">
        <v>300356</v>
      </c>
      <c r="B188" s="171" t="s">
        <v>161</v>
      </c>
      <c r="C188" s="230" t="s">
        <v>160</v>
      </c>
      <c r="D188" s="231"/>
      <c r="E188" s="186" t="s">
        <v>41</v>
      </c>
      <c r="F188" s="27"/>
      <c r="G188" s="182"/>
      <c r="H188" s="182"/>
      <c r="I188" s="110"/>
      <c r="J188" s="110"/>
      <c r="K188" s="172">
        <f t="shared" si="15"/>
        <v>0</v>
      </c>
      <c r="L188" s="182">
        <f t="shared" si="16"/>
        <v>0</v>
      </c>
      <c r="M188" s="182">
        <v>438</v>
      </c>
      <c r="N188" s="15">
        <f>+M188*1000/(110*4*18*60)*T188</f>
        <v>4.6085858585858581</v>
      </c>
      <c r="O188" s="182"/>
      <c r="P188" s="182">
        <f t="shared" si="17"/>
        <v>0</v>
      </c>
      <c r="Q188" s="182"/>
      <c r="R188" s="19">
        <f t="shared" si="18"/>
        <v>0</v>
      </c>
      <c r="S188" s="182">
        <f t="shared" si="19"/>
        <v>0</v>
      </c>
      <c r="T188" s="20">
        <v>5</v>
      </c>
      <c r="U188" s="20"/>
      <c r="V188" s="179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5">
        <v>300357</v>
      </c>
      <c r="B189" s="171" t="s">
        <v>162</v>
      </c>
      <c r="C189" s="230" t="s">
        <v>160</v>
      </c>
      <c r="D189" s="231"/>
      <c r="E189" s="186" t="s">
        <v>37</v>
      </c>
      <c r="F189" s="27"/>
      <c r="G189" s="182"/>
      <c r="H189" s="182"/>
      <c r="I189" s="110"/>
      <c r="J189" s="110"/>
      <c r="K189" s="172">
        <f t="shared" si="15"/>
        <v>0</v>
      </c>
      <c r="L189" s="182">
        <f t="shared" si="16"/>
        <v>0</v>
      </c>
      <c r="M189" s="182">
        <v>438</v>
      </c>
      <c r="N189" s="15">
        <f>+M189*1000/(110*4*18*60)*T189</f>
        <v>4.6085858585858581</v>
      </c>
      <c r="O189" s="182"/>
      <c r="P189" s="182">
        <f t="shared" si="17"/>
        <v>0</v>
      </c>
      <c r="Q189" s="182"/>
      <c r="R189" s="19">
        <f t="shared" si="18"/>
        <v>0</v>
      </c>
      <c r="S189" s="182">
        <f t="shared" si="19"/>
        <v>0</v>
      </c>
      <c r="T189" s="20">
        <v>5</v>
      </c>
      <c r="U189" s="20"/>
      <c r="V189" s="179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5">
        <v>300358</v>
      </c>
      <c r="B190" s="171" t="s">
        <v>163</v>
      </c>
      <c r="C190" s="230" t="s">
        <v>160</v>
      </c>
      <c r="D190" s="231"/>
      <c r="E190" s="186" t="s">
        <v>66</v>
      </c>
      <c r="F190" s="27"/>
      <c r="G190" s="182"/>
      <c r="H190" s="182"/>
      <c r="I190" s="110"/>
      <c r="J190" s="110"/>
      <c r="K190" s="172">
        <f t="shared" si="15"/>
        <v>0</v>
      </c>
      <c r="L190" s="182">
        <f t="shared" si="16"/>
        <v>0</v>
      </c>
      <c r="M190" s="182">
        <v>438</v>
      </c>
      <c r="N190" s="15">
        <f>+M190*1000/(110*4*18*60)*T190</f>
        <v>4.6085858585858581</v>
      </c>
      <c r="O190" s="182"/>
      <c r="P190" s="182">
        <f t="shared" si="17"/>
        <v>0</v>
      </c>
      <c r="Q190" s="182"/>
      <c r="R190" s="19">
        <f t="shared" si="18"/>
        <v>0</v>
      </c>
      <c r="S190" s="182">
        <f t="shared" si="19"/>
        <v>0</v>
      </c>
      <c r="T190" s="20">
        <v>5</v>
      </c>
      <c r="U190" s="20"/>
      <c r="V190" s="179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8">
        <v>300438</v>
      </c>
      <c r="B191" s="171" t="s">
        <v>87</v>
      </c>
      <c r="C191" s="219" t="s">
        <v>304</v>
      </c>
      <c r="D191" s="219" t="s">
        <v>89</v>
      </c>
      <c r="E191" s="184" t="s">
        <v>35</v>
      </c>
      <c r="F191" s="13"/>
      <c r="G191" s="110"/>
      <c r="H191" s="110"/>
      <c r="I191" s="110"/>
      <c r="J191" s="110"/>
      <c r="K191" s="182">
        <f t="shared" si="15"/>
        <v>0</v>
      </c>
      <c r="L191" s="182">
        <f t="shared" si="16"/>
        <v>0</v>
      </c>
      <c r="M191" s="182">
        <v>336.6</v>
      </c>
      <c r="N191" s="182">
        <f>+M191*1000/(45*10*18*60)*T191</f>
        <v>1.3851851851851851</v>
      </c>
      <c r="O191" s="182"/>
      <c r="P191" s="182">
        <f t="shared" si="17"/>
        <v>0</v>
      </c>
      <c r="Q191" s="182"/>
      <c r="R191" s="19">
        <f t="shared" si="18"/>
        <v>0</v>
      </c>
      <c r="S191" s="182">
        <f t="shared" si="19"/>
        <v>0</v>
      </c>
      <c r="T191" s="20">
        <v>2</v>
      </c>
      <c r="U191" s="20"/>
      <c r="V191" s="179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8">
        <v>300439</v>
      </c>
      <c r="B192" s="171" t="s">
        <v>87</v>
      </c>
      <c r="C192" s="219" t="s">
        <v>304</v>
      </c>
      <c r="D192" s="219" t="s">
        <v>89</v>
      </c>
      <c r="E192" s="184" t="s">
        <v>66</v>
      </c>
      <c r="F192" s="13"/>
      <c r="G192" s="110"/>
      <c r="H192" s="110"/>
      <c r="I192" s="110"/>
      <c r="J192" s="110"/>
      <c r="K192" s="182">
        <f t="shared" si="15"/>
        <v>0</v>
      </c>
      <c r="L192" s="182">
        <f t="shared" si="16"/>
        <v>0</v>
      </c>
      <c r="M192" s="182">
        <v>336.6</v>
      </c>
      <c r="N192" s="182">
        <f>+M192*1000/(45*10*18*60)*T192</f>
        <v>1.3851851851851851</v>
      </c>
      <c r="O192" s="182"/>
      <c r="P192" s="182">
        <f t="shared" si="17"/>
        <v>0</v>
      </c>
      <c r="Q192" s="182"/>
      <c r="R192" s="19">
        <f t="shared" si="18"/>
        <v>0</v>
      </c>
      <c r="S192" s="182">
        <f t="shared" si="19"/>
        <v>0</v>
      </c>
      <c r="T192" s="20">
        <v>2</v>
      </c>
      <c r="U192" s="20"/>
      <c r="V192" s="179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8">
        <v>300440</v>
      </c>
      <c r="B193" s="171" t="s">
        <v>87</v>
      </c>
      <c r="C193" s="219" t="s">
        <v>304</v>
      </c>
      <c r="D193" s="219" t="s">
        <v>89</v>
      </c>
      <c r="E193" s="184" t="s">
        <v>41</v>
      </c>
      <c r="F193" s="13"/>
      <c r="G193" s="110"/>
      <c r="H193" s="110"/>
      <c r="I193" s="110"/>
      <c r="J193" s="110"/>
      <c r="K193" s="182">
        <f t="shared" si="15"/>
        <v>0</v>
      </c>
      <c r="L193" s="182">
        <f t="shared" si="16"/>
        <v>0</v>
      </c>
      <c r="M193" s="182">
        <v>336.6</v>
      </c>
      <c r="N193" s="182">
        <f>+M193*1000/(45*10*18*60)*T193</f>
        <v>1.3851851851851851</v>
      </c>
      <c r="O193" s="182"/>
      <c r="P193" s="182">
        <f t="shared" si="17"/>
        <v>0</v>
      </c>
      <c r="Q193" s="182"/>
      <c r="R193" s="19">
        <f t="shared" si="18"/>
        <v>0</v>
      </c>
      <c r="S193" s="182">
        <f t="shared" si="19"/>
        <v>0</v>
      </c>
      <c r="T193" s="20">
        <v>2</v>
      </c>
      <c r="U193" s="20"/>
      <c r="V193" s="179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8">
        <v>300441</v>
      </c>
      <c r="B194" s="171" t="s">
        <v>87</v>
      </c>
      <c r="C194" s="219" t="s">
        <v>304</v>
      </c>
      <c r="D194" s="219" t="s">
        <v>89</v>
      </c>
      <c r="E194" s="184" t="s">
        <v>37</v>
      </c>
      <c r="F194" s="13"/>
      <c r="G194" s="110"/>
      <c r="H194" s="110"/>
      <c r="I194" s="110"/>
      <c r="J194" s="110"/>
      <c r="K194" s="182">
        <f t="shared" si="15"/>
        <v>0</v>
      </c>
      <c r="L194" s="182">
        <f t="shared" si="16"/>
        <v>0</v>
      </c>
      <c r="M194" s="182">
        <v>336.6</v>
      </c>
      <c r="N194" s="182">
        <f>+M194*1000/(45*10*18*60)*T194</f>
        <v>1.3851851851851851</v>
      </c>
      <c r="O194" s="182"/>
      <c r="P194" s="182">
        <f t="shared" si="17"/>
        <v>0</v>
      </c>
      <c r="Q194" s="182"/>
      <c r="R194" s="19">
        <f t="shared" si="18"/>
        <v>0</v>
      </c>
      <c r="S194" s="182">
        <f t="shared" si="19"/>
        <v>0</v>
      </c>
      <c r="T194" s="20">
        <v>2</v>
      </c>
      <c r="U194" s="20"/>
      <c r="V194" s="179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5">
        <v>300406</v>
      </c>
      <c r="B195" s="171" t="s">
        <v>163</v>
      </c>
      <c r="C195" s="230" t="s">
        <v>164</v>
      </c>
      <c r="D195" s="231"/>
      <c r="E195" s="186" t="s">
        <v>141</v>
      </c>
      <c r="F195" s="27"/>
      <c r="G195" s="67"/>
      <c r="H195" s="67"/>
      <c r="I195" s="110"/>
      <c r="J195" s="110"/>
      <c r="K195" s="172">
        <f t="shared" si="15"/>
        <v>0</v>
      </c>
      <c r="L195" s="182">
        <f t="shared" si="16"/>
        <v>0</v>
      </c>
      <c r="M195" s="182">
        <v>628.29999999999995</v>
      </c>
      <c r="N195" s="15">
        <f>+M195*1000/(132*4*18*60)*T195</f>
        <v>5.5090838945005611</v>
      </c>
      <c r="O195" s="182"/>
      <c r="P195" s="182">
        <f t="shared" si="17"/>
        <v>0</v>
      </c>
      <c r="Q195" s="182"/>
      <c r="R195" s="19">
        <f t="shared" si="18"/>
        <v>0</v>
      </c>
      <c r="S195" s="182">
        <f t="shared" si="19"/>
        <v>0</v>
      </c>
      <c r="T195" s="20">
        <v>5</v>
      </c>
      <c r="U195" s="20"/>
      <c r="V195" s="179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5">
        <v>300407</v>
      </c>
      <c r="B196" s="171" t="s">
        <v>163</v>
      </c>
      <c r="C196" s="230" t="s">
        <v>164</v>
      </c>
      <c r="D196" s="231"/>
      <c r="E196" s="186" t="s">
        <v>165</v>
      </c>
      <c r="F196" s="27"/>
      <c r="G196" s="67"/>
      <c r="H196" s="67"/>
      <c r="I196" s="110"/>
      <c r="J196" s="110"/>
      <c r="K196" s="172">
        <f t="shared" si="15"/>
        <v>0</v>
      </c>
      <c r="L196" s="182">
        <f t="shared" si="16"/>
        <v>0</v>
      </c>
      <c r="M196" s="182">
        <v>628.29999999999995</v>
      </c>
      <c r="N196" s="15">
        <f>+M196*1000/(132*4*18*60)*T196</f>
        <v>5.5090838945005611</v>
      </c>
      <c r="O196" s="182"/>
      <c r="P196" s="182">
        <f t="shared" si="17"/>
        <v>0</v>
      </c>
      <c r="Q196" s="182"/>
      <c r="R196" s="19">
        <f t="shared" si="18"/>
        <v>0</v>
      </c>
      <c r="S196" s="182">
        <f t="shared" si="19"/>
        <v>0</v>
      </c>
      <c r="T196" s="20">
        <v>5</v>
      </c>
      <c r="U196" s="20"/>
      <c r="V196" s="179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5">
        <v>300408</v>
      </c>
      <c r="B197" s="171" t="s">
        <v>163</v>
      </c>
      <c r="C197" s="230" t="s">
        <v>164</v>
      </c>
      <c r="D197" s="231"/>
      <c r="E197" s="186" t="s">
        <v>41</v>
      </c>
      <c r="F197" s="27"/>
      <c r="G197" s="67"/>
      <c r="H197" s="67"/>
      <c r="I197" s="110"/>
      <c r="J197" s="110"/>
      <c r="K197" s="172">
        <f t="shared" si="15"/>
        <v>0</v>
      </c>
      <c r="L197" s="182">
        <f t="shared" si="16"/>
        <v>0</v>
      </c>
      <c r="M197" s="182">
        <v>628.29999999999995</v>
      </c>
      <c r="N197" s="15">
        <f>+M197*1000/(132*4*18*60)*T197</f>
        <v>5.5090838945005611</v>
      </c>
      <c r="O197" s="182"/>
      <c r="P197" s="182">
        <f t="shared" si="17"/>
        <v>0</v>
      </c>
      <c r="Q197" s="182"/>
      <c r="R197" s="19">
        <f t="shared" si="18"/>
        <v>0</v>
      </c>
      <c r="S197" s="182">
        <f t="shared" si="19"/>
        <v>0</v>
      </c>
      <c r="T197" s="20">
        <v>5</v>
      </c>
      <c r="U197" s="20"/>
      <c r="V197" s="179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5">
        <v>300409</v>
      </c>
      <c r="B198" s="171" t="s">
        <v>163</v>
      </c>
      <c r="C198" s="230" t="s">
        <v>164</v>
      </c>
      <c r="D198" s="231"/>
      <c r="E198" s="186" t="s">
        <v>166</v>
      </c>
      <c r="F198" s="27"/>
      <c r="G198" s="67"/>
      <c r="H198" s="67"/>
      <c r="I198" s="110"/>
      <c r="J198" s="110"/>
      <c r="K198" s="172">
        <f t="shared" si="15"/>
        <v>0</v>
      </c>
      <c r="L198" s="182">
        <f t="shared" si="16"/>
        <v>0</v>
      </c>
      <c r="M198" s="182">
        <v>628.29999999999995</v>
      </c>
      <c r="N198" s="15">
        <f>+M198*1000/(132*4*18*60)*T198</f>
        <v>5.5090838945005611</v>
      </c>
      <c r="O198" s="182"/>
      <c r="P198" s="182">
        <f t="shared" si="17"/>
        <v>0</v>
      </c>
      <c r="Q198" s="182"/>
      <c r="R198" s="19">
        <f t="shared" si="18"/>
        <v>0</v>
      </c>
      <c r="S198" s="182">
        <f t="shared" si="19"/>
        <v>0</v>
      </c>
      <c r="T198" s="20">
        <v>5</v>
      </c>
      <c r="U198" s="20"/>
      <c r="V198" s="179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0" t="s">
        <v>167</v>
      </c>
      <c r="B199" s="220"/>
      <c r="C199" s="220"/>
      <c r="D199" s="220"/>
      <c r="E199" s="220"/>
      <c r="F199" s="220"/>
      <c r="G199" s="182">
        <f t="array" ref="G199">SUM(IF(ISERROR(G6:G198),“”,G6:G198))</f>
        <v>0</v>
      </c>
      <c r="H199" s="182">
        <f t="array" ref="H199">SUM(IF(ISERROR(H6:H198),“”,H6:H198))</f>
        <v>0</v>
      </c>
      <c r="I199" s="182">
        <f t="array" ref="I199">SUM(IF(ISERROR(I6:I198),“”,I6:I198))</f>
        <v>0</v>
      </c>
      <c r="J199" s="182">
        <f t="array" ref="J199">SUM(IF(ISERROR(J6:J198),“”,J6:J198))</f>
        <v>0</v>
      </c>
      <c r="K199" s="182">
        <f t="array" ref="K199">SUM(IF(ISERROR(K6:K198),“”,K6:K198))</f>
        <v>0</v>
      </c>
      <c r="L199" s="56">
        <f>SUM(L6:L198)</f>
        <v>0</v>
      </c>
      <c r="M199" s="182"/>
      <c r="N199" s="182"/>
      <c r="O199" s="182">
        <f>SUM(O6:O190)</f>
        <v>0</v>
      </c>
      <c r="P199" s="56">
        <f>SUM((P6:P190),(W204:X209))</f>
        <v>0</v>
      </c>
      <c r="Q199" s="182"/>
      <c r="R199" s="56">
        <f>SUM((R6:R190),(Y204:Z209))</f>
        <v>0</v>
      </c>
      <c r="S199" s="182">
        <f t="array" ref="S199">SUM(IF(ISERROR(S6:S198),“”,S6:S198))</f>
        <v>0</v>
      </c>
      <c r="T199" s="182"/>
      <c r="U199" s="182"/>
      <c r="V199" s="179" t="str">
        <f>IF(ISERROR(L199/K199),"",L199/K199)</f>
        <v/>
      </c>
      <c r="W199" s="182">
        <f t="array" ref="W199">SUM(IF(ISERROR(W6:W198),“”,W6:W198))</f>
        <v>0</v>
      </c>
      <c r="X199" s="182">
        <f t="array" ref="X199">SUM(IF(ISERROR(X6:X198),“”,X6:X198))</f>
        <v>0</v>
      </c>
      <c r="Y199" s="182">
        <f t="array" ref="Y199">SUM(IF(ISERROR(Y6:Y198),“”,Y6:Y198))</f>
        <v>0</v>
      </c>
      <c r="Z199" s="182">
        <f t="array" ref="Z199">SUM(IF(ISERROR(Z6:Z198),“”,Z6:Z198))</f>
        <v>0</v>
      </c>
      <c r="AA199" s="182">
        <f t="array" ref="AA199">SUM(IF(ISERROR(AA6:AA198),“”,AA6:AA198))</f>
        <v>0</v>
      </c>
      <c r="AB199" s="182">
        <f t="array" ref="AB199">SUM(IF(ISERROR(AB6:AB198),“”,AB6:AB198))</f>
        <v>0</v>
      </c>
      <c r="AC199" s="18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1" t="s">
        <v>168</v>
      </c>
      <c r="L200" s="242"/>
      <c r="M200" s="242"/>
      <c r="N200" s="243"/>
      <c r="O200" s="244" t="str">
        <f>IF(ISERROR(P199/R199),"",P199/R199)</f>
        <v/>
      </c>
      <c r="P200" s="245"/>
      <c r="Q200" s="245"/>
      <c r="R200" s="246"/>
      <c r="S200" s="44"/>
      <c r="T200" s="45"/>
      <c r="U200" s="45"/>
      <c r="V200" s="45"/>
      <c r="W200" s="247">
        <f>SUM(W199:AC199)</f>
        <v>0</v>
      </c>
      <c r="X200" s="248"/>
      <c r="Y200" s="248"/>
      <c r="Z200" s="248"/>
      <c r="AA200" s="248"/>
      <c r="AB200" s="248"/>
      <c r="AC200" s="249"/>
    </row>
    <row r="201" spans="1:29" ht="21.95" customHeight="1">
      <c r="A201" s="250" t="s">
        <v>169</v>
      </c>
      <c r="B201" s="250"/>
      <c r="C201" s="250" t="s">
        <v>170</v>
      </c>
      <c r="D201" s="250"/>
      <c r="E201" s="250" t="s">
        <v>171</v>
      </c>
      <c r="F201" s="250"/>
      <c r="G201" s="250" t="s">
        <v>172</v>
      </c>
      <c r="H201" s="250"/>
      <c r="I201" s="250" t="s">
        <v>173</v>
      </c>
      <c r="J201" s="250"/>
      <c r="K201" s="250" t="s">
        <v>174</v>
      </c>
      <c r="L201" s="250"/>
      <c r="M201" s="237" t="s">
        <v>175</v>
      </c>
      <c r="N201" s="238"/>
      <c r="O201" s="253" t="s">
        <v>176</v>
      </c>
      <c r="P201" s="253"/>
      <c r="Q201" s="251" t="s">
        <v>177</v>
      </c>
      <c r="R201" s="251"/>
      <c r="S201" s="251" t="s">
        <v>178</v>
      </c>
      <c r="T201" s="251"/>
      <c r="U201" s="251" t="s">
        <v>179</v>
      </c>
      <c r="V201" s="251"/>
      <c r="W201" s="251" t="s">
        <v>180</v>
      </c>
      <c r="X201" s="251"/>
      <c r="Y201" s="251" t="s">
        <v>181</v>
      </c>
      <c r="Z201" s="251"/>
      <c r="AA201" s="251" t="s">
        <v>182</v>
      </c>
      <c r="AB201" s="251"/>
      <c r="AC201" s="251"/>
    </row>
    <row r="202" spans="1:29" ht="21.95" customHeight="1">
      <c r="A202" s="250"/>
      <c r="B202" s="250"/>
      <c r="C202" s="250" t="s">
        <v>183</v>
      </c>
      <c r="D202" s="250"/>
      <c r="E202" s="250"/>
      <c r="F202" s="250"/>
      <c r="G202" s="250"/>
      <c r="H202" s="250"/>
      <c r="I202" s="250">
        <f>G202-E202</f>
        <v>0</v>
      </c>
      <c r="J202" s="250"/>
      <c r="K202" s="252" t="str">
        <f t="array" ref="K202">IF(ISERROR(I202/E202),"",I202/E202)</f>
        <v/>
      </c>
      <c r="L202" s="252"/>
      <c r="M202" s="237"/>
      <c r="N202" s="238"/>
      <c r="O202" s="253"/>
      <c r="P202" s="253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</row>
    <row r="203" spans="1:29" ht="21.95" customHeight="1">
      <c r="A203" s="250"/>
      <c r="B203" s="250"/>
      <c r="C203" s="250" t="s">
        <v>184</v>
      </c>
      <c r="D203" s="250"/>
      <c r="E203" s="250"/>
      <c r="F203" s="250"/>
      <c r="G203" s="250"/>
      <c r="H203" s="250"/>
      <c r="I203" s="250">
        <f>G203-E203</f>
        <v>0</v>
      </c>
      <c r="J203" s="250"/>
      <c r="K203" s="252" t="str">
        <f t="array" ref="K203">IF(ISERROR(I203/E203),"",I203/E203)</f>
        <v/>
      </c>
      <c r="L203" s="252"/>
      <c r="M203" s="237"/>
      <c r="N203" s="238"/>
      <c r="O203" s="253"/>
      <c r="P203" s="253"/>
      <c r="Q203" s="254" t="s">
        <v>185</v>
      </c>
      <c r="R203" s="254"/>
      <c r="S203" s="255"/>
      <c r="T203" s="255"/>
      <c r="U203" s="255"/>
      <c r="V203" s="255"/>
      <c r="W203" s="254">
        <f t="shared" ref="W203:W210" si="23">S203*11</f>
        <v>0</v>
      </c>
      <c r="X203" s="254"/>
      <c r="Y203" s="254">
        <f t="shared" ref="Y203:Y210" si="24">U203*11</f>
        <v>0</v>
      </c>
      <c r="Z203" s="254"/>
      <c r="AA203" s="254">
        <f t="shared" ref="AA203:AA210" si="25">Y203-W203</f>
        <v>0</v>
      </c>
      <c r="AB203" s="254"/>
      <c r="AC203" s="254"/>
    </row>
    <row r="204" spans="1:29" ht="21.95" customHeight="1">
      <c r="A204" s="250"/>
      <c r="B204" s="250"/>
      <c r="C204" s="250" t="s">
        <v>186</v>
      </c>
      <c r="D204" s="250"/>
      <c r="E204" s="250"/>
      <c r="F204" s="250"/>
      <c r="G204" s="250"/>
      <c r="H204" s="250"/>
      <c r="I204" s="250">
        <f>G204-E204</f>
        <v>0</v>
      </c>
      <c r="J204" s="250"/>
      <c r="K204" s="252" t="str">
        <f t="array" ref="K204">IF(ISERROR(I204/E204),"",I204/E204)</f>
        <v/>
      </c>
      <c r="L204" s="252"/>
      <c r="M204" s="237"/>
      <c r="N204" s="238"/>
      <c r="O204" s="253"/>
      <c r="P204" s="253"/>
      <c r="Q204" s="254" t="s">
        <v>187</v>
      </c>
      <c r="R204" s="254"/>
      <c r="S204" s="255"/>
      <c r="T204" s="255"/>
      <c r="U204" s="255"/>
      <c r="V204" s="255"/>
      <c r="W204" s="254">
        <f t="shared" si="23"/>
        <v>0</v>
      </c>
      <c r="X204" s="254"/>
      <c r="Y204" s="254">
        <f t="shared" si="24"/>
        <v>0</v>
      </c>
      <c r="Z204" s="254"/>
      <c r="AA204" s="254">
        <f t="shared" si="25"/>
        <v>0</v>
      </c>
      <c r="AB204" s="254"/>
      <c r="AC204" s="254"/>
    </row>
    <row r="205" spans="1:29" ht="21.95" customHeight="1">
      <c r="A205" s="278" t="s">
        <v>188</v>
      </c>
      <c r="B205" s="279"/>
      <c r="C205" s="269" t="s">
        <v>189</v>
      </c>
      <c r="D205" s="270"/>
      <c r="E205" s="270"/>
      <c r="F205" s="271"/>
      <c r="G205" s="284" t="s">
        <v>190</v>
      </c>
      <c r="H205" s="284"/>
      <c r="I205" s="262" t="s">
        <v>191</v>
      </c>
      <c r="J205" s="263"/>
      <c r="K205" s="262" t="s">
        <v>192</v>
      </c>
      <c r="L205" s="263"/>
      <c r="M205" s="262" t="s">
        <v>193</v>
      </c>
      <c r="N205" s="263"/>
      <c r="O205" s="253"/>
      <c r="P205" s="253"/>
      <c r="Q205" s="254" t="s">
        <v>194</v>
      </c>
      <c r="R205" s="254"/>
      <c r="S205" s="255"/>
      <c r="T205" s="255"/>
      <c r="U205" s="255"/>
      <c r="V205" s="255"/>
      <c r="W205" s="254">
        <f t="shared" si="23"/>
        <v>0</v>
      </c>
      <c r="X205" s="254"/>
      <c r="Y205" s="254">
        <f t="shared" si="24"/>
        <v>0</v>
      </c>
      <c r="Z205" s="254"/>
      <c r="AA205" s="254">
        <f t="shared" si="25"/>
        <v>0</v>
      </c>
      <c r="AB205" s="254"/>
      <c r="AC205" s="254"/>
    </row>
    <row r="206" spans="1:29" ht="21.95" customHeight="1">
      <c r="A206" s="280"/>
      <c r="B206" s="281"/>
      <c r="C206" s="36" t="s">
        <v>195</v>
      </c>
      <c r="D206" s="37" t="s">
        <v>196</v>
      </c>
      <c r="E206" s="38"/>
      <c r="F206" s="180">
        <v>5</v>
      </c>
      <c r="G206" s="256"/>
      <c r="H206" s="257"/>
      <c r="I206" s="258"/>
      <c r="J206" s="259"/>
      <c r="K206" s="260">
        <f>G206-I206</f>
        <v>0</v>
      </c>
      <c r="L206" s="260"/>
      <c r="M206" s="261" t="str">
        <f t="array" ref="M206">IF(ISERROR(K206/L199),"",K206/(L199/1000))</f>
        <v/>
      </c>
      <c r="N206" s="261"/>
      <c r="O206" s="253"/>
      <c r="P206" s="253"/>
      <c r="Q206" s="254" t="s">
        <v>197</v>
      </c>
      <c r="R206" s="254"/>
      <c r="S206" s="255"/>
      <c r="T206" s="255"/>
      <c r="U206" s="255"/>
      <c r="V206" s="255"/>
      <c r="W206" s="254">
        <f t="shared" si="23"/>
        <v>0</v>
      </c>
      <c r="X206" s="254"/>
      <c r="Y206" s="254">
        <f t="shared" si="24"/>
        <v>0</v>
      </c>
      <c r="Z206" s="254"/>
      <c r="AA206" s="254">
        <f t="shared" si="25"/>
        <v>0</v>
      </c>
      <c r="AB206" s="254"/>
      <c r="AC206" s="254"/>
    </row>
    <row r="207" spans="1:29" ht="21.95" customHeight="1">
      <c r="A207" s="280"/>
      <c r="B207" s="281"/>
      <c r="C207" s="36" t="s">
        <v>198</v>
      </c>
      <c r="D207" s="37" t="s">
        <v>199</v>
      </c>
      <c r="E207" s="38"/>
      <c r="F207" s="180">
        <v>105</v>
      </c>
      <c r="G207" s="256"/>
      <c r="H207" s="257"/>
      <c r="I207" s="258"/>
      <c r="J207" s="259"/>
      <c r="K207" s="260">
        <f>G207-I207</f>
        <v>0</v>
      </c>
      <c r="L207" s="260"/>
      <c r="M207" s="261" t="str">
        <f t="array" ref="M207">IF(ISERROR(K207/L199),"",K207/(L199/1000))</f>
        <v/>
      </c>
      <c r="N207" s="261"/>
      <c r="O207" s="253"/>
      <c r="P207" s="253"/>
      <c r="Q207" s="254" t="s">
        <v>200</v>
      </c>
      <c r="R207" s="254"/>
      <c r="S207" s="255"/>
      <c r="T207" s="255"/>
      <c r="U207" s="255"/>
      <c r="V207" s="255"/>
      <c r="W207" s="254">
        <f t="shared" si="23"/>
        <v>0</v>
      </c>
      <c r="X207" s="254"/>
      <c r="Y207" s="254">
        <f t="shared" si="24"/>
        <v>0</v>
      </c>
      <c r="Z207" s="254"/>
      <c r="AA207" s="254">
        <f t="shared" si="25"/>
        <v>0</v>
      </c>
      <c r="AB207" s="254"/>
      <c r="AC207" s="254"/>
    </row>
    <row r="208" spans="1:29" ht="21.95" customHeight="1">
      <c r="A208" s="280"/>
      <c r="B208" s="281"/>
      <c r="C208" s="36" t="s">
        <v>201</v>
      </c>
      <c r="D208" s="37" t="s">
        <v>202</v>
      </c>
      <c r="E208" s="38"/>
      <c r="F208" s="180">
        <v>0.55000000000000004</v>
      </c>
      <c r="G208" s="256"/>
      <c r="H208" s="257"/>
      <c r="I208" s="262"/>
      <c r="J208" s="263"/>
      <c r="K208" s="260">
        <f>G208-I208</f>
        <v>0</v>
      </c>
      <c r="L208" s="260"/>
      <c r="M208" s="264" t="str">
        <f t="array" ref="M208">IF(ISERROR(K208/L199),"",K208/(L199/1000))</f>
        <v/>
      </c>
      <c r="N208" s="264"/>
      <c r="O208" s="253"/>
      <c r="P208" s="253"/>
      <c r="Q208" s="254" t="s">
        <v>203</v>
      </c>
      <c r="R208" s="254"/>
      <c r="S208" s="255"/>
      <c r="T208" s="255"/>
      <c r="U208" s="255"/>
      <c r="V208" s="255"/>
      <c r="W208" s="254">
        <f t="shared" si="23"/>
        <v>0</v>
      </c>
      <c r="X208" s="254"/>
      <c r="Y208" s="254">
        <f t="shared" si="24"/>
        <v>0</v>
      </c>
      <c r="Z208" s="254"/>
      <c r="AA208" s="254">
        <f t="shared" si="25"/>
        <v>0</v>
      </c>
      <c r="AB208" s="254"/>
      <c r="AC208" s="254"/>
    </row>
    <row r="209" spans="1:29" ht="21.95" customHeight="1">
      <c r="A209" s="280"/>
      <c r="B209" s="281"/>
      <c r="C209" s="39" t="s">
        <v>204</v>
      </c>
      <c r="D209" s="269" t="s">
        <v>205</v>
      </c>
      <c r="E209" s="270"/>
      <c r="F209" s="270"/>
      <c r="G209" s="270"/>
      <c r="H209" s="270"/>
      <c r="I209" s="270"/>
      <c r="J209" s="271"/>
      <c r="K209" s="262"/>
      <c r="L209" s="263"/>
      <c r="M209" s="265" t="str">
        <f t="array" ref="M209">IF(ISERROR((K209+K210)/L199),"",((K209+K210)*1000)/(L199/1000))</f>
        <v/>
      </c>
      <c r="N209" s="266"/>
      <c r="O209" s="253"/>
      <c r="P209" s="253"/>
      <c r="Q209" s="254" t="s">
        <v>206</v>
      </c>
      <c r="R209" s="254"/>
      <c r="S209" s="255"/>
      <c r="T209" s="255"/>
      <c r="U209" s="255"/>
      <c r="V209" s="255"/>
      <c r="W209" s="254">
        <f t="shared" si="23"/>
        <v>0</v>
      </c>
      <c r="X209" s="254"/>
      <c r="Y209" s="254">
        <f t="shared" si="24"/>
        <v>0</v>
      </c>
      <c r="Z209" s="254"/>
      <c r="AA209" s="254">
        <f t="shared" si="25"/>
        <v>0</v>
      </c>
      <c r="AB209" s="254"/>
      <c r="AC209" s="254"/>
    </row>
    <row r="210" spans="1:29" ht="21.95" customHeight="1">
      <c r="A210" s="280"/>
      <c r="B210" s="281"/>
      <c r="C210" s="39" t="s">
        <v>204</v>
      </c>
      <c r="D210" s="269" t="s">
        <v>207</v>
      </c>
      <c r="E210" s="270"/>
      <c r="F210" s="270"/>
      <c r="G210" s="270"/>
      <c r="H210" s="270"/>
      <c r="I210" s="270"/>
      <c r="J210" s="271"/>
      <c r="K210" s="262"/>
      <c r="L210" s="263"/>
      <c r="M210" s="267"/>
      <c r="N210" s="268"/>
      <c r="O210" s="253"/>
      <c r="P210" s="253"/>
      <c r="Q210" s="254" t="s">
        <v>208</v>
      </c>
      <c r="R210" s="254"/>
      <c r="S210" s="255">
        <f>SUM(S203:T209)</f>
        <v>0</v>
      </c>
      <c r="T210" s="255"/>
      <c r="U210" s="255">
        <f>SUM(U203:V209)</f>
        <v>0</v>
      </c>
      <c r="V210" s="255"/>
      <c r="W210" s="254">
        <f t="shared" si="23"/>
        <v>0</v>
      </c>
      <c r="X210" s="254"/>
      <c r="Y210" s="254">
        <f t="shared" si="24"/>
        <v>0</v>
      </c>
      <c r="Z210" s="254"/>
      <c r="AA210" s="254">
        <f t="shared" si="25"/>
        <v>0</v>
      </c>
      <c r="AB210" s="254"/>
      <c r="AC210" s="254"/>
    </row>
    <row r="211" spans="1:29" ht="21.95" customHeight="1">
      <c r="A211" s="282"/>
      <c r="B211" s="283"/>
      <c r="C211" s="272" t="s">
        <v>209</v>
      </c>
      <c r="D211" s="272"/>
      <c r="E211" s="272"/>
      <c r="F211" s="272"/>
      <c r="G211" s="273" t="str">
        <f>IF(ISERROR(K208/K210),"",K208/K210)</f>
        <v/>
      </c>
      <c r="H211" s="274"/>
      <c r="I211" s="272" t="s">
        <v>210</v>
      </c>
      <c r="J211" s="272"/>
      <c r="K211" s="272"/>
      <c r="L211" s="272"/>
      <c r="M211" s="273" t="str">
        <f>IF(ISERROR(K208/K209),"",K208/K209)</f>
        <v/>
      </c>
      <c r="N211" s="274"/>
      <c r="O211" s="253"/>
      <c r="P211" s="253"/>
      <c r="Q211" s="251" t="s">
        <v>211</v>
      </c>
      <c r="R211" s="251"/>
      <c r="S211" s="275" t="str">
        <f t="array" ref="S211">IF(ISERROR(L199/Y210),"",L199/Y210)</f>
        <v/>
      </c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</row>
    <row r="212" spans="1:29" ht="21.95" customHeight="1">
      <c r="A212" s="46" t="s">
        <v>212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9" t="s">
        <v>3</v>
      </c>
      <c r="B213" s="219" t="s">
        <v>4</v>
      </c>
      <c r="C213" s="219" t="s">
        <v>5</v>
      </c>
      <c r="D213" s="219"/>
      <c r="E213" s="219" t="s">
        <v>6</v>
      </c>
      <c r="F213" s="219" t="s">
        <v>7</v>
      </c>
      <c r="G213" s="220" t="s">
        <v>8</v>
      </c>
      <c r="H213" s="220" t="s">
        <v>9</v>
      </c>
      <c r="I213" s="220" t="s">
        <v>10</v>
      </c>
      <c r="J213" s="220" t="s">
        <v>11</v>
      </c>
      <c r="K213" s="220" t="s">
        <v>12</v>
      </c>
      <c r="L213" s="220" t="s">
        <v>13</v>
      </c>
      <c r="M213" s="220" t="s">
        <v>14</v>
      </c>
      <c r="N213" s="220" t="s">
        <v>15</v>
      </c>
      <c r="O213" s="228" t="s">
        <v>16</v>
      </c>
      <c r="P213" s="228" t="s">
        <v>17</v>
      </c>
      <c r="Q213" s="220" t="s">
        <v>18</v>
      </c>
      <c r="R213" s="220"/>
      <c r="S213" s="220" t="s">
        <v>19</v>
      </c>
      <c r="T213" s="221" t="s">
        <v>20</v>
      </c>
      <c r="U213" s="221" t="s">
        <v>21</v>
      </c>
      <c r="V213" s="223" t="s">
        <v>22</v>
      </c>
      <c r="W213" s="225" t="s">
        <v>23</v>
      </c>
      <c r="X213" s="226"/>
      <c r="Y213" s="226"/>
      <c r="Z213" s="226"/>
      <c r="AA213" s="226"/>
      <c r="AB213" s="226"/>
      <c r="AC213" s="227"/>
    </row>
    <row r="214" spans="1:29" ht="21.95" customHeight="1">
      <c r="A214" s="219"/>
      <c r="B214" s="219"/>
      <c r="C214" s="219"/>
      <c r="D214" s="219"/>
      <c r="E214" s="219"/>
      <c r="F214" s="219"/>
      <c r="G214" s="220"/>
      <c r="H214" s="220"/>
      <c r="I214" s="220"/>
      <c r="J214" s="220"/>
      <c r="K214" s="220"/>
      <c r="L214" s="220"/>
      <c r="M214" s="220"/>
      <c r="N214" s="220"/>
      <c r="O214" s="229"/>
      <c r="P214" s="229"/>
      <c r="Q214" s="17" t="s">
        <v>24</v>
      </c>
      <c r="R214" s="171" t="s">
        <v>25</v>
      </c>
      <c r="S214" s="220"/>
      <c r="T214" s="222"/>
      <c r="U214" s="222"/>
      <c r="V214" s="224"/>
      <c r="W214" s="171" t="s">
        <v>26</v>
      </c>
      <c r="X214" s="18" t="s">
        <v>27</v>
      </c>
      <c r="Y214" s="18" t="s">
        <v>28</v>
      </c>
      <c r="Z214" s="171" t="s">
        <v>29</v>
      </c>
      <c r="AA214" s="18" t="s">
        <v>30</v>
      </c>
      <c r="AB214" s="18" t="s">
        <v>31</v>
      </c>
      <c r="AC214" s="171" t="s">
        <v>32</v>
      </c>
    </row>
    <row r="215" spans="1:29" ht="21.95" customHeight="1">
      <c r="A215" s="178">
        <v>300320</v>
      </c>
      <c r="B215" s="171" t="s">
        <v>33</v>
      </c>
      <c r="C215" s="232" t="s">
        <v>34</v>
      </c>
      <c r="D215" s="232"/>
      <c r="E215" s="184" t="s">
        <v>35</v>
      </c>
      <c r="F215" s="13"/>
      <c r="G215" s="182"/>
      <c r="H215" s="182"/>
      <c r="I215" s="182"/>
      <c r="J215" s="182"/>
      <c r="K215" s="182">
        <f t="shared" ref="K215:K285" si="26">G215*M215</f>
        <v>0</v>
      </c>
      <c r="L215" s="182">
        <f t="shared" ref="L215:L285" si="27">I215*M215</f>
        <v>0</v>
      </c>
      <c r="M215" s="182">
        <v>633.6</v>
      </c>
      <c r="N215" s="182">
        <f t="shared" ref="N215:N222" si="28">+M215*1000/(28.3*10*40*60)*T215</f>
        <v>4.6643109540636036</v>
      </c>
      <c r="O215" s="182"/>
      <c r="P215" s="182">
        <f t="shared" ref="P215:P285" si="29">N215*I215+O215*U215</f>
        <v>0</v>
      </c>
      <c r="Q215" s="182"/>
      <c r="R215" s="19">
        <f t="shared" ref="R215:R285" si="30">Q215*U215</f>
        <v>0</v>
      </c>
      <c r="S215" s="182">
        <f t="shared" ref="S215:S285" si="31">R215-P215</f>
        <v>0</v>
      </c>
      <c r="T215" s="20">
        <v>5</v>
      </c>
      <c r="U215" s="20"/>
      <c r="V215" s="179" t="str">
        <f t="array" ref="V215">IF(ISERROR(L215/K215),"",L215/K215)</f>
        <v/>
      </c>
      <c r="W215" s="20"/>
      <c r="X215" s="171"/>
      <c r="Y215" s="171"/>
      <c r="Z215" s="183"/>
      <c r="AA215" s="20"/>
      <c r="AB215" s="20"/>
      <c r="AC215" s="20"/>
    </row>
    <row r="216" spans="1:29" s="2" customFormat="1" ht="21.95" customHeight="1">
      <c r="A216" s="178">
        <v>300318</v>
      </c>
      <c r="B216" s="181" t="s">
        <v>33</v>
      </c>
      <c r="C216" s="329" t="s">
        <v>34</v>
      </c>
      <c r="D216" s="329"/>
      <c r="E216" s="48" t="s">
        <v>36</v>
      </c>
      <c r="F216" s="183"/>
      <c r="G216" s="182"/>
      <c r="H216" s="182"/>
      <c r="I216" s="182"/>
      <c r="J216" s="182"/>
      <c r="K216" s="182">
        <f t="shared" si="26"/>
        <v>0</v>
      </c>
      <c r="L216" s="182">
        <f t="shared" si="27"/>
        <v>0</v>
      </c>
      <c r="M216" s="182">
        <v>633.6</v>
      </c>
      <c r="N216" s="182">
        <f t="shared" si="28"/>
        <v>3.7314487632508833</v>
      </c>
      <c r="O216" s="182"/>
      <c r="P216" s="182">
        <f t="shared" si="29"/>
        <v>0</v>
      </c>
      <c r="Q216" s="182"/>
      <c r="R216" s="19">
        <f t="shared" si="30"/>
        <v>0</v>
      </c>
      <c r="S216" s="182">
        <f t="shared" si="31"/>
        <v>0</v>
      </c>
      <c r="T216" s="20">
        <v>4</v>
      </c>
      <c r="U216" s="20"/>
      <c r="V216" s="179" t="str">
        <f t="array" ref="V216">IF(ISERROR(L216/K216),"",L216/K216)</f>
        <v/>
      </c>
      <c r="W216" s="20"/>
      <c r="X216" s="171"/>
      <c r="Y216" s="171"/>
      <c r="Z216" s="183"/>
      <c r="AA216" s="20"/>
      <c r="AB216" s="20"/>
      <c r="AC216" s="20"/>
    </row>
    <row r="217" spans="1:29" s="2" customFormat="1" ht="21.95" customHeight="1">
      <c r="A217" s="178">
        <v>300319</v>
      </c>
      <c r="B217" s="181" t="s">
        <v>33</v>
      </c>
      <c r="C217" s="329" t="s">
        <v>34</v>
      </c>
      <c r="D217" s="329"/>
      <c r="E217" s="48" t="s">
        <v>37</v>
      </c>
      <c r="F217" s="183"/>
      <c r="G217" s="182"/>
      <c r="H217" s="182"/>
      <c r="I217" s="182"/>
      <c r="J217" s="182"/>
      <c r="K217" s="182">
        <f t="shared" si="26"/>
        <v>0</v>
      </c>
      <c r="L217" s="182">
        <f t="shared" si="27"/>
        <v>0</v>
      </c>
      <c r="M217" s="182">
        <v>633.6</v>
      </c>
      <c r="N217" s="182">
        <f t="shared" si="28"/>
        <v>3.7314487632508833</v>
      </c>
      <c r="O217" s="182"/>
      <c r="P217" s="182">
        <f t="shared" si="29"/>
        <v>0</v>
      </c>
      <c r="Q217" s="182"/>
      <c r="R217" s="19">
        <f t="shared" si="30"/>
        <v>0</v>
      </c>
      <c r="S217" s="182">
        <f t="shared" si="31"/>
        <v>0</v>
      </c>
      <c r="T217" s="20">
        <v>4</v>
      </c>
      <c r="U217" s="20"/>
      <c r="V217" s="179" t="str">
        <f t="array" ref="V217">IF(ISERROR(L217/K217),"",L217/K217)</f>
        <v/>
      </c>
      <c r="W217" s="20"/>
      <c r="X217" s="171"/>
      <c r="Y217" s="171"/>
      <c r="Z217" s="183"/>
      <c r="AA217" s="20"/>
      <c r="AB217" s="20"/>
      <c r="AC217" s="20"/>
    </row>
    <row r="218" spans="1:29" s="2" customFormat="1" ht="21.95" customHeight="1">
      <c r="A218" s="178">
        <v>300316</v>
      </c>
      <c r="B218" s="181" t="s">
        <v>33</v>
      </c>
      <c r="C218" s="329" t="s">
        <v>34</v>
      </c>
      <c r="D218" s="329"/>
      <c r="E218" s="48" t="s">
        <v>38</v>
      </c>
      <c r="F218" s="183"/>
      <c r="G218" s="182"/>
      <c r="H218" s="182"/>
      <c r="I218" s="182"/>
      <c r="J218" s="182"/>
      <c r="K218" s="182">
        <f t="shared" si="26"/>
        <v>0</v>
      </c>
      <c r="L218" s="182">
        <f t="shared" si="27"/>
        <v>0</v>
      </c>
      <c r="M218" s="182">
        <v>616</v>
      </c>
      <c r="N218" s="182">
        <f t="shared" si="28"/>
        <v>3.6277974087161367</v>
      </c>
      <c r="O218" s="182"/>
      <c r="P218" s="182">
        <f t="shared" si="29"/>
        <v>0</v>
      </c>
      <c r="Q218" s="182"/>
      <c r="R218" s="19">
        <f t="shared" si="30"/>
        <v>0</v>
      </c>
      <c r="S218" s="182">
        <f t="shared" si="31"/>
        <v>0</v>
      </c>
      <c r="T218" s="20">
        <v>4</v>
      </c>
      <c r="U218" s="20"/>
      <c r="V218" s="179" t="str">
        <f t="array" ref="V218">IF(ISERROR(L218/K218),"",L218/K218)</f>
        <v/>
      </c>
      <c r="W218" s="20"/>
      <c r="X218" s="171"/>
      <c r="Y218" s="171"/>
      <c r="Z218" s="183"/>
      <c r="AA218" s="20"/>
      <c r="AB218" s="20"/>
      <c r="AC218" s="20"/>
    </row>
    <row r="219" spans="1:29" s="2" customFormat="1" ht="21.95" customHeight="1">
      <c r="A219" s="178">
        <v>300317</v>
      </c>
      <c r="B219" s="181" t="s">
        <v>33</v>
      </c>
      <c r="C219" s="329" t="s">
        <v>34</v>
      </c>
      <c r="D219" s="329"/>
      <c r="E219" s="48" t="s">
        <v>39</v>
      </c>
      <c r="F219" s="183"/>
      <c r="G219" s="182"/>
      <c r="H219" s="182"/>
      <c r="I219" s="182"/>
      <c r="J219" s="182"/>
      <c r="K219" s="182">
        <f t="shared" si="26"/>
        <v>0</v>
      </c>
      <c r="L219" s="182">
        <f t="shared" si="27"/>
        <v>0</v>
      </c>
      <c r="M219" s="182">
        <v>616</v>
      </c>
      <c r="N219" s="182">
        <f t="shared" si="28"/>
        <v>3.6277974087161367</v>
      </c>
      <c r="O219" s="182"/>
      <c r="P219" s="182">
        <f t="shared" si="29"/>
        <v>0</v>
      </c>
      <c r="Q219" s="182"/>
      <c r="R219" s="19">
        <f t="shared" si="30"/>
        <v>0</v>
      </c>
      <c r="S219" s="182">
        <f t="shared" si="31"/>
        <v>0</v>
      </c>
      <c r="T219" s="20">
        <v>4</v>
      </c>
      <c r="U219" s="20"/>
      <c r="V219" s="179" t="str">
        <f t="array" ref="V219">IF(ISERROR(L219/K219),"",L219/K219)</f>
        <v/>
      </c>
      <c r="W219" s="20"/>
      <c r="X219" s="171"/>
      <c r="Y219" s="171"/>
      <c r="Z219" s="183"/>
      <c r="AA219" s="20"/>
      <c r="AB219" s="20"/>
      <c r="AC219" s="20"/>
    </row>
    <row r="220" spans="1:29" s="2" customFormat="1" ht="21.95" customHeight="1">
      <c r="A220" s="178">
        <v>300315</v>
      </c>
      <c r="B220" s="181" t="s">
        <v>33</v>
      </c>
      <c r="C220" s="329" t="s">
        <v>34</v>
      </c>
      <c r="D220" s="329"/>
      <c r="E220" s="48" t="s">
        <v>40</v>
      </c>
      <c r="F220" s="183"/>
      <c r="G220" s="182"/>
      <c r="H220" s="182"/>
      <c r="I220" s="182"/>
      <c r="J220" s="182"/>
      <c r="K220" s="182">
        <f t="shared" si="26"/>
        <v>0</v>
      </c>
      <c r="L220" s="182">
        <f t="shared" si="27"/>
        <v>0</v>
      </c>
      <c r="M220" s="182">
        <v>616</v>
      </c>
      <c r="N220" s="182">
        <f t="shared" si="28"/>
        <v>3.6277974087161367</v>
      </c>
      <c r="O220" s="182"/>
      <c r="P220" s="182">
        <f t="shared" si="29"/>
        <v>0</v>
      </c>
      <c r="Q220" s="182"/>
      <c r="R220" s="19">
        <f t="shared" si="30"/>
        <v>0</v>
      </c>
      <c r="S220" s="182">
        <f t="shared" si="31"/>
        <v>0</v>
      </c>
      <c r="T220" s="20">
        <v>4</v>
      </c>
      <c r="U220" s="20"/>
      <c r="V220" s="179" t="str">
        <f t="array" ref="V220">IF(ISERROR(L220/K220),"",L220/K220)</f>
        <v/>
      </c>
      <c r="W220" s="20"/>
      <c r="X220" s="171"/>
      <c r="Y220" s="171"/>
      <c r="Z220" s="183"/>
      <c r="AA220" s="20"/>
      <c r="AB220" s="20"/>
      <c r="AC220" s="20"/>
    </row>
    <row r="221" spans="1:29" s="2" customFormat="1" ht="21.95" customHeight="1">
      <c r="A221" s="178">
        <v>300314</v>
      </c>
      <c r="B221" s="181" t="s">
        <v>33</v>
      </c>
      <c r="C221" s="329" t="s">
        <v>34</v>
      </c>
      <c r="D221" s="329"/>
      <c r="E221" s="48" t="s">
        <v>41</v>
      </c>
      <c r="F221" s="183"/>
      <c r="G221" s="182"/>
      <c r="H221" s="182"/>
      <c r="I221" s="182"/>
      <c r="J221" s="182"/>
      <c r="K221" s="182">
        <f t="shared" si="26"/>
        <v>0</v>
      </c>
      <c r="L221" s="182">
        <f t="shared" si="27"/>
        <v>0</v>
      </c>
      <c r="M221" s="182">
        <v>616</v>
      </c>
      <c r="N221" s="182">
        <f t="shared" si="28"/>
        <v>3.6277974087161367</v>
      </c>
      <c r="O221" s="182"/>
      <c r="P221" s="182">
        <f t="shared" si="29"/>
        <v>0</v>
      </c>
      <c r="Q221" s="182"/>
      <c r="R221" s="19">
        <f t="shared" si="30"/>
        <v>0</v>
      </c>
      <c r="S221" s="182">
        <f t="shared" si="31"/>
        <v>0</v>
      </c>
      <c r="T221" s="20">
        <v>4</v>
      </c>
      <c r="U221" s="20"/>
      <c r="V221" s="179" t="str">
        <f t="array" ref="V221">IF(ISERROR(L221/K221),"",L221/K221)</f>
        <v/>
      </c>
      <c r="W221" s="20"/>
      <c r="X221" s="171"/>
      <c r="Y221" s="171"/>
      <c r="Z221" s="183"/>
      <c r="AA221" s="20"/>
      <c r="AB221" s="20"/>
      <c r="AC221" s="20"/>
    </row>
    <row r="222" spans="1:29" s="2" customFormat="1" ht="21.95" customHeight="1">
      <c r="A222" s="178">
        <v>300313</v>
      </c>
      <c r="B222" s="181" t="s">
        <v>33</v>
      </c>
      <c r="C222" s="329" t="s">
        <v>34</v>
      </c>
      <c r="D222" s="329"/>
      <c r="E222" s="48" t="s">
        <v>42</v>
      </c>
      <c r="F222" s="183"/>
      <c r="G222" s="182"/>
      <c r="H222" s="182"/>
      <c r="I222" s="182"/>
      <c r="J222" s="182"/>
      <c r="K222" s="182">
        <f t="shared" si="26"/>
        <v>0</v>
      </c>
      <c r="L222" s="182">
        <f t="shared" si="27"/>
        <v>0</v>
      </c>
      <c r="M222" s="182">
        <v>616</v>
      </c>
      <c r="N222" s="182">
        <f t="shared" si="28"/>
        <v>3.6277974087161367</v>
      </c>
      <c r="O222" s="182"/>
      <c r="P222" s="182">
        <f t="shared" si="29"/>
        <v>0</v>
      </c>
      <c r="Q222" s="182"/>
      <c r="R222" s="19">
        <f t="shared" si="30"/>
        <v>0</v>
      </c>
      <c r="S222" s="182">
        <f t="shared" si="31"/>
        <v>0</v>
      </c>
      <c r="T222" s="20">
        <v>4</v>
      </c>
      <c r="U222" s="20"/>
      <c r="V222" s="179" t="str">
        <f t="array" ref="V222">IF(ISERROR(L222/K222),"",L222/K222)</f>
        <v/>
      </c>
      <c r="W222" s="20"/>
      <c r="X222" s="171"/>
      <c r="Y222" s="171"/>
      <c r="Z222" s="183"/>
      <c r="AA222" s="20"/>
      <c r="AB222" s="20"/>
      <c r="AC222" s="20"/>
    </row>
    <row r="223" spans="1:29" ht="21.95" customHeight="1">
      <c r="A223" s="178"/>
      <c r="B223" s="171" t="s">
        <v>43</v>
      </c>
      <c r="C223" s="230" t="s">
        <v>305</v>
      </c>
      <c r="D223" s="231"/>
      <c r="E223" s="184" t="s">
        <v>306</v>
      </c>
      <c r="F223" s="13"/>
      <c r="G223" s="110"/>
      <c r="H223" s="110"/>
      <c r="I223" s="110"/>
      <c r="J223" s="110"/>
      <c r="K223" s="182">
        <f t="shared" si="26"/>
        <v>0</v>
      </c>
      <c r="L223" s="182">
        <f t="shared" si="27"/>
        <v>0</v>
      </c>
      <c r="M223" s="182">
        <v>213.4</v>
      </c>
      <c r="N223" s="182">
        <f>+M223*1000/(15.4*10*17*60)*T223</f>
        <v>4.0756302521008401</v>
      </c>
      <c r="O223" s="182"/>
      <c r="P223" s="182">
        <f t="shared" si="29"/>
        <v>0</v>
      </c>
      <c r="Q223" s="182"/>
      <c r="R223" s="19">
        <f t="shared" si="30"/>
        <v>0</v>
      </c>
      <c r="S223" s="182">
        <f t="shared" si="31"/>
        <v>0</v>
      </c>
      <c r="T223" s="20">
        <v>3</v>
      </c>
      <c r="U223" s="20"/>
      <c r="V223" s="179"/>
      <c r="W223" s="20"/>
      <c r="X223" s="171"/>
      <c r="Y223" s="171"/>
      <c r="Z223" s="183"/>
      <c r="AA223" s="20"/>
      <c r="AB223" s="20"/>
      <c r="AC223" s="20"/>
    </row>
    <row r="224" spans="1:29" ht="21.95" customHeight="1">
      <c r="A224" s="178"/>
      <c r="B224" s="171" t="s">
        <v>43</v>
      </c>
      <c r="C224" s="230" t="s">
        <v>305</v>
      </c>
      <c r="D224" s="231"/>
      <c r="E224" s="184" t="s">
        <v>307</v>
      </c>
      <c r="F224" s="13"/>
      <c r="G224" s="110"/>
      <c r="H224" s="110"/>
      <c r="I224" s="110"/>
      <c r="J224" s="110"/>
      <c r="K224" s="182">
        <f t="shared" si="26"/>
        <v>0</v>
      </c>
      <c r="L224" s="182">
        <f t="shared" si="27"/>
        <v>0</v>
      </c>
      <c r="M224" s="182">
        <v>213.4</v>
      </c>
      <c r="N224" s="182">
        <f>+M224*1000/(15.4*10*17*60)*T224</f>
        <v>4.0756302521008401</v>
      </c>
      <c r="O224" s="182"/>
      <c r="P224" s="182">
        <f t="shared" si="29"/>
        <v>0</v>
      </c>
      <c r="Q224" s="182"/>
      <c r="R224" s="19">
        <f t="shared" si="30"/>
        <v>0</v>
      </c>
      <c r="S224" s="182">
        <f t="shared" si="31"/>
        <v>0</v>
      </c>
      <c r="T224" s="20">
        <v>3</v>
      </c>
      <c r="U224" s="20"/>
      <c r="V224" s="179"/>
      <c r="W224" s="20"/>
      <c r="X224" s="171"/>
      <c r="Y224" s="171"/>
      <c r="Z224" s="183"/>
      <c r="AA224" s="20"/>
      <c r="AB224" s="20"/>
      <c r="AC224" s="20"/>
    </row>
    <row r="225" spans="1:29" s="2" customFormat="1" ht="21.95" customHeight="1">
      <c r="A225" s="171">
        <v>300202</v>
      </c>
      <c r="B225" s="171" t="s">
        <v>52</v>
      </c>
      <c r="C225" s="230" t="s">
        <v>44</v>
      </c>
      <c r="D225" s="231"/>
      <c r="E225" s="171" t="s">
        <v>35</v>
      </c>
      <c r="F225" s="183"/>
      <c r="G225" s="182"/>
      <c r="H225" s="182"/>
      <c r="I225" s="182"/>
      <c r="J225" s="182"/>
      <c r="K225" s="182">
        <f t="shared" si="26"/>
        <v>0</v>
      </c>
      <c r="L225" s="182">
        <f t="shared" si="27"/>
        <v>0</v>
      </c>
      <c r="M225" s="182">
        <v>212.4</v>
      </c>
      <c r="N225" s="182">
        <f>+M225*1000/(15.4*10*17*60)*T225</f>
        <v>8.1130634071810537</v>
      </c>
      <c r="O225" s="182"/>
      <c r="P225" s="182">
        <f t="shared" si="29"/>
        <v>0</v>
      </c>
      <c r="Q225" s="182"/>
      <c r="R225" s="19">
        <f t="shared" si="30"/>
        <v>0</v>
      </c>
      <c r="S225" s="182">
        <f t="shared" si="31"/>
        <v>0</v>
      </c>
      <c r="T225" s="20">
        <v>6</v>
      </c>
      <c r="U225" s="20"/>
      <c r="V225" s="179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71">
        <v>300203</v>
      </c>
      <c r="B226" s="171" t="s">
        <v>43</v>
      </c>
      <c r="C226" s="230" t="s">
        <v>44</v>
      </c>
      <c r="D226" s="231"/>
      <c r="E226" s="171" t="s">
        <v>41</v>
      </c>
      <c r="F226" s="183"/>
      <c r="G226" s="182"/>
      <c r="H226" s="182"/>
      <c r="I226" s="182"/>
      <c r="J226" s="182"/>
      <c r="K226" s="182">
        <f t="shared" si="26"/>
        <v>0</v>
      </c>
      <c r="L226" s="182">
        <f t="shared" si="27"/>
        <v>0</v>
      </c>
      <c r="M226" s="182">
        <v>212.4</v>
      </c>
      <c r="N226" s="182">
        <f>+M226*1000/(15.4*10*17*60)*T226</f>
        <v>4.0565317035905268</v>
      </c>
      <c r="O226" s="182"/>
      <c r="P226" s="182">
        <f t="shared" si="29"/>
        <v>0</v>
      </c>
      <c r="Q226" s="182"/>
      <c r="R226" s="19">
        <f t="shared" si="30"/>
        <v>0</v>
      </c>
      <c r="S226" s="182">
        <f t="shared" si="31"/>
        <v>0</v>
      </c>
      <c r="T226" s="20">
        <v>3</v>
      </c>
      <c r="U226" s="20"/>
      <c r="V226" s="179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71">
        <v>300204</v>
      </c>
      <c r="B227" s="171" t="s">
        <v>43</v>
      </c>
      <c r="C227" s="230" t="s">
        <v>44</v>
      </c>
      <c r="D227" s="231"/>
      <c r="E227" s="171" t="s">
        <v>37</v>
      </c>
      <c r="F227" s="183"/>
      <c r="G227" s="182"/>
      <c r="H227" s="182"/>
      <c r="I227" s="182"/>
      <c r="J227" s="182"/>
      <c r="K227" s="182">
        <f t="shared" si="26"/>
        <v>0</v>
      </c>
      <c r="L227" s="182">
        <f t="shared" si="27"/>
        <v>0</v>
      </c>
      <c r="M227" s="182">
        <v>212.4</v>
      </c>
      <c r="N227" s="182">
        <f>+M227*1000/(15.4*10*17*60)*T227</f>
        <v>4.0565317035905268</v>
      </c>
      <c r="O227" s="182"/>
      <c r="P227" s="182">
        <f t="shared" si="29"/>
        <v>0</v>
      </c>
      <c r="Q227" s="182"/>
      <c r="R227" s="19">
        <f t="shared" si="30"/>
        <v>0</v>
      </c>
      <c r="S227" s="182">
        <f t="shared" si="31"/>
        <v>0</v>
      </c>
      <c r="T227" s="20">
        <v>3</v>
      </c>
      <c r="U227" s="20"/>
      <c r="V227" s="179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8">
        <v>300269</v>
      </c>
      <c r="B228" s="171" t="s">
        <v>43</v>
      </c>
      <c r="C228" s="219" t="s">
        <v>45</v>
      </c>
      <c r="D228" s="219"/>
      <c r="E228" s="184"/>
      <c r="F228" s="183"/>
      <c r="G228" s="182"/>
      <c r="H228" s="182"/>
      <c r="I228" s="182"/>
      <c r="J228" s="182"/>
      <c r="K228" s="182">
        <f t="shared" si="26"/>
        <v>0</v>
      </c>
      <c r="L228" s="182">
        <f t="shared" si="27"/>
        <v>0</v>
      </c>
      <c r="M228" s="182">
        <v>209.4</v>
      </c>
      <c r="N228" s="182">
        <f>+M228*1000/(19.4*10*16*60)*T228</f>
        <v>3.3730670103092786</v>
      </c>
      <c r="O228" s="182"/>
      <c r="P228" s="182">
        <f t="shared" si="29"/>
        <v>0</v>
      </c>
      <c r="Q228" s="182"/>
      <c r="R228" s="19">
        <f t="shared" si="30"/>
        <v>0</v>
      </c>
      <c r="S228" s="182">
        <f t="shared" si="31"/>
        <v>0</v>
      </c>
      <c r="T228" s="20">
        <v>3</v>
      </c>
      <c r="U228" s="20"/>
      <c r="V228" s="179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8"/>
      <c r="B229" s="171"/>
      <c r="C229" s="219" t="s">
        <v>46</v>
      </c>
      <c r="D229" s="219"/>
      <c r="E229" s="184" t="s">
        <v>47</v>
      </c>
      <c r="F229" s="183"/>
      <c r="G229" s="182"/>
      <c r="H229" s="182"/>
      <c r="I229" s="182"/>
      <c r="J229" s="182"/>
      <c r="K229" s="182">
        <f t="shared" si="26"/>
        <v>0</v>
      </c>
      <c r="L229" s="182">
        <f t="shared" si="27"/>
        <v>0</v>
      </c>
      <c r="M229" s="182">
        <v>209.9</v>
      </c>
      <c r="N229" s="182">
        <f>+M229*1000/(19*10*16*60)*T229</f>
        <v>3.4523026315789478</v>
      </c>
      <c r="O229" s="182"/>
      <c r="P229" s="182">
        <f t="shared" si="29"/>
        <v>0</v>
      </c>
      <c r="Q229" s="182"/>
      <c r="R229" s="19">
        <f t="shared" si="30"/>
        <v>0</v>
      </c>
      <c r="S229" s="182">
        <f t="shared" si="31"/>
        <v>0</v>
      </c>
      <c r="T229" s="20">
        <v>3</v>
      </c>
      <c r="U229" s="20"/>
      <c r="V229" s="179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8">
        <v>300350</v>
      </c>
      <c r="B230" s="171" t="s">
        <v>43</v>
      </c>
      <c r="C230" s="219" t="s">
        <v>48</v>
      </c>
      <c r="D230" s="219"/>
      <c r="E230" s="184" t="s">
        <v>49</v>
      </c>
      <c r="F230" s="183"/>
      <c r="G230" s="182"/>
      <c r="H230" s="182"/>
      <c r="I230" s="182"/>
      <c r="J230" s="182"/>
      <c r="K230" s="182">
        <f t="shared" si="26"/>
        <v>0</v>
      </c>
      <c r="L230" s="182">
        <f t="shared" si="27"/>
        <v>0</v>
      </c>
      <c r="M230" s="182">
        <v>209.9</v>
      </c>
      <c r="N230" s="182">
        <f>+M230*1000/(19*10*16*60)*T230</f>
        <v>2.3015350877192984</v>
      </c>
      <c r="O230" s="182"/>
      <c r="P230" s="182">
        <f t="shared" si="29"/>
        <v>0</v>
      </c>
      <c r="Q230" s="182"/>
      <c r="R230" s="19">
        <f t="shared" si="30"/>
        <v>0</v>
      </c>
      <c r="S230" s="182">
        <f t="shared" si="31"/>
        <v>0</v>
      </c>
      <c r="T230" s="20">
        <v>2</v>
      </c>
      <c r="U230" s="20"/>
      <c r="V230" s="179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8">
        <v>300113</v>
      </c>
      <c r="B231" s="171" t="s">
        <v>43</v>
      </c>
      <c r="C231" s="219" t="s">
        <v>50</v>
      </c>
      <c r="D231" s="219"/>
      <c r="E231" s="184" t="s">
        <v>40</v>
      </c>
      <c r="F231" s="183"/>
      <c r="G231" s="182"/>
      <c r="H231" s="182"/>
      <c r="I231" s="182"/>
      <c r="J231" s="182"/>
      <c r="K231" s="182">
        <f t="shared" si="26"/>
        <v>0</v>
      </c>
      <c r="L231" s="182">
        <f t="shared" si="27"/>
        <v>0</v>
      </c>
      <c r="M231" s="182">
        <v>210</v>
      </c>
      <c r="N231" s="182">
        <f>M231*1000/(19.2*10*17*60)*T231</f>
        <v>2.1446078431372548</v>
      </c>
      <c r="O231" s="182"/>
      <c r="P231" s="182">
        <f t="shared" si="29"/>
        <v>0</v>
      </c>
      <c r="Q231" s="182"/>
      <c r="R231" s="19">
        <f t="shared" si="30"/>
        <v>0</v>
      </c>
      <c r="S231" s="182">
        <f t="shared" si="31"/>
        <v>0</v>
      </c>
      <c r="T231" s="20">
        <v>2</v>
      </c>
      <c r="U231" s="20"/>
      <c r="V231" s="179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8">
        <v>300114</v>
      </c>
      <c r="B232" s="171" t="s">
        <v>43</v>
      </c>
      <c r="C232" s="219" t="s">
        <v>50</v>
      </c>
      <c r="D232" s="219"/>
      <c r="E232" s="184" t="s">
        <v>42</v>
      </c>
      <c r="F232" s="183"/>
      <c r="G232" s="182"/>
      <c r="H232" s="182"/>
      <c r="I232" s="182"/>
      <c r="J232" s="182"/>
      <c r="K232" s="182">
        <f t="shared" si="26"/>
        <v>0</v>
      </c>
      <c r="L232" s="182">
        <f t="shared" si="27"/>
        <v>0</v>
      </c>
      <c r="M232" s="182">
        <v>210</v>
      </c>
      <c r="N232" s="182">
        <f>M232*1000/(19.2*10*17*60)*T232</f>
        <v>2.1446078431372548</v>
      </c>
      <c r="O232" s="182"/>
      <c r="P232" s="182">
        <f t="shared" si="29"/>
        <v>0</v>
      </c>
      <c r="Q232" s="182"/>
      <c r="R232" s="19">
        <f t="shared" si="30"/>
        <v>0</v>
      </c>
      <c r="S232" s="182">
        <f t="shared" si="31"/>
        <v>0</v>
      </c>
      <c r="T232" s="20">
        <v>2</v>
      </c>
      <c r="U232" s="20"/>
      <c r="V232" s="179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8">
        <v>300115</v>
      </c>
      <c r="B233" s="171" t="s">
        <v>43</v>
      </c>
      <c r="C233" s="219" t="s">
        <v>50</v>
      </c>
      <c r="D233" s="219"/>
      <c r="E233" s="184" t="s">
        <v>41</v>
      </c>
      <c r="F233" s="183"/>
      <c r="G233" s="182"/>
      <c r="H233" s="182"/>
      <c r="I233" s="182"/>
      <c r="J233" s="182"/>
      <c r="K233" s="182">
        <f t="shared" si="26"/>
        <v>0</v>
      </c>
      <c r="L233" s="182">
        <f t="shared" si="27"/>
        <v>0</v>
      </c>
      <c r="M233" s="182">
        <v>210</v>
      </c>
      <c r="N233" s="182">
        <f>M233*1000/(19.2*10*17*60)*T233</f>
        <v>2.1446078431372548</v>
      </c>
      <c r="O233" s="182"/>
      <c r="P233" s="182">
        <f t="shared" si="29"/>
        <v>0</v>
      </c>
      <c r="Q233" s="182"/>
      <c r="R233" s="19">
        <f t="shared" si="30"/>
        <v>0</v>
      </c>
      <c r="S233" s="182">
        <f t="shared" si="31"/>
        <v>0</v>
      </c>
      <c r="T233" s="20">
        <v>2</v>
      </c>
      <c r="U233" s="20"/>
      <c r="V233" s="179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8">
        <v>300011</v>
      </c>
      <c r="B234" s="171" t="s">
        <v>43</v>
      </c>
      <c r="C234" s="219" t="s">
        <v>51</v>
      </c>
      <c r="D234" s="219"/>
      <c r="E234" s="184" t="s">
        <v>40</v>
      </c>
      <c r="F234" s="183"/>
      <c r="G234" s="182"/>
      <c r="H234" s="182"/>
      <c r="I234" s="182"/>
      <c r="J234" s="182"/>
      <c r="K234" s="182">
        <f t="shared" si="26"/>
        <v>0</v>
      </c>
      <c r="L234" s="182">
        <f t="shared" si="27"/>
        <v>0</v>
      </c>
      <c r="M234" s="182">
        <v>524.6</v>
      </c>
      <c r="N234" s="182">
        <f>+M234*1000/(25.4*20*15*60)*T234</f>
        <v>3.4422572178477688</v>
      </c>
      <c r="O234" s="182"/>
      <c r="P234" s="182">
        <f t="shared" si="29"/>
        <v>0</v>
      </c>
      <c r="Q234" s="182"/>
      <c r="R234" s="19">
        <f t="shared" si="30"/>
        <v>0</v>
      </c>
      <c r="S234" s="182">
        <f t="shared" si="31"/>
        <v>0</v>
      </c>
      <c r="T234" s="20">
        <v>3</v>
      </c>
      <c r="U234" s="20"/>
      <c r="V234" s="179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8">
        <v>300012</v>
      </c>
      <c r="B235" s="171" t="s">
        <v>43</v>
      </c>
      <c r="C235" s="219" t="s">
        <v>51</v>
      </c>
      <c r="D235" s="219"/>
      <c r="E235" s="184" t="s">
        <v>41</v>
      </c>
      <c r="F235" s="183"/>
      <c r="G235" s="182"/>
      <c r="H235" s="182"/>
      <c r="I235" s="182"/>
      <c r="J235" s="182"/>
      <c r="K235" s="182">
        <f t="shared" si="26"/>
        <v>0</v>
      </c>
      <c r="L235" s="182">
        <f t="shared" si="27"/>
        <v>0</v>
      </c>
      <c r="M235" s="182">
        <v>524.6</v>
      </c>
      <c r="N235" s="182">
        <f>+M235*1000/(25.4*20*15*60)*T235</f>
        <v>3.4422572178477688</v>
      </c>
      <c r="O235" s="182"/>
      <c r="P235" s="182">
        <f t="shared" si="29"/>
        <v>0</v>
      </c>
      <c r="Q235" s="182"/>
      <c r="R235" s="19">
        <f t="shared" si="30"/>
        <v>0</v>
      </c>
      <c r="S235" s="182">
        <f t="shared" si="31"/>
        <v>0</v>
      </c>
      <c r="T235" s="20">
        <v>3</v>
      </c>
      <c r="U235" s="20"/>
      <c r="V235" s="179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8">
        <v>300013</v>
      </c>
      <c r="B236" s="171" t="s">
        <v>213</v>
      </c>
      <c r="C236" s="219" t="s">
        <v>51</v>
      </c>
      <c r="D236" s="219"/>
      <c r="E236" s="184" t="s">
        <v>42</v>
      </c>
      <c r="F236" s="183"/>
      <c r="G236" s="182"/>
      <c r="H236" s="182"/>
      <c r="I236" s="182"/>
      <c r="J236" s="182"/>
      <c r="K236" s="182">
        <f t="shared" si="26"/>
        <v>0</v>
      </c>
      <c r="L236" s="182">
        <f t="shared" si="27"/>
        <v>0</v>
      </c>
      <c r="M236" s="182">
        <v>524.6</v>
      </c>
      <c r="N236" s="182">
        <f>+M236*1000/(25.4*20*15*60)*T236</f>
        <v>3.4422572178477688</v>
      </c>
      <c r="O236" s="182"/>
      <c r="P236" s="182">
        <f t="shared" si="29"/>
        <v>0</v>
      </c>
      <c r="Q236" s="182"/>
      <c r="R236" s="19">
        <f t="shared" si="30"/>
        <v>0</v>
      </c>
      <c r="S236" s="182">
        <f t="shared" si="31"/>
        <v>0</v>
      </c>
      <c r="T236" s="20">
        <v>3</v>
      </c>
      <c r="U236" s="20"/>
      <c r="V236" s="179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8">
        <v>300016</v>
      </c>
      <c r="B237" s="171" t="s">
        <v>43</v>
      </c>
      <c r="C237" s="219" t="s">
        <v>51</v>
      </c>
      <c r="D237" s="219"/>
      <c r="E237" s="184" t="s">
        <v>38</v>
      </c>
      <c r="F237" s="183"/>
      <c r="G237" s="182"/>
      <c r="H237" s="182"/>
      <c r="I237" s="182"/>
      <c r="J237" s="182"/>
      <c r="K237" s="182">
        <f t="shared" si="26"/>
        <v>0</v>
      </c>
      <c r="L237" s="182">
        <f t="shared" si="27"/>
        <v>0</v>
      </c>
      <c r="M237" s="182">
        <v>524.6</v>
      </c>
      <c r="N237" s="182">
        <f>+M237*1000/(25.4*20*15*60)*T237</f>
        <v>3.4422572178477688</v>
      </c>
      <c r="O237" s="182"/>
      <c r="P237" s="182">
        <f t="shared" si="29"/>
        <v>0</v>
      </c>
      <c r="Q237" s="182"/>
      <c r="R237" s="19">
        <f t="shared" si="30"/>
        <v>0</v>
      </c>
      <c r="S237" s="182">
        <f t="shared" si="31"/>
        <v>0</v>
      </c>
      <c r="T237" s="20">
        <v>3</v>
      </c>
      <c r="U237" s="20"/>
      <c r="V237" s="179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4" t="s">
        <v>43</v>
      </c>
      <c r="C238" s="232" t="s">
        <v>51</v>
      </c>
      <c r="D238" s="232"/>
      <c r="E238" s="42" t="s">
        <v>301</v>
      </c>
      <c r="F238" s="127"/>
      <c r="G238" s="128"/>
      <c r="H238" s="128"/>
      <c r="I238" s="128"/>
      <c r="J238" s="128"/>
      <c r="K238" s="15">
        <f t="shared" si="26"/>
        <v>0</v>
      </c>
      <c r="L238" s="15">
        <f t="shared" si="27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29"/>
        <v>0</v>
      </c>
      <c r="Q238" s="15"/>
      <c r="R238" s="129">
        <f t="shared" si="30"/>
        <v>0</v>
      </c>
      <c r="S238" s="15">
        <f t="shared" si="31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8">
        <v>300276</v>
      </c>
      <c r="B239" s="171" t="s">
        <v>43</v>
      </c>
      <c r="C239" s="219" t="s">
        <v>53</v>
      </c>
      <c r="D239" s="219"/>
      <c r="E239" s="184" t="s">
        <v>41</v>
      </c>
      <c r="F239" s="13"/>
      <c r="G239" s="110"/>
      <c r="H239" s="110"/>
      <c r="I239" s="110"/>
      <c r="J239" s="110"/>
      <c r="K239" s="182">
        <f t="shared" si="26"/>
        <v>0</v>
      </c>
      <c r="L239" s="182">
        <f t="shared" si="27"/>
        <v>0</v>
      </c>
      <c r="M239" s="15">
        <v>266</v>
      </c>
      <c r="N239" s="182">
        <f>+M239*1000/(29.8*10*13*60)*T239</f>
        <v>3.4331440371708828</v>
      </c>
      <c r="O239" s="182"/>
      <c r="P239" s="182">
        <f t="shared" si="29"/>
        <v>0</v>
      </c>
      <c r="Q239" s="182"/>
      <c r="R239" s="19">
        <f t="shared" si="30"/>
        <v>0</v>
      </c>
      <c r="S239" s="182">
        <f t="shared" si="31"/>
        <v>0</v>
      </c>
      <c r="T239" s="20">
        <v>3</v>
      </c>
      <c r="U239" s="20"/>
      <c r="V239" s="179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8">
        <v>300277</v>
      </c>
      <c r="B240" s="171" t="s">
        <v>43</v>
      </c>
      <c r="C240" s="219" t="s">
        <v>53</v>
      </c>
      <c r="D240" s="219"/>
      <c r="E240" s="184" t="s">
        <v>39</v>
      </c>
      <c r="F240" s="13"/>
      <c r="G240" s="110"/>
      <c r="H240" s="110"/>
      <c r="I240" s="110"/>
      <c r="J240" s="110"/>
      <c r="K240" s="182">
        <f t="shared" si="26"/>
        <v>0</v>
      </c>
      <c r="L240" s="182">
        <f t="shared" si="27"/>
        <v>0</v>
      </c>
      <c r="M240" s="15">
        <v>266</v>
      </c>
      <c r="N240" s="182">
        <f>+M240*1000/(29.8*10*13*60)*T240</f>
        <v>3.4331440371708828</v>
      </c>
      <c r="O240" s="182"/>
      <c r="P240" s="182">
        <f t="shared" si="29"/>
        <v>0</v>
      </c>
      <c r="Q240" s="182"/>
      <c r="R240" s="19">
        <f t="shared" si="30"/>
        <v>0</v>
      </c>
      <c r="S240" s="182">
        <f t="shared" si="31"/>
        <v>0</v>
      </c>
      <c r="T240" s="20">
        <v>3</v>
      </c>
      <c r="U240" s="20"/>
      <c r="V240" s="179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8">
        <v>300278</v>
      </c>
      <c r="B241" s="171" t="s">
        <v>43</v>
      </c>
      <c r="C241" s="219" t="s">
        <v>53</v>
      </c>
      <c r="D241" s="219"/>
      <c r="E241" s="184" t="s">
        <v>54</v>
      </c>
      <c r="F241" s="13"/>
      <c r="G241" s="110"/>
      <c r="H241" s="110"/>
      <c r="I241" s="110"/>
      <c r="J241" s="110"/>
      <c r="K241" s="182">
        <f t="shared" si="26"/>
        <v>0</v>
      </c>
      <c r="L241" s="182">
        <f t="shared" si="27"/>
        <v>0</v>
      </c>
      <c r="M241" s="15">
        <v>266</v>
      </c>
      <c r="N241" s="182">
        <f>+M241*1000/(29.8*10*13*60)*T241</f>
        <v>3.4331440371708828</v>
      </c>
      <c r="O241" s="182"/>
      <c r="P241" s="182">
        <f t="shared" si="29"/>
        <v>0</v>
      </c>
      <c r="Q241" s="182"/>
      <c r="R241" s="19">
        <f t="shared" si="30"/>
        <v>0</v>
      </c>
      <c r="S241" s="182">
        <f t="shared" si="31"/>
        <v>0</v>
      </c>
      <c r="T241" s="20">
        <v>3</v>
      </c>
      <c r="U241" s="20"/>
      <c r="V241" s="179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8">
        <v>300027</v>
      </c>
      <c r="B242" s="171" t="s">
        <v>55</v>
      </c>
      <c r="C242" s="219" t="s">
        <v>56</v>
      </c>
      <c r="D242" s="219"/>
      <c r="E242" s="184" t="s">
        <v>54</v>
      </c>
      <c r="F242" s="183"/>
      <c r="G242" s="182"/>
      <c r="H242" s="182"/>
      <c r="I242" s="182"/>
      <c r="J242" s="182"/>
      <c r="K242" s="182">
        <f t="shared" si="26"/>
        <v>0</v>
      </c>
      <c r="L242" s="182">
        <f t="shared" si="27"/>
        <v>0</v>
      </c>
      <c r="M242" s="182">
        <v>550.4</v>
      </c>
      <c r="N242" s="182">
        <f>+M242*1000/(31*20*15*60)*T242</f>
        <v>2.9591397849462364</v>
      </c>
      <c r="O242" s="182"/>
      <c r="P242" s="182">
        <f t="shared" si="29"/>
        <v>0</v>
      </c>
      <c r="Q242" s="182"/>
      <c r="R242" s="19">
        <f t="shared" si="30"/>
        <v>0</v>
      </c>
      <c r="S242" s="182">
        <f t="shared" si="31"/>
        <v>0</v>
      </c>
      <c r="T242" s="20">
        <v>3</v>
      </c>
      <c r="U242" s="20"/>
      <c r="V242" s="179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8">
        <v>300028</v>
      </c>
      <c r="B243" s="171" t="s">
        <v>55</v>
      </c>
      <c r="C243" s="219" t="s">
        <v>56</v>
      </c>
      <c r="D243" s="219"/>
      <c r="E243" s="184" t="s">
        <v>35</v>
      </c>
      <c r="F243" s="183"/>
      <c r="G243" s="182"/>
      <c r="H243" s="182"/>
      <c r="I243" s="182"/>
      <c r="J243" s="182"/>
      <c r="K243" s="182">
        <f t="shared" si="26"/>
        <v>0</v>
      </c>
      <c r="L243" s="182">
        <f t="shared" si="27"/>
        <v>0</v>
      </c>
      <c r="M243" s="182">
        <v>550.4</v>
      </c>
      <c r="N243" s="182">
        <f>+M243*1000/(31*20*15*60)*T243</f>
        <v>2.9591397849462364</v>
      </c>
      <c r="O243" s="182"/>
      <c r="P243" s="182">
        <f t="shared" si="29"/>
        <v>0</v>
      </c>
      <c r="Q243" s="182"/>
      <c r="R243" s="19">
        <f t="shared" si="30"/>
        <v>0</v>
      </c>
      <c r="S243" s="182">
        <f t="shared" si="31"/>
        <v>0</v>
      </c>
      <c r="T243" s="20">
        <v>3</v>
      </c>
      <c r="U243" s="20"/>
      <c r="V243" s="179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8">
        <v>300029</v>
      </c>
      <c r="B244" s="171" t="s">
        <v>55</v>
      </c>
      <c r="C244" s="219" t="s">
        <v>56</v>
      </c>
      <c r="D244" s="219"/>
      <c r="E244" s="184" t="s">
        <v>57</v>
      </c>
      <c r="F244" s="183"/>
      <c r="G244" s="182"/>
      <c r="H244" s="182"/>
      <c r="I244" s="182"/>
      <c r="J244" s="182"/>
      <c r="K244" s="182">
        <f t="shared" si="26"/>
        <v>0</v>
      </c>
      <c r="L244" s="182">
        <f t="shared" si="27"/>
        <v>0</v>
      </c>
      <c r="M244" s="182">
        <v>550.4</v>
      </c>
      <c r="N244" s="182">
        <f>+M244*1000/(31*20*15*60)*T244</f>
        <v>2.9591397849462364</v>
      </c>
      <c r="O244" s="182"/>
      <c r="P244" s="182">
        <f t="shared" si="29"/>
        <v>0</v>
      </c>
      <c r="Q244" s="182"/>
      <c r="R244" s="19">
        <f t="shared" si="30"/>
        <v>0</v>
      </c>
      <c r="S244" s="182">
        <f t="shared" si="31"/>
        <v>0</v>
      </c>
      <c r="T244" s="20">
        <v>3</v>
      </c>
      <c r="U244" s="20"/>
      <c r="V244" s="179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8">
        <v>300026</v>
      </c>
      <c r="B245" s="171" t="s">
        <v>55</v>
      </c>
      <c r="C245" s="219" t="s">
        <v>56</v>
      </c>
      <c r="D245" s="219"/>
      <c r="E245" s="184" t="s">
        <v>37</v>
      </c>
      <c r="F245" s="183"/>
      <c r="G245" s="182"/>
      <c r="H245" s="182"/>
      <c r="I245" s="182"/>
      <c r="J245" s="182"/>
      <c r="K245" s="182">
        <f t="shared" si="26"/>
        <v>0</v>
      </c>
      <c r="L245" s="182">
        <f t="shared" si="27"/>
        <v>0</v>
      </c>
      <c r="M245" s="182">
        <v>550.4</v>
      </c>
      <c r="N245" s="182">
        <f>+M245*1000/(31*20*15*60)*T245</f>
        <v>2.9591397849462364</v>
      </c>
      <c r="O245" s="182"/>
      <c r="P245" s="182">
        <f t="shared" si="29"/>
        <v>0</v>
      </c>
      <c r="Q245" s="182"/>
      <c r="R245" s="19">
        <f t="shared" si="30"/>
        <v>0</v>
      </c>
      <c r="S245" s="182">
        <f t="shared" si="31"/>
        <v>0</v>
      </c>
      <c r="T245" s="20">
        <v>3</v>
      </c>
      <c r="U245" s="20"/>
      <c r="V245" s="17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8">
        <v>300032</v>
      </c>
      <c r="B246" s="171">
        <v>3002</v>
      </c>
      <c r="C246" s="219" t="s">
        <v>58</v>
      </c>
      <c r="D246" s="219" t="s">
        <v>59</v>
      </c>
      <c r="E246" s="184" t="s">
        <v>35</v>
      </c>
      <c r="F246" s="183"/>
      <c r="G246" s="182"/>
      <c r="H246" s="182"/>
      <c r="I246" s="182"/>
      <c r="J246" s="182"/>
      <c r="K246" s="182">
        <f t="shared" si="26"/>
        <v>0</v>
      </c>
      <c r="L246" s="182">
        <f t="shared" si="27"/>
        <v>0</v>
      </c>
      <c r="M246" s="182">
        <v>285.7</v>
      </c>
      <c r="N246" s="182">
        <f>+M246*1000/(31*10*13*60)*T246</f>
        <v>7.0893300248138953</v>
      </c>
      <c r="O246" s="182"/>
      <c r="P246" s="182">
        <f t="shared" si="29"/>
        <v>0</v>
      </c>
      <c r="Q246" s="182"/>
      <c r="R246" s="19">
        <f t="shared" si="30"/>
        <v>0</v>
      </c>
      <c r="S246" s="182">
        <f t="shared" si="31"/>
        <v>0</v>
      </c>
      <c r="T246" s="20">
        <v>6</v>
      </c>
      <c r="U246" s="20"/>
      <c r="V246" s="17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8">
        <v>300413</v>
      </c>
      <c r="B247" s="171">
        <v>3002</v>
      </c>
      <c r="C247" s="230" t="s">
        <v>296</v>
      </c>
      <c r="D247" s="231"/>
      <c r="E247" s="184" t="s">
        <v>294</v>
      </c>
      <c r="F247" s="13"/>
      <c r="G247" s="110"/>
      <c r="H247" s="110"/>
      <c r="I247" s="110"/>
      <c r="J247" s="110"/>
      <c r="K247" s="182">
        <f t="shared" si="26"/>
        <v>0</v>
      </c>
      <c r="L247" s="182">
        <f t="shared" si="27"/>
        <v>0</v>
      </c>
      <c r="M247" s="182">
        <v>528.79999999999995</v>
      </c>
      <c r="N247" s="182">
        <f>+M247*1000/(31*10*13*60)*T247</f>
        <v>6.5607940446650126</v>
      </c>
      <c r="O247" s="182"/>
      <c r="P247" s="182">
        <f t="shared" si="29"/>
        <v>0</v>
      </c>
      <c r="Q247" s="182"/>
      <c r="R247" s="19">
        <f t="shared" si="30"/>
        <v>0</v>
      </c>
      <c r="S247" s="182">
        <f t="shared" si="31"/>
        <v>0</v>
      </c>
      <c r="T247" s="20">
        <v>3</v>
      </c>
      <c r="U247" s="20"/>
      <c r="V247" s="179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8">
        <v>300414</v>
      </c>
      <c r="B248" s="171">
        <v>3002</v>
      </c>
      <c r="C248" s="230" t="s">
        <v>296</v>
      </c>
      <c r="D248" s="231"/>
      <c r="E248" s="184" t="s">
        <v>291</v>
      </c>
      <c r="F248" s="13"/>
      <c r="G248" s="110"/>
      <c r="H248" s="110"/>
      <c r="I248" s="110"/>
      <c r="J248" s="110"/>
      <c r="K248" s="182">
        <f t="shared" si="26"/>
        <v>0</v>
      </c>
      <c r="L248" s="182">
        <f t="shared" si="27"/>
        <v>0</v>
      </c>
      <c r="M248" s="182">
        <v>528.79999999999995</v>
      </c>
      <c r="N248" s="182">
        <f>+M248*1000/(31*10*13*60)*T248</f>
        <v>6.5607940446650126</v>
      </c>
      <c r="O248" s="182"/>
      <c r="P248" s="182">
        <f t="shared" si="29"/>
        <v>0</v>
      </c>
      <c r="Q248" s="182"/>
      <c r="R248" s="19">
        <f t="shared" si="30"/>
        <v>0</v>
      </c>
      <c r="S248" s="182">
        <f t="shared" si="31"/>
        <v>0</v>
      </c>
      <c r="T248" s="20">
        <v>3</v>
      </c>
      <c r="U248" s="20"/>
      <c r="V248" s="179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8">
        <v>300415</v>
      </c>
      <c r="B249" s="171">
        <v>3002</v>
      </c>
      <c r="C249" s="230" t="s">
        <v>296</v>
      </c>
      <c r="D249" s="231"/>
      <c r="E249" s="184" t="s">
        <v>295</v>
      </c>
      <c r="F249" s="13"/>
      <c r="G249" s="110"/>
      <c r="H249" s="110"/>
      <c r="I249" s="110"/>
      <c r="J249" s="110"/>
      <c r="K249" s="182">
        <f t="shared" si="26"/>
        <v>0</v>
      </c>
      <c r="L249" s="182">
        <f t="shared" si="27"/>
        <v>0</v>
      </c>
      <c r="M249" s="182">
        <v>528.79999999999995</v>
      </c>
      <c r="N249" s="182">
        <f>+M249*1000/(31*10*13*60)*T249</f>
        <v>6.5607940446650126</v>
      </c>
      <c r="O249" s="182"/>
      <c r="P249" s="182">
        <f t="shared" si="29"/>
        <v>0</v>
      </c>
      <c r="Q249" s="182"/>
      <c r="R249" s="19">
        <f t="shared" si="30"/>
        <v>0</v>
      </c>
      <c r="S249" s="182">
        <f t="shared" si="31"/>
        <v>0</v>
      </c>
      <c r="T249" s="20">
        <v>3</v>
      </c>
      <c r="U249" s="20"/>
      <c r="V249" s="179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8">
        <v>300035</v>
      </c>
      <c r="B250" s="171" t="s">
        <v>60</v>
      </c>
      <c r="C250" s="219" t="s">
        <v>61</v>
      </c>
      <c r="D250" s="219" t="s">
        <v>62</v>
      </c>
      <c r="E250" s="184" t="s">
        <v>35</v>
      </c>
      <c r="F250" s="183"/>
      <c r="G250" s="182"/>
      <c r="H250" s="182"/>
      <c r="I250" s="182"/>
      <c r="J250" s="182"/>
      <c r="K250" s="182">
        <f t="shared" si="26"/>
        <v>0</v>
      </c>
      <c r="L250" s="182">
        <f t="shared" si="27"/>
        <v>0</v>
      </c>
      <c r="M250" s="182">
        <v>366.93</v>
      </c>
      <c r="N250" s="182">
        <f>+M250*1000/(35.8*10*13*60)*T250</f>
        <v>2.6280618822518265</v>
      </c>
      <c r="O250" s="182"/>
      <c r="P250" s="182">
        <f t="shared" si="29"/>
        <v>0</v>
      </c>
      <c r="Q250" s="182"/>
      <c r="R250" s="19">
        <f t="shared" si="30"/>
        <v>0</v>
      </c>
      <c r="S250" s="182">
        <f t="shared" si="31"/>
        <v>0</v>
      </c>
      <c r="T250" s="20">
        <v>2</v>
      </c>
      <c r="U250" s="20"/>
      <c r="V250" s="17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8">
        <v>300036</v>
      </c>
      <c r="B251" s="171" t="s">
        <v>60</v>
      </c>
      <c r="C251" s="219" t="s">
        <v>61</v>
      </c>
      <c r="D251" s="219" t="s">
        <v>62</v>
      </c>
      <c r="E251" s="184" t="s">
        <v>63</v>
      </c>
      <c r="F251" s="183"/>
      <c r="G251" s="182"/>
      <c r="H251" s="182"/>
      <c r="I251" s="182"/>
      <c r="J251" s="182"/>
      <c r="K251" s="182">
        <f t="shared" si="26"/>
        <v>0</v>
      </c>
      <c r="L251" s="182">
        <f t="shared" si="27"/>
        <v>0</v>
      </c>
      <c r="M251" s="182">
        <v>366.93</v>
      </c>
      <c r="N251" s="182">
        <f>+M251*1000/(35.8*10*13*60)*T251</f>
        <v>2.6280618822518265</v>
      </c>
      <c r="O251" s="182"/>
      <c r="P251" s="182">
        <f t="shared" si="29"/>
        <v>0</v>
      </c>
      <c r="Q251" s="182"/>
      <c r="R251" s="19">
        <f t="shared" si="30"/>
        <v>0</v>
      </c>
      <c r="S251" s="182">
        <f t="shared" si="31"/>
        <v>0</v>
      </c>
      <c r="T251" s="20">
        <v>2</v>
      </c>
      <c r="U251" s="20"/>
      <c r="V251" s="17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8">
        <v>300037</v>
      </c>
      <c r="B252" s="171" t="s">
        <v>60</v>
      </c>
      <c r="C252" s="219" t="s">
        <v>61</v>
      </c>
      <c r="D252" s="219" t="s">
        <v>62</v>
      </c>
      <c r="E252" s="184" t="s">
        <v>37</v>
      </c>
      <c r="F252" s="183"/>
      <c r="G252" s="182"/>
      <c r="H252" s="182"/>
      <c r="I252" s="182"/>
      <c r="J252" s="182"/>
      <c r="K252" s="182">
        <f t="shared" si="26"/>
        <v>0</v>
      </c>
      <c r="L252" s="182">
        <f t="shared" si="27"/>
        <v>0</v>
      </c>
      <c r="M252" s="182">
        <v>366.93</v>
      </c>
      <c r="N252" s="182">
        <f>+M252*1000/(35.8*10*13*60)*T252</f>
        <v>2.6280618822518265</v>
      </c>
      <c r="O252" s="182"/>
      <c r="P252" s="182">
        <f t="shared" si="29"/>
        <v>0</v>
      </c>
      <c r="Q252" s="182"/>
      <c r="R252" s="19">
        <f t="shared" si="30"/>
        <v>0</v>
      </c>
      <c r="S252" s="182">
        <f t="shared" si="31"/>
        <v>0</v>
      </c>
      <c r="T252" s="20">
        <v>2</v>
      </c>
      <c r="U252" s="20"/>
      <c r="V252" s="17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8">
        <v>300038</v>
      </c>
      <c r="B253" s="171" t="s">
        <v>60</v>
      </c>
      <c r="C253" s="219" t="s">
        <v>64</v>
      </c>
      <c r="D253" s="219" t="s">
        <v>65</v>
      </c>
      <c r="E253" s="184" t="s">
        <v>35</v>
      </c>
      <c r="F253" s="183"/>
      <c r="G253" s="182"/>
      <c r="H253" s="182"/>
      <c r="I253" s="182"/>
      <c r="J253" s="182"/>
      <c r="K253" s="182">
        <f t="shared" si="26"/>
        <v>0</v>
      </c>
      <c r="L253" s="182">
        <f t="shared" si="27"/>
        <v>0</v>
      </c>
      <c r="M253" s="182">
        <v>301.14</v>
      </c>
      <c r="N253" s="182">
        <f>+M253*1000/(35.8*10*13*60)*T253</f>
        <v>5.3921357971637294</v>
      </c>
      <c r="O253" s="182"/>
      <c r="P253" s="182">
        <f t="shared" si="29"/>
        <v>0</v>
      </c>
      <c r="Q253" s="182"/>
      <c r="R253" s="19">
        <f t="shared" si="30"/>
        <v>0</v>
      </c>
      <c r="S253" s="182">
        <f t="shared" si="31"/>
        <v>0</v>
      </c>
      <c r="T253" s="20">
        <v>5</v>
      </c>
      <c r="U253" s="20"/>
      <c r="V253" s="17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8">
        <v>300039</v>
      </c>
      <c r="B254" s="171" t="s">
        <v>60</v>
      </c>
      <c r="C254" s="219" t="s">
        <v>64</v>
      </c>
      <c r="D254" s="219" t="s">
        <v>65</v>
      </c>
      <c r="E254" s="184" t="s">
        <v>66</v>
      </c>
      <c r="F254" s="183"/>
      <c r="G254" s="182"/>
      <c r="H254" s="182"/>
      <c r="I254" s="182"/>
      <c r="J254" s="182"/>
      <c r="K254" s="182">
        <f t="shared" si="26"/>
        <v>0</v>
      </c>
      <c r="L254" s="182">
        <f t="shared" si="27"/>
        <v>0</v>
      </c>
      <c r="M254" s="182">
        <v>310.39999999999998</v>
      </c>
      <c r="N254" s="182">
        <f>+M254*1000/(35.8*10*13*60)*T254</f>
        <v>5.557942988110586</v>
      </c>
      <c r="O254" s="182"/>
      <c r="P254" s="182">
        <f t="shared" si="29"/>
        <v>0</v>
      </c>
      <c r="Q254" s="182"/>
      <c r="R254" s="19">
        <f t="shared" si="30"/>
        <v>0</v>
      </c>
      <c r="S254" s="182">
        <f t="shared" si="31"/>
        <v>0</v>
      </c>
      <c r="T254" s="20">
        <v>5</v>
      </c>
      <c r="U254" s="20"/>
      <c r="V254" s="17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8">
        <v>300416</v>
      </c>
      <c r="B255" s="171" t="s">
        <v>67</v>
      </c>
      <c r="C255" s="230" t="s">
        <v>68</v>
      </c>
      <c r="D255" s="231"/>
      <c r="E255" s="184" t="s">
        <v>69</v>
      </c>
      <c r="F255" s="183"/>
      <c r="G255" s="14"/>
      <c r="H255" s="14"/>
      <c r="I255" s="14"/>
      <c r="J255" s="14"/>
      <c r="K255" s="182">
        <f t="shared" si="26"/>
        <v>0</v>
      </c>
      <c r="L255" s="182">
        <f t="shared" si="27"/>
        <v>0</v>
      </c>
      <c r="M255" s="182">
        <v>385.6</v>
      </c>
      <c r="N255" s="182">
        <f>+M255*1000/(25.4*20*15*60)*T255</f>
        <v>2.5301837270341205</v>
      </c>
      <c r="O255" s="182"/>
      <c r="P255" s="182">
        <f t="shared" si="29"/>
        <v>0</v>
      </c>
      <c r="Q255" s="182"/>
      <c r="R255" s="19">
        <f t="shared" si="30"/>
        <v>0</v>
      </c>
      <c r="S255" s="182">
        <f t="shared" si="31"/>
        <v>0</v>
      </c>
      <c r="T255" s="20">
        <v>3</v>
      </c>
      <c r="U255" s="20"/>
      <c r="V255" s="179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8">
        <v>300417</v>
      </c>
      <c r="B256" s="171" t="s">
        <v>67</v>
      </c>
      <c r="C256" s="230" t="s">
        <v>68</v>
      </c>
      <c r="D256" s="231"/>
      <c r="E256" s="184" t="s">
        <v>70</v>
      </c>
      <c r="F256" s="183"/>
      <c r="G256" s="14"/>
      <c r="H256" s="14"/>
      <c r="I256" s="14"/>
      <c r="J256" s="14"/>
      <c r="K256" s="182">
        <f t="shared" si="26"/>
        <v>0</v>
      </c>
      <c r="L256" s="182">
        <f t="shared" si="27"/>
        <v>0</v>
      </c>
      <c r="M256" s="182">
        <v>385.6</v>
      </c>
      <c r="N256" s="182">
        <f>+M256*1000/(25.4*20*15*60)*T256</f>
        <v>2.5301837270341205</v>
      </c>
      <c r="O256" s="182"/>
      <c r="P256" s="182">
        <f t="shared" si="29"/>
        <v>0</v>
      </c>
      <c r="Q256" s="182"/>
      <c r="R256" s="19">
        <f t="shared" si="30"/>
        <v>0</v>
      </c>
      <c r="S256" s="182">
        <f t="shared" si="31"/>
        <v>0</v>
      </c>
      <c r="T256" s="20">
        <v>3</v>
      </c>
      <c r="U256" s="20"/>
      <c r="V256" s="179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8">
        <v>300418</v>
      </c>
      <c r="B257" s="171" t="s">
        <v>67</v>
      </c>
      <c r="C257" s="230" t="s">
        <v>68</v>
      </c>
      <c r="D257" s="231"/>
      <c r="E257" s="184" t="s">
        <v>71</v>
      </c>
      <c r="F257" s="183"/>
      <c r="G257" s="14"/>
      <c r="H257" s="14"/>
      <c r="I257" s="14"/>
      <c r="J257" s="14"/>
      <c r="K257" s="182">
        <f t="shared" si="26"/>
        <v>0</v>
      </c>
      <c r="L257" s="182">
        <f t="shared" si="27"/>
        <v>0</v>
      </c>
      <c r="M257" s="182">
        <v>385.6</v>
      </c>
      <c r="N257" s="182">
        <f>+M257*1000/(25.4*20*15*60)*T257</f>
        <v>2.5301837270341205</v>
      </c>
      <c r="O257" s="182"/>
      <c r="P257" s="182">
        <f t="shared" si="29"/>
        <v>0</v>
      </c>
      <c r="Q257" s="182"/>
      <c r="R257" s="19">
        <f t="shared" si="30"/>
        <v>0</v>
      </c>
      <c r="S257" s="182">
        <f t="shared" si="31"/>
        <v>0</v>
      </c>
      <c r="T257" s="20">
        <v>3</v>
      </c>
      <c r="U257" s="20"/>
      <c r="V257" s="179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8">
        <v>300419</v>
      </c>
      <c r="B258" s="171" t="s">
        <v>67</v>
      </c>
      <c r="C258" s="230" t="s">
        <v>68</v>
      </c>
      <c r="D258" s="231"/>
      <c r="E258" s="184" t="s">
        <v>72</v>
      </c>
      <c r="F258" s="183"/>
      <c r="G258" s="14"/>
      <c r="H258" s="14"/>
      <c r="I258" s="14"/>
      <c r="J258" s="14"/>
      <c r="K258" s="182">
        <f t="shared" si="26"/>
        <v>0</v>
      </c>
      <c r="L258" s="182">
        <f t="shared" si="27"/>
        <v>0</v>
      </c>
      <c r="M258" s="182">
        <v>385.6</v>
      </c>
      <c r="N258" s="182">
        <f>+M258*1000/(25.4*20*15*60)*T258</f>
        <v>2.5301837270341205</v>
      </c>
      <c r="O258" s="182"/>
      <c r="P258" s="182">
        <f t="shared" si="29"/>
        <v>0</v>
      </c>
      <c r="Q258" s="182"/>
      <c r="R258" s="19">
        <f t="shared" si="30"/>
        <v>0</v>
      </c>
      <c r="S258" s="182">
        <f t="shared" si="31"/>
        <v>0</v>
      </c>
      <c r="T258" s="20">
        <v>3</v>
      </c>
      <c r="U258" s="20"/>
      <c r="V258" s="179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8">
        <v>300260</v>
      </c>
      <c r="B259" s="171" t="s">
        <v>67</v>
      </c>
      <c r="C259" s="219" t="s">
        <v>73</v>
      </c>
      <c r="D259" s="219"/>
      <c r="E259" s="184" t="s">
        <v>74</v>
      </c>
      <c r="F259" s="183"/>
      <c r="G259" s="182"/>
      <c r="H259" s="182"/>
      <c r="I259" s="182"/>
      <c r="J259" s="182"/>
      <c r="K259" s="182">
        <f t="shared" si="26"/>
        <v>0</v>
      </c>
      <c r="L259" s="182">
        <f t="shared" si="27"/>
        <v>0</v>
      </c>
      <c r="M259" s="182">
        <v>434.33</v>
      </c>
      <c r="N259" s="182">
        <f>+M259*1000/(42.7*10*15*60)*T259</f>
        <v>2.2603695029924538</v>
      </c>
      <c r="O259" s="182"/>
      <c r="P259" s="182">
        <f t="shared" si="29"/>
        <v>0</v>
      </c>
      <c r="Q259" s="182"/>
      <c r="R259" s="19">
        <f t="shared" si="30"/>
        <v>0</v>
      </c>
      <c r="S259" s="182">
        <f t="shared" si="31"/>
        <v>0</v>
      </c>
      <c r="T259" s="20">
        <v>2</v>
      </c>
      <c r="U259" s="20"/>
      <c r="V259" s="17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8">
        <v>300261</v>
      </c>
      <c r="B260" s="171" t="s">
        <v>67</v>
      </c>
      <c r="C260" s="219" t="s">
        <v>73</v>
      </c>
      <c r="D260" s="219"/>
      <c r="E260" s="184" t="s">
        <v>41</v>
      </c>
      <c r="F260" s="183"/>
      <c r="G260" s="182"/>
      <c r="H260" s="182"/>
      <c r="I260" s="182"/>
      <c r="J260" s="182"/>
      <c r="K260" s="182">
        <f t="shared" si="26"/>
        <v>0</v>
      </c>
      <c r="L260" s="182">
        <f t="shared" si="27"/>
        <v>0</v>
      </c>
      <c r="M260" s="182">
        <v>434.33</v>
      </c>
      <c r="N260" s="182">
        <f>+M260*1000/(42.7*10*15*60)*T260</f>
        <v>2.2603695029924538</v>
      </c>
      <c r="O260" s="182"/>
      <c r="P260" s="182">
        <f t="shared" si="29"/>
        <v>0</v>
      </c>
      <c r="Q260" s="182"/>
      <c r="R260" s="19">
        <f t="shared" si="30"/>
        <v>0</v>
      </c>
      <c r="S260" s="182">
        <f t="shared" si="31"/>
        <v>0</v>
      </c>
      <c r="T260" s="20">
        <v>2</v>
      </c>
      <c r="U260" s="20"/>
      <c r="V260" s="17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8">
        <v>300262</v>
      </c>
      <c r="B261" s="171" t="s">
        <v>67</v>
      </c>
      <c r="C261" s="219" t="s">
        <v>73</v>
      </c>
      <c r="D261" s="219"/>
      <c r="E261" s="184" t="s">
        <v>39</v>
      </c>
      <c r="F261" s="183"/>
      <c r="G261" s="182"/>
      <c r="H261" s="182"/>
      <c r="I261" s="182"/>
      <c r="J261" s="182"/>
      <c r="K261" s="182">
        <f t="shared" si="26"/>
        <v>0</v>
      </c>
      <c r="L261" s="182">
        <f t="shared" si="27"/>
        <v>0</v>
      </c>
      <c r="M261" s="182">
        <v>434.33</v>
      </c>
      <c r="N261" s="182">
        <f>+M261*1000/(42.7*10*15*60)*T261</f>
        <v>2.2603695029924538</v>
      </c>
      <c r="O261" s="182"/>
      <c r="P261" s="182">
        <f t="shared" si="29"/>
        <v>0</v>
      </c>
      <c r="Q261" s="182"/>
      <c r="R261" s="19">
        <f t="shared" si="30"/>
        <v>0</v>
      </c>
      <c r="S261" s="182">
        <f t="shared" si="31"/>
        <v>0</v>
      </c>
      <c r="T261" s="20">
        <v>2</v>
      </c>
      <c r="U261" s="20"/>
      <c r="V261" s="17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8">
        <v>300263</v>
      </c>
      <c r="B262" s="171" t="s">
        <v>67</v>
      </c>
      <c r="C262" s="219" t="s">
        <v>73</v>
      </c>
      <c r="D262" s="219"/>
      <c r="E262" s="184" t="s">
        <v>54</v>
      </c>
      <c r="F262" s="183"/>
      <c r="G262" s="182"/>
      <c r="H262" s="182"/>
      <c r="I262" s="182"/>
      <c r="J262" s="182"/>
      <c r="K262" s="182">
        <f t="shared" si="26"/>
        <v>0</v>
      </c>
      <c r="L262" s="182">
        <f t="shared" si="27"/>
        <v>0</v>
      </c>
      <c r="M262" s="182">
        <v>434.33</v>
      </c>
      <c r="N262" s="182">
        <f>+M262*1000/(42.7*10*15*60)*T262</f>
        <v>2.2603695029924538</v>
      </c>
      <c r="O262" s="182"/>
      <c r="P262" s="182">
        <f t="shared" si="29"/>
        <v>0</v>
      </c>
      <c r="Q262" s="182"/>
      <c r="R262" s="19">
        <f t="shared" si="30"/>
        <v>0</v>
      </c>
      <c r="S262" s="182">
        <f t="shared" si="31"/>
        <v>0</v>
      </c>
      <c r="T262" s="20">
        <v>2</v>
      </c>
      <c r="U262" s="20"/>
      <c r="V262" s="17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8">
        <v>300051</v>
      </c>
      <c r="B263" s="171" t="s">
        <v>67</v>
      </c>
      <c r="C263" s="219" t="s">
        <v>75</v>
      </c>
      <c r="D263" s="219" t="s">
        <v>76</v>
      </c>
      <c r="E263" s="184" t="s">
        <v>40</v>
      </c>
      <c r="F263" s="183"/>
      <c r="G263" s="182"/>
      <c r="H263" s="182"/>
      <c r="I263" s="182"/>
      <c r="J263" s="182"/>
      <c r="K263" s="182">
        <f t="shared" si="26"/>
        <v>0</v>
      </c>
      <c r="L263" s="182">
        <f t="shared" si="27"/>
        <v>0</v>
      </c>
      <c r="M263" s="182">
        <v>545.9</v>
      </c>
      <c r="N263" s="182">
        <f>+M263*1000/(41.5*10*16*60)*T263</f>
        <v>2.7404618473895583</v>
      </c>
      <c r="O263" s="182"/>
      <c r="P263" s="182">
        <f t="shared" si="29"/>
        <v>0</v>
      </c>
      <c r="Q263" s="182"/>
      <c r="R263" s="19">
        <f t="shared" si="30"/>
        <v>0</v>
      </c>
      <c r="S263" s="182">
        <f t="shared" si="31"/>
        <v>0</v>
      </c>
      <c r="T263" s="22">
        <v>2</v>
      </c>
      <c r="U263" s="20"/>
      <c r="V263" s="17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8">
        <v>300052</v>
      </c>
      <c r="B264" s="171" t="s">
        <v>67</v>
      </c>
      <c r="C264" s="219" t="s">
        <v>75</v>
      </c>
      <c r="D264" s="219" t="s">
        <v>76</v>
      </c>
      <c r="E264" s="184" t="s">
        <v>39</v>
      </c>
      <c r="F264" s="183"/>
      <c r="G264" s="182"/>
      <c r="H264" s="182"/>
      <c r="I264" s="182"/>
      <c r="J264" s="182"/>
      <c r="K264" s="182">
        <f t="shared" si="26"/>
        <v>0</v>
      </c>
      <c r="L264" s="182">
        <f t="shared" si="27"/>
        <v>0</v>
      </c>
      <c r="M264" s="182">
        <v>545.9</v>
      </c>
      <c r="N264" s="182">
        <f>+M264*1000/(41.5*10*16*60)*T264</f>
        <v>2.7404618473895583</v>
      </c>
      <c r="O264" s="182"/>
      <c r="P264" s="182">
        <f t="shared" si="29"/>
        <v>0</v>
      </c>
      <c r="Q264" s="182"/>
      <c r="R264" s="19">
        <f t="shared" si="30"/>
        <v>0</v>
      </c>
      <c r="S264" s="182">
        <f t="shared" si="31"/>
        <v>0</v>
      </c>
      <c r="T264" s="20">
        <v>2</v>
      </c>
      <c r="U264" s="20"/>
      <c r="V264" s="17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8">
        <v>300054</v>
      </c>
      <c r="B265" s="171" t="s">
        <v>67</v>
      </c>
      <c r="C265" s="219" t="s">
        <v>75</v>
      </c>
      <c r="D265" s="219" t="s">
        <v>76</v>
      </c>
      <c r="E265" s="184" t="s">
        <v>38</v>
      </c>
      <c r="F265" s="183"/>
      <c r="G265" s="182"/>
      <c r="H265" s="182"/>
      <c r="I265" s="182"/>
      <c r="J265" s="182"/>
      <c r="K265" s="182">
        <f t="shared" si="26"/>
        <v>0</v>
      </c>
      <c r="L265" s="182">
        <f t="shared" si="27"/>
        <v>0</v>
      </c>
      <c r="M265" s="182">
        <v>545.9</v>
      </c>
      <c r="N265" s="182">
        <f>+M265*1000/(41.5*10*16*60)*T265</f>
        <v>2.7404618473895583</v>
      </c>
      <c r="O265" s="182"/>
      <c r="P265" s="182">
        <f t="shared" si="29"/>
        <v>0</v>
      </c>
      <c r="Q265" s="182"/>
      <c r="R265" s="19">
        <f t="shared" si="30"/>
        <v>0</v>
      </c>
      <c r="S265" s="182">
        <f t="shared" si="31"/>
        <v>0</v>
      </c>
      <c r="T265" s="20">
        <v>2</v>
      </c>
      <c r="U265" s="20"/>
      <c r="V265" s="17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4" t="s">
        <v>67</v>
      </c>
      <c r="C266" s="232" t="s">
        <v>75</v>
      </c>
      <c r="D266" s="232" t="s">
        <v>76</v>
      </c>
      <c r="E266" s="42" t="s">
        <v>301</v>
      </c>
      <c r="F266" s="127"/>
      <c r="G266" s="128"/>
      <c r="H266" s="128"/>
      <c r="I266" s="128"/>
      <c r="J266" s="128"/>
      <c r="K266" s="15">
        <f t="shared" si="26"/>
        <v>0</v>
      </c>
      <c r="L266" s="15">
        <f t="shared" si="27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29"/>
        <v>0</v>
      </c>
      <c r="Q266" s="15"/>
      <c r="R266" s="129">
        <f t="shared" si="30"/>
        <v>0</v>
      </c>
      <c r="S266" s="15">
        <f t="shared" si="31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8">
        <v>300050</v>
      </c>
      <c r="B267" s="171" t="s">
        <v>67</v>
      </c>
      <c r="C267" s="219" t="s">
        <v>77</v>
      </c>
      <c r="D267" s="219" t="s">
        <v>78</v>
      </c>
      <c r="E267" s="184" t="s">
        <v>79</v>
      </c>
      <c r="F267" s="183"/>
      <c r="G267" s="182"/>
      <c r="H267" s="182"/>
      <c r="I267" s="182"/>
      <c r="J267" s="182"/>
      <c r="K267" s="182">
        <f t="shared" si="26"/>
        <v>0</v>
      </c>
      <c r="L267" s="182">
        <f t="shared" si="27"/>
        <v>0</v>
      </c>
      <c r="M267" s="182">
        <v>427.5</v>
      </c>
      <c r="N267" s="182">
        <f>+M267*1000/(45*10*14*60)*T267</f>
        <v>5.6547619047619051</v>
      </c>
      <c r="O267" s="182"/>
      <c r="P267" s="182">
        <f t="shared" si="29"/>
        <v>0</v>
      </c>
      <c r="Q267" s="182"/>
      <c r="R267" s="19">
        <f t="shared" si="30"/>
        <v>0</v>
      </c>
      <c r="S267" s="182">
        <f t="shared" si="31"/>
        <v>0</v>
      </c>
      <c r="T267" s="20">
        <v>5</v>
      </c>
      <c r="U267" s="20"/>
      <c r="V267" s="17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8">
        <v>300045</v>
      </c>
      <c r="B268" s="171" t="s">
        <v>67</v>
      </c>
      <c r="C268" s="219" t="s">
        <v>77</v>
      </c>
      <c r="D268" s="219" t="s">
        <v>78</v>
      </c>
      <c r="E268" s="184" t="s">
        <v>35</v>
      </c>
      <c r="F268" s="183"/>
      <c r="G268" s="182"/>
      <c r="H268" s="182"/>
      <c r="I268" s="182"/>
      <c r="J268" s="182"/>
      <c r="K268" s="182">
        <f t="shared" si="26"/>
        <v>0</v>
      </c>
      <c r="L268" s="182">
        <f t="shared" si="27"/>
        <v>0</v>
      </c>
      <c r="M268" s="182">
        <v>406.6</v>
      </c>
      <c r="N268" s="182">
        <f>+M268*1000/(45*10*13*60)*T268</f>
        <v>5.7920227920227916</v>
      </c>
      <c r="O268" s="182"/>
      <c r="P268" s="182">
        <f t="shared" si="29"/>
        <v>0</v>
      </c>
      <c r="Q268" s="182"/>
      <c r="R268" s="19">
        <f t="shared" si="30"/>
        <v>0</v>
      </c>
      <c r="S268" s="182">
        <f t="shared" si="31"/>
        <v>0</v>
      </c>
      <c r="T268" s="20">
        <v>5</v>
      </c>
      <c r="U268" s="20"/>
      <c r="V268" s="17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8">
        <v>300422</v>
      </c>
      <c r="B269" s="171" t="s">
        <v>67</v>
      </c>
      <c r="C269" s="230" t="s">
        <v>293</v>
      </c>
      <c r="D269" s="231"/>
      <c r="E269" s="184" t="s">
        <v>54</v>
      </c>
      <c r="F269" s="183"/>
      <c r="G269" s="110"/>
      <c r="H269" s="110"/>
      <c r="I269" s="110"/>
      <c r="J269" s="110"/>
      <c r="K269" s="182">
        <f t="shared" si="26"/>
        <v>0</v>
      </c>
      <c r="L269" s="182">
        <f t="shared" si="27"/>
        <v>0</v>
      </c>
      <c r="M269" s="182">
        <v>429.8</v>
      </c>
      <c r="N269" s="182">
        <f>+M269*1000/(45*10*13*60)*T269</f>
        <v>3.6735042735042738</v>
      </c>
      <c r="O269" s="182"/>
      <c r="P269" s="182">
        <f t="shared" si="29"/>
        <v>0</v>
      </c>
      <c r="Q269" s="182"/>
      <c r="R269" s="19">
        <f t="shared" si="30"/>
        <v>0</v>
      </c>
      <c r="S269" s="182">
        <f t="shared" si="31"/>
        <v>0</v>
      </c>
      <c r="T269" s="20">
        <v>3</v>
      </c>
      <c r="U269" s="20"/>
      <c r="V269" s="179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8">
        <v>300421</v>
      </c>
      <c r="B270" s="171" t="s">
        <v>67</v>
      </c>
      <c r="C270" s="230" t="s">
        <v>293</v>
      </c>
      <c r="D270" s="231"/>
      <c r="E270" s="184" t="s">
        <v>80</v>
      </c>
      <c r="F270" s="183"/>
      <c r="G270" s="110"/>
      <c r="H270" s="110"/>
      <c r="I270" s="110"/>
      <c r="J270" s="110"/>
      <c r="K270" s="182">
        <f t="shared" si="26"/>
        <v>0</v>
      </c>
      <c r="L270" s="182">
        <f t="shared" si="27"/>
        <v>0</v>
      </c>
      <c r="M270" s="182">
        <v>429.8</v>
      </c>
      <c r="N270" s="182">
        <f>+M270*1000/(45*10*13*60)*T270</f>
        <v>3.6735042735042738</v>
      </c>
      <c r="O270" s="182"/>
      <c r="P270" s="182">
        <f t="shared" si="29"/>
        <v>0</v>
      </c>
      <c r="Q270" s="182"/>
      <c r="R270" s="19">
        <f t="shared" si="30"/>
        <v>0</v>
      </c>
      <c r="S270" s="182">
        <f t="shared" si="31"/>
        <v>0</v>
      </c>
      <c r="T270" s="20">
        <v>3</v>
      </c>
      <c r="U270" s="20"/>
      <c r="V270" s="179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8">
        <v>300149</v>
      </c>
      <c r="B271" s="171" t="s">
        <v>67</v>
      </c>
      <c r="C271" s="219" t="s">
        <v>81</v>
      </c>
      <c r="D271" s="219" t="s">
        <v>82</v>
      </c>
      <c r="E271" s="184" t="s">
        <v>80</v>
      </c>
      <c r="F271" s="183"/>
      <c r="G271" s="182"/>
      <c r="H271" s="182"/>
      <c r="I271" s="182"/>
      <c r="J271" s="182"/>
      <c r="K271" s="182">
        <f t="shared" si="26"/>
        <v>0</v>
      </c>
      <c r="L271" s="182">
        <f t="shared" si="27"/>
        <v>0</v>
      </c>
      <c r="M271" s="182">
        <v>589.1</v>
      </c>
      <c r="N271" s="182">
        <f>+M271*1000/(67.1*10*13*60)*T271</f>
        <v>3.3767052619511633</v>
      </c>
      <c r="O271" s="182"/>
      <c r="P271" s="182">
        <f t="shared" si="29"/>
        <v>0</v>
      </c>
      <c r="Q271" s="182"/>
      <c r="R271" s="19">
        <f t="shared" si="30"/>
        <v>0</v>
      </c>
      <c r="S271" s="182">
        <f t="shared" si="31"/>
        <v>0</v>
      </c>
      <c r="T271" s="20">
        <v>3</v>
      </c>
      <c r="U271" s="20"/>
      <c r="V271" s="17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8">
        <v>300150</v>
      </c>
      <c r="B272" s="171" t="s">
        <v>67</v>
      </c>
      <c r="C272" s="219" t="s">
        <v>81</v>
      </c>
      <c r="D272" s="219" t="s">
        <v>82</v>
      </c>
      <c r="E272" s="184" t="s">
        <v>54</v>
      </c>
      <c r="F272" s="183"/>
      <c r="G272" s="182"/>
      <c r="H272" s="182"/>
      <c r="I272" s="182"/>
      <c r="J272" s="182"/>
      <c r="K272" s="182">
        <f t="shared" si="26"/>
        <v>0</v>
      </c>
      <c r="L272" s="182">
        <f t="shared" si="27"/>
        <v>0</v>
      </c>
      <c r="M272" s="182">
        <v>589.1</v>
      </c>
      <c r="N272" s="182">
        <f>+M272*1000/(67.1*10*13*60)*T272</f>
        <v>3.3767052619511633</v>
      </c>
      <c r="O272" s="182"/>
      <c r="P272" s="182">
        <f t="shared" si="29"/>
        <v>0</v>
      </c>
      <c r="Q272" s="182"/>
      <c r="R272" s="19">
        <f t="shared" si="30"/>
        <v>0</v>
      </c>
      <c r="S272" s="182">
        <f t="shared" si="31"/>
        <v>0</v>
      </c>
      <c r="T272" s="20">
        <v>3</v>
      </c>
      <c r="U272" s="20"/>
      <c r="V272" s="17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8">
        <v>300330</v>
      </c>
      <c r="B273" s="171" t="s">
        <v>67</v>
      </c>
      <c r="C273" s="230" t="s">
        <v>83</v>
      </c>
      <c r="D273" s="231"/>
      <c r="E273" s="184" t="s">
        <v>84</v>
      </c>
      <c r="F273" s="183"/>
      <c r="G273" s="182"/>
      <c r="H273" s="182"/>
      <c r="I273" s="182"/>
      <c r="J273" s="182"/>
      <c r="K273" s="182">
        <f t="shared" si="26"/>
        <v>0</v>
      </c>
      <c r="L273" s="182">
        <f t="shared" si="27"/>
        <v>0</v>
      </c>
      <c r="M273" s="182">
        <v>416.3</v>
      </c>
      <c r="N273" s="182">
        <f t="shared" ref="N273:N278" si="32">+M273*1000/(45*10*18*60)*T273</f>
        <v>1.7131687242798355</v>
      </c>
      <c r="O273" s="182"/>
      <c r="P273" s="182">
        <f t="shared" si="29"/>
        <v>0</v>
      </c>
      <c r="Q273" s="182"/>
      <c r="R273" s="19">
        <f t="shared" si="30"/>
        <v>0</v>
      </c>
      <c r="S273" s="182">
        <f t="shared" si="31"/>
        <v>0</v>
      </c>
      <c r="T273" s="20">
        <v>2</v>
      </c>
      <c r="U273" s="20"/>
      <c r="V273" s="17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8">
        <v>300331</v>
      </c>
      <c r="B274" s="171" t="s">
        <v>67</v>
      </c>
      <c r="C274" s="230" t="s">
        <v>83</v>
      </c>
      <c r="D274" s="231"/>
      <c r="E274" s="184" t="s">
        <v>49</v>
      </c>
      <c r="F274" s="183"/>
      <c r="G274" s="182"/>
      <c r="H274" s="182"/>
      <c r="I274" s="182"/>
      <c r="J274" s="182"/>
      <c r="K274" s="182">
        <f t="shared" si="26"/>
        <v>0</v>
      </c>
      <c r="L274" s="182">
        <f t="shared" si="27"/>
        <v>0</v>
      </c>
      <c r="M274" s="182">
        <v>416.3</v>
      </c>
      <c r="N274" s="182">
        <f t="shared" si="32"/>
        <v>1.7131687242798355</v>
      </c>
      <c r="O274" s="182"/>
      <c r="P274" s="182">
        <f t="shared" si="29"/>
        <v>0</v>
      </c>
      <c r="Q274" s="182"/>
      <c r="R274" s="19">
        <f t="shared" si="30"/>
        <v>0</v>
      </c>
      <c r="S274" s="182">
        <f t="shared" si="31"/>
        <v>0</v>
      </c>
      <c r="T274" s="20">
        <v>2</v>
      </c>
      <c r="U274" s="20"/>
      <c r="V274" s="179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8">
        <v>300332</v>
      </c>
      <c r="B275" s="171" t="s">
        <v>67</v>
      </c>
      <c r="C275" s="230" t="s">
        <v>83</v>
      </c>
      <c r="D275" s="231"/>
      <c r="E275" s="184" t="s">
        <v>85</v>
      </c>
      <c r="F275" s="183"/>
      <c r="G275" s="182"/>
      <c r="H275" s="182"/>
      <c r="I275" s="182"/>
      <c r="J275" s="182"/>
      <c r="K275" s="182">
        <f t="shared" si="26"/>
        <v>0</v>
      </c>
      <c r="L275" s="182">
        <f t="shared" si="27"/>
        <v>0</v>
      </c>
      <c r="M275" s="182">
        <v>416.3</v>
      </c>
      <c r="N275" s="182">
        <f t="shared" si="32"/>
        <v>1.7131687242798355</v>
      </c>
      <c r="O275" s="182"/>
      <c r="P275" s="182">
        <f t="shared" si="29"/>
        <v>0</v>
      </c>
      <c r="Q275" s="182"/>
      <c r="R275" s="19">
        <f t="shared" si="30"/>
        <v>0</v>
      </c>
      <c r="S275" s="182">
        <f t="shared" si="31"/>
        <v>0</v>
      </c>
      <c r="T275" s="20">
        <v>2</v>
      </c>
      <c r="U275" s="20"/>
      <c r="V275" s="179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8">
        <v>300333</v>
      </c>
      <c r="B276" s="171" t="s">
        <v>67</v>
      </c>
      <c r="C276" s="230" t="s">
        <v>86</v>
      </c>
      <c r="D276" s="231"/>
      <c r="E276" s="184" t="s">
        <v>84</v>
      </c>
      <c r="F276" s="183"/>
      <c r="G276" s="182"/>
      <c r="H276" s="182"/>
      <c r="I276" s="182"/>
      <c r="J276" s="182"/>
      <c r="K276" s="182">
        <f t="shared" si="26"/>
        <v>0</v>
      </c>
      <c r="L276" s="182">
        <f t="shared" si="27"/>
        <v>0</v>
      </c>
      <c r="M276" s="182">
        <v>416.3</v>
      </c>
      <c r="N276" s="182">
        <f t="shared" si="32"/>
        <v>1.7131687242798355</v>
      </c>
      <c r="O276" s="182"/>
      <c r="P276" s="182">
        <f t="shared" si="29"/>
        <v>0</v>
      </c>
      <c r="Q276" s="182"/>
      <c r="R276" s="19">
        <f t="shared" si="30"/>
        <v>0</v>
      </c>
      <c r="S276" s="182">
        <f t="shared" si="31"/>
        <v>0</v>
      </c>
      <c r="T276" s="20">
        <v>2</v>
      </c>
      <c r="U276" s="20"/>
      <c r="V276" s="179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8">
        <v>300334</v>
      </c>
      <c r="B277" s="171" t="s">
        <v>67</v>
      </c>
      <c r="C277" s="230" t="s">
        <v>86</v>
      </c>
      <c r="D277" s="231"/>
      <c r="E277" s="184" t="s">
        <v>85</v>
      </c>
      <c r="F277" s="183"/>
      <c r="G277" s="182"/>
      <c r="H277" s="182"/>
      <c r="I277" s="182"/>
      <c r="J277" s="182"/>
      <c r="K277" s="182">
        <f t="shared" si="26"/>
        <v>0</v>
      </c>
      <c r="L277" s="182">
        <f t="shared" si="27"/>
        <v>0</v>
      </c>
      <c r="M277" s="182">
        <v>416.3</v>
      </c>
      <c r="N277" s="182">
        <f t="shared" si="32"/>
        <v>1.7131687242798355</v>
      </c>
      <c r="O277" s="182"/>
      <c r="P277" s="182">
        <f t="shared" si="29"/>
        <v>0</v>
      </c>
      <c r="Q277" s="182"/>
      <c r="R277" s="19">
        <f t="shared" si="30"/>
        <v>0</v>
      </c>
      <c r="S277" s="182">
        <f t="shared" si="31"/>
        <v>0</v>
      </c>
      <c r="T277" s="20">
        <v>2</v>
      </c>
      <c r="U277" s="20"/>
      <c r="V277" s="179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8">
        <v>300335</v>
      </c>
      <c r="B278" s="171" t="s">
        <v>67</v>
      </c>
      <c r="C278" s="230" t="s">
        <v>86</v>
      </c>
      <c r="D278" s="231"/>
      <c r="E278" s="184" t="s">
        <v>49</v>
      </c>
      <c r="F278" s="183"/>
      <c r="G278" s="182"/>
      <c r="H278" s="182"/>
      <c r="I278" s="182"/>
      <c r="J278" s="182"/>
      <c r="K278" s="182">
        <f t="shared" si="26"/>
        <v>0</v>
      </c>
      <c r="L278" s="182">
        <f t="shared" si="27"/>
        <v>0</v>
      </c>
      <c r="M278" s="182">
        <v>416.3</v>
      </c>
      <c r="N278" s="182">
        <f t="shared" si="32"/>
        <v>1.7131687242798355</v>
      </c>
      <c r="O278" s="182"/>
      <c r="P278" s="182">
        <f t="shared" si="29"/>
        <v>0</v>
      </c>
      <c r="Q278" s="182"/>
      <c r="R278" s="19">
        <f t="shared" si="30"/>
        <v>0</v>
      </c>
      <c r="S278" s="182">
        <f t="shared" si="31"/>
        <v>0</v>
      </c>
      <c r="T278" s="20">
        <v>2</v>
      </c>
      <c r="U278" s="20"/>
      <c r="V278" s="179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8">
        <v>300291</v>
      </c>
      <c r="B279" s="171" t="s">
        <v>87</v>
      </c>
      <c r="C279" s="219" t="s">
        <v>88</v>
      </c>
      <c r="D279" s="219" t="s">
        <v>89</v>
      </c>
      <c r="E279" s="184" t="s">
        <v>42</v>
      </c>
      <c r="F279" s="183"/>
      <c r="G279" s="182"/>
      <c r="H279" s="182"/>
      <c r="I279" s="182"/>
      <c r="J279" s="182"/>
      <c r="K279" s="182">
        <f t="shared" si="26"/>
        <v>0</v>
      </c>
      <c r="L279" s="182">
        <f t="shared" si="27"/>
        <v>0</v>
      </c>
      <c r="M279" s="182">
        <v>517.79999999999995</v>
      </c>
      <c r="N279" s="182">
        <f>+M279*1000/(66.6*1*110*60)*T279</f>
        <v>4.7119847119847122</v>
      </c>
      <c r="O279" s="182"/>
      <c r="P279" s="182">
        <f t="shared" si="29"/>
        <v>0</v>
      </c>
      <c r="Q279" s="182"/>
      <c r="R279" s="19">
        <f t="shared" si="30"/>
        <v>0</v>
      </c>
      <c r="S279" s="182">
        <f t="shared" si="31"/>
        <v>0</v>
      </c>
      <c r="T279" s="20">
        <v>4</v>
      </c>
      <c r="U279" s="20"/>
      <c r="V279" s="17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8">
        <v>300292</v>
      </c>
      <c r="B280" s="171" t="s">
        <v>87</v>
      </c>
      <c r="C280" s="219" t="s">
        <v>88</v>
      </c>
      <c r="D280" s="219" t="s">
        <v>89</v>
      </c>
      <c r="E280" s="184" t="s">
        <v>41</v>
      </c>
      <c r="F280" s="183"/>
      <c r="G280" s="182"/>
      <c r="H280" s="182"/>
      <c r="I280" s="182"/>
      <c r="J280" s="182"/>
      <c r="K280" s="182">
        <f t="shared" si="26"/>
        <v>0</v>
      </c>
      <c r="L280" s="182">
        <f t="shared" si="27"/>
        <v>0</v>
      </c>
      <c r="M280" s="182">
        <v>517.79999999999995</v>
      </c>
      <c r="N280" s="182">
        <f>+M280*1000/(66.8*1*110*60)*T280</f>
        <v>4.6978769733260748</v>
      </c>
      <c r="O280" s="182"/>
      <c r="P280" s="182">
        <f t="shared" si="29"/>
        <v>0</v>
      </c>
      <c r="Q280" s="182"/>
      <c r="R280" s="19">
        <f t="shared" si="30"/>
        <v>0</v>
      </c>
      <c r="S280" s="182">
        <f t="shared" si="31"/>
        <v>0</v>
      </c>
      <c r="T280" s="20">
        <v>4</v>
      </c>
      <c r="U280" s="20"/>
      <c r="V280" s="17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8">
        <v>300293</v>
      </c>
      <c r="B281" s="171" t="s">
        <v>87</v>
      </c>
      <c r="C281" s="219" t="s">
        <v>88</v>
      </c>
      <c r="D281" s="219" t="s">
        <v>89</v>
      </c>
      <c r="E281" s="184" t="s">
        <v>57</v>
      </c>
      <c r="F281" s="183"/>
      <c r="G281" s="182"/>
      <c r="H281" s="182"/>
      <c r="I281" s="182"/>
      <c r="J281" s="182"/>
      <c r="K281" s="182">
        <f t="shared" si="26"/>
        <v>0</v>
      </c>
      <c r="L281" s="182">
        <f t="shared" si="27"/>
        <v>0</v>
      </c>
      <c r="M281" s="182">
        <v>517.9</v>
      </c>
      <c r="N281" s="182">
        <f>+M281*1000/(67.1*1*110*60)*T281</f>
        <v>4.6777762724111467</v>
      </c>
      <c r="O281" s="182"/>
      <c r="P281" s="182">
        <f t="shared" si="29"/>
        <v>0</v>
      </c>
      <c r="Q281" s="182"/>
      <c r="R281" s="19">
        <f t="shared" si="30"/>
        <v>0</v>
      </c>
      <c r="S281" s="182">
        <f t="shared" si="31"/>
        <v>0</v>
      </c>
      <c r="T281" s="20">
        <v>4</v>
      </c>
      <c r="U281" s="20"/>
      <c r="V281" s="17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8">
        <v>300290</v>
      </c>
      <c r="B282" s="171" t="s">
        <v>87</v>
      </c>
      <c r="C282" s="219" t="s">
        <v>88</v>
      </c>
      <c r="D282" s="219" t="s">
        <v>89</v>
      </c>
      <c r="E282" s="184" t="s">
        <v>35</v>
      </c>
      <c r="F282" s="183"/>
      <c r="G282" s="182"/>
      <c r="H282" s="182"/>
      <c r="I282" s="182"/>
      <c r="J282" s="182"/>
      <c r="K282" s="182">
        <f t="shared" si="26"/>
        <v>0</v>
      </c>
      <c r="L282" s="182">
        <f t="shared" si="27"/>
        <v>0</v>
      </c>
      <c r="M282" s="182">
        <v>520</v>
      </c>
      <c r="N282" s="182">
        <f>+M282*1000/(67.5*1*110*60)*T282</f>
        <v>4.6689113355780023</v>
      </c>
      <c r="O282" s="182"/>
      <c r="P282" s="182">
        <f t="shared" si="29"/>
        <v>0</v>
      </c>
      <c r="Q282" s="182"/>
      <c r="R282" s="19">
        <f t="shared" si="30"/>
        <v>0</v>
      </c>
      <c r="S282" s="182">
        <f t="shared" si="31"/>
        <v>0</v>
      </c>
      <c r="T282" s="20">
        <v>4</v>
      </c>
      <c r="U282" s="20"/>
      <c r="V282" s="17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8">
        <v>300389</v>
      </c>
      <c r="B283" s="171" t="s">
        <v>87</v>
      </c>
      <c r="C283" s="219" t="s">
        <v>308</v>
      </c>
      <c r="D283" s="219" t="s">
        <v>89</v>
      </c>
      <c r="E283" s="184" t="s">
        <v>35</v>
      </c>
      <c r="F283" s="183"/>
      <c r="G283" s="182"/>
      <c r="H283" s="182"/>
      <c r="I283" s="182"/>
      <c r="J283" s="182"/>
      <c r="K283" s="182">
        <f t="shared" si="26"/>
        <v>0</v>
      </c>
      <c r="L283" s="182">
        <f t="shared" si="27"/>
        <v>0</v>
      </c>
      <c r="M283" s="182">
        <v>429.4</v>
      </c>
      <c r="N283" s="182">
        <f>+M283*1000/(47*1*110*60)*T283</f>
        <v>5.5370728562217923</v>
      </c>
      <c r="O283" s="182"/>
      <c r="P283" s="182">
        <f t="shared" si="29"/>
        <v>0</v>
      </c>
      <c r="Q283" s="182"/>
      <c r="R283" s="19">
        <f t="shared" si="30"/>
        <v>0</v>
      </c>
      <c r="S283" s="182">
        <f t="shared" si="31"/>
        <v>0</v>
      </c>
      <c r="T283" s="20">
        <v>4</v>
      </c>
      <c r="U283" s="20"/>
      <c r="V283" s="17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8">
        <v>300058</v>
      </c>
      <c r="B284" s="171" t="s">
        <v>87</v>
      </c>
      <c r="C284" s="219" t="s">
        <v>308</v>
      </c>
      <c r="D284" s="219" t="s">
        <v>89</v>
      </c>
      <c r="E284" s="184" t="s">
        <v>42</v>
      </c>
      <c r="F284" s="183"/>
      <c r="G284" s="182"/>
      <c r="H284" s="182"/>
      <c r="I284" s="182"/>
      <c r="J284" s="182"/>
      <c r="K284" s="182">
        <f t="shared" si="26"/>
        <v>0</v>
      </c>
      <c r="L284" s="182">
        <f t="shared" si="27"/>
        <v>0</v>
      </c>
      <c r="M284" s="182">
        <v>419.2</v>
      </c>
      <c r="N284" s="182">
        <f>+M284*1000/(51.5*1*110*60)*T284</f>
        <v>4.9332156516622536</v>
      </c>
      <c r="O284" s="182"/>
      <c r="P284" s="182">
        <f t="shared" si="29"/>
        <v>0</v>
      </c>
      <c r="Q284" s="182"/>
      <c r="R284" s="19">
        <f t="shared" si="30"/>
        <v>0</v>
      </c>
      <c r="S284" s="182">
        <f t="shared" si="31"/>
        <v>0</v>
      </c>
      <c r="T284" s="20">
        <v>4</v>
      </c>
      <c r="U284" s="20"/>
      <c r="V284" s="17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8">
        <v>300061</v>
      </c>
      <c r="B285" s="171" t="s">
        <v>87</v>
      </c>
      <c r="C285" s="219" t="s">
        <v>309</v>
      </c>
      <c r="D285" s="219" t="s">
        <v>91</v>
      </c>
      <c r="E285" s="184" t="s">
        <v>41</v>
      </c>
      <c r="F285" s="183"/>
      <c r="G285" s="182"/>
      <c r="H285" s="182"/>
      <c r="I285" s="182"/>
      <c r="J285" s="182"/>
      <c r="K285" s="182">
        <f t="shared" si="26"/>
        <v>0</v>
      </c>
      <c r="L285" s="182">
        <f t="shared" si="27"/>
        <v>0</v>
      </c>
      <c r="M285" s="182">
        <v>418.4</v>
      </c>
      <c r="N285" s="182">
        <f>+M285*1000/(51*1*110*60)*T285</f>
        <v>4.9720736779560308</v>
      </c>
      <c r="O285" s="182"/>
      <c r="P285" s="182">
        <f t="shared" si="29"/>
        <v>0</v>
      </c>
      <c r="Q285" s="182"/>
      <c r="R285" s="19">
        <f t="shared" si="30"/>
        <v>0</v>
      </c>
      <c r="S285" s="182">
        <f t="shared" si="31"/>
        <v>0</v>
      </c>
      <c r="T285" s="20">
        <v>4</v>
      </c>
      <c r="U285" s="20"/>
      <c r="V285" s="17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8">
        <v>300064</v>
      </c>
      <c r="B286" s="171">
        <v>5002</v>
      </c>
      <c r="C286" s="219" t="s">
        <v>309</v>
      </c>
      <c r="D286" s="219" t="s">
        <v>91</v>
      </c>
      <c r="E286" s="184" t="s">
        <v>35</v>
      </c>
      <c r="F286" s="183"/>
      <c r="G286" s="182"/>
      <c r="H286" s="182"/>
      <c r="I286" s="182"/>
      <c r="J286" s="182"/>
      <c r="K286" s="182">
        <f t="shared" ref="K286:K362" si="33">G286*M286</f>
        <v>0</v>
      </c>
      <c r="L286" s="182">
        <f t="shared" ref="L286:L362" si="34">I286*M286</f>
        <v>0</v>
      </c>
      <c r="M286" s="182">
        <v>419.2</v>
      </c>
      <c r="N286" s="182">
        <f>+M286*1000/(51.9*1*110*60)*T286</f>
        <v>4.8951947217843168</v>
      </c>
      <c r="O286" s="182"/>
      <c r="P286" s="182">
        <f t="shared" ref="P286:P362" si="35">N286*I286+O286*U286</f>
        <v>0</v>
      </c>
      <c r="Q286" s="182"/>
      <c r="R286" s="19">
        <f t="shared" ref="R286:R362" si="36">Q286*U286</f>
        <v>0</v>
      </c>
      <c r="S286" s="182">
        <f t="shared" ref="S286:S362" si="37">R286-P286</f>
        <v>0</v>
      </c>
      <c r="T286" s="20">
        <v>4</v>
      </c>
      <c r="U286" s="20"/>
      <c r="V286" s="17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8">
        <v>300060</v>
      </c>
      <c r="B287" s="171" t="s">
        <v>87</v>
      </c>
      <c r="C287" s="219" t="s">
        <v>309</v>
      </c>
      <c r="D287" s="219" t="s">
        <v>91</v>
      </c>
      <c r="E287" s="184" t="s">
        <v>57</v>
      </c>
      <c r="F287" s="183"/>
      <c r="G287" s="182"/>
      <c r="H287" s="182"/>
      <c r="I287" s="182"/>
      <c r="J287" s="182"/>
      <c r="K287" s="182">
        <f t="shared" si="33"/>
        <v>0</v>
      </c>
      <c r="L287" s="182">
        <f t="shared" si="34"/>
        <v>0</v>
      </c>
      <c r="M287" s="182">
        <v>416.9</v>
      </c>
      <c r="N287" s="182">
        <f>+M287*1000/(51*1*110*60)*T287</f>
        <v>4.9542483660130721</v>
      </c>
      <c r="O287" s="182"/>
      <c r="P287" s="182">
        <f t="shared" si="35"/>
        <v>0</v>
      </c>
      <c r="Q287" s="182"/>
      <c r="R287" s="19">
        <f t="shared" si="36"/>
        <v>0</v>
      </c>
      <c r="S287" s="182">
        <f t="shared" si="37"/>
        <v>0</v>
      </c>
      <c r="T287" s="20">
        <v>4</v>
      </c>
      <c r="U287" s="20"/>
      <c r="V287" s="17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8">
        <v>300068</v>
      </c>
      <c r="B288" s="171" t="s">
        <v>87</v>
      </c>
      <c r="C288" s="219" t="s">
        <v>92</v>
      </c>
      <c r="D288" s="219" t="s">
        <v>93</v>
      </c>
      <c r="E288" s="184" t="s">
        <v>37</v>
      </c>
      <c r="F288" s="183"/>
      <c r="G288" s="182"/>
      <c r="H288" s="182"/>
      <c r="I288" s="182"/>
      <c r="J288" s="182"/>
      <c r="K288" s="182">
        <f t="shared" si="33"/>
        <v>0</v>
      </c>
      <c r="L288" s="182">
        <f t="shared" si="34"/>
        <v>0</v>
      </c>
      <c r="M288" s="182">
        <v>438.4</v>
      </c>
      <c r="N288" s="182">
        <f>+M288*1000/(50*1*120*60)*T288</f>
        <v>4.8711111111111114</v>
      </c>
      <c r="O288" s="182"/>
      <c r="P288" s="182">
        <f t="shared" si="35"/>
        <v>0</v>
      </c>
      <c r="Q288" s="182"/>
      <c r="R288" s="19">
        <f t="shared" si="36"/>
        <v>0</v>
      </c>
      <c r="S288" s="182">
        <f t="shared" si="37"/>
        <v>0</v>
      </c>
      <c r="T288" s="20">
        <v>4</v>
      </c>
      <c r="U288" s="20"/>
      <c r="V288" s="17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8">
        <v>300065</v>
      </c>
      <c r="B289" s="171" t="s">
        <v>87</v>
      </c>
      <c r="C289" s="219" t="s">
        <v>92</v>
      </c>
      <c r="D289" s="219" t="s">
        <v>93</v>
      </c>
      <c r="E289" s="184" t="s">
        <v>35</v>
      </c>
      <c r="F289" s="183"/>
      <c r="G289" s="182"/>
      <c r="H289" s="182"/>
      <c r="I289" s="182"/>
      <c r="J289" s="182"/>
      <c r="K289" s="182">
        <f t="shared" si="33"/>
        <v>0</v>
      </c>
      <c r="L289" s="182">
        <f t="shared" si="34"/>
        <v>0</v>
      </c>
      <c r="M289" s="182">
        <v>438.8</v>
      </c>
      <c r="N289" s="182">
        <f>+M289*1000/(50*1*120*60)*T289</f>
        <v>4.8755555555555556</v>
      </c>
      <c r="O289" s="182"/>
      <c r="P289" s="182">
        <f t="shared" si="35"/>
        <v>0</v>
      </c>
      <c r="Q289" s="182"/>
      <c r="R289" s="19">
        <f t="shared" si="36"/>
        <v>0</v>
      </c>
      <c r="S289" s="182">
        <f t="shared" si="37"/>
        <v>0</v>
      </c>
      <c r="T289" s="20">
        <v>4</v>
      </c>
      <c r="U289" s="178"/>
      <c r="V289" s="17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8">
        <v>300066</v>
      </c>
      <c r="B290" s="171" t="s">
        <v>87</v>
      </c>
      <c r="C290" s="219" t="s">
        <v>92</v>
      </c>
      <c r="D290" s="219" t="s">
        <v>93</v>
      </c>
      <c r="E290" s="184" t="s">
        <v>66</v>
      </c>
      <c r="F290" s="183"/>
      <c r="G290" s="182"/>
      <c r="H290" s="182"/>
      <c r="I290" s="182"/>
      <c r="J290" s="182"/>
      <c r="K290" s="182">
        <f t="shared" si="33"/>
        <v>0</v>
      </c>
      <c r="L290" s="182">
        <f t="shared" si="34"/>
        <v>0</v>
      </c>
      <c r="M290" s="182">
        <v>438.4</v>
      </c>
      <c r="N290" s="182">
        <f>+M290*1000/(50*1*120*60)*T290</f>
        <v>4.8711111111111114</v>
      </c>
      <c r="O290" s="182"/>
      <c r="P290" s="182">
        <f t="shared" si="35"/>
        <v>0</v>
      </c>
      <c r="Q290" s="182"/>
      <c r="R290" s="19">
        <f t="shared" si="36"/>
        <v>0</v>
      </c>
      <c r="S290" s="182">
        <f t="shared" si="37"/>
        <v>0</v>
      </c>
      <c r="T290" s="20">
        <v>4</v>
      </c>
      <c r="U290" s="178"/>
      <c r="V290" s="179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8">
        <v>300067</v>
      </c>
      <c r="B291" s="171" t="s">
        <v>87</v>
      </c>
      <c r="C291" s="219" t="s">
        <v>92</v>
      </c>
      <c r="D291" s="219" t="s">
        <v>93</v>
      </c>
      <c r="E291" s="184" t="s">
        <v>41</v>
      </c>
      <c r="F291" s="183"/>
      <c r="G291" s="182"/>
      <c r="H291" s="182"/>
      <c r="I291" s="182"/>
      <c r="J291" s="182"/>
      <c r="K291" s="182">
        <f t="shared" si="33"/>
        <v>0</v>
      </c>
      <c r="L291" s="182">
        <f t="shared" si="34"/>
        <v>0</v>
      </c>
      <c r="M291" s="182">
        <v>438.8</v>
      </c>
      <c r="N291" s="182">
        <f>+M291*1000/(50*1*120*60)*T291</f>
        <v>4.8755555555555556</v>
      </c>
      <c r="O291" s="182"/>
      <c r="P291" s="182">
        <f t="shared" si="35"/>
        <v>0</v>
      </c>
      <c r="Q291" s="182"/>
      <c r="R291" s="19">
        <f t="shared" si="36"/>
        <v>0</v>
      </c>
      <c r="S291" s="182">
        <f t="shared" si="37"/>
        <v>0</v>
      </c>
      <c r="T291" s="20">
        <v>4</v>
      </c>
      <c r="U291" s="20"/>
      <c r="V291" s="17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4" t="s">
        <v>87</v>
      </c>
      <c r="C292" s="232" t="s">
        <v>92</v>
      </c>
      <c r="D292" s="232" t="s">
        <v>93</v>
      </c>
      <c r="E292" s="42" t="s">
        <v>302</v>
      </c>
      <c r="F292" s="127"/>
      <c r="G292" s="128"/>
      <c r="H292" s="128"/>
      <c r="I292" s="128"/>
      <c r="J292" s="128"/>
      <c r="K292" s="15">
        <f t="shared" si="33"/>
        <v>0</v>
      </c>
      <c r="L292" s="15">
        <f t="shared" si="34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35"/>
        <v>0</v>
      </c>
      <c r="Q292" s="15"/>
      <c r="R292" s="129">
        <f t="shared" si="36"/>
        <v>0</v>
      </c>
      <c r="S292" s="15">
        <f t="shared" si="37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8">
        <v>300384</v>
      </c>
      <c r="B293" s="171" t="s">
        <v>87</v>
      </c>
      <c r="C293" s="219" t="s">
        <v>94</v>
      </c>
      <c r="D293" s="219" t="s">
        <v>95</v>
      </c>
      <c r="E293" s="184" t="s">
        <v>35</v>
      </c>
      <c r="F293" s="183"/>
      <c r="G293" s="182"/>
      <c r="H293" s="182"/>
      <c r="I293" s="182"/>
      <c r="J293" s="182"/>
      <c r="K293" s="182">
        <f t="shared" si="33"/>
        <v>0</v>
      </c>
      <c r="L293" s="182">
        <f t="shared" si="34"/>
        <v>0</v>
      </c>
      <c r="M293" s="182">
        <v>415.5</v>
      </c>
      <c r="N293" s="182">
        <f>+M293*1000/(51*1*110*60)*T293</f>
        <v>8.6408199643493759</v>
      </c>
      <c r="O293" s="182"/>
      <c r="P293" s="182">
        <f t="shared" si="35"/>
        <v>0</v>
      </c>
      <c r="Q293" s="182"/>
      <c r="R293" s="19">
        <f t="shared" si="36"/>
        <v>0</v>
      </c>
      <c r="S293" s="182">
        <f t="shared" si="37"/>
        <v>0</v>
      </c>
      <c r="T293" s="20">
        <v>7</v>
      </c>
      <c r="U293" s="20"/>
      <c r="V293" s="17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8">
        <v>300383</v>
      </c>
      <c r="B294" s="171" t="s">
        <v>87</v>
      </c>
      <c r="C294" s="219" t="s">
        <v>94</v>
      </c>
      <c r="D294" s="219" t="s">
        <v>96</v>
      </c>
      <c r="E294" s="184" t="s">
        <v>41</v>
      </c>
      <c r="F294" s="183"/>
      <c r="G294" s="182"/>
      <c r="H294" s="182"/>
      <c r="I294" s="182"/>
      <c r="J294" s="182"/>
      <c r="K294" s="182">
        <f t="shared" si="33"/>
        <v>0</v>
      </c>
      <c r="L294" s="182">
        <f t="shared" si="34"/>
        <v>0</v>
      </c>
      <c r="M294" s="182">
        <v>415.5</v>
      </c>
      <c r="N294" s="182">
        <f>+M294*1000/(51*1*110*60)*T294</f>
        <v>8.6408199643493759</v>
      </c>
      <c r="O294" s="182"/>
      <c r="P294" s="182">
        <f t="shared" si="35"/>
        <v>0</v>
      </c>
      <c r="Q294" s="182"/>
      <c r="R294" s="19">
        <f t="shared" si="36"/>
        <v>0</v>
      </c>
      <c r="S294" s="182">
        <f t="shared" si="37"/>
        <v>0</v>
      </c>
      <c r="T294" s="20">
        <v>7</v>
      </c>
      <c r="U294" s="20"/>
      <c r="V294" s="179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8">
        <v>300386</v>
      </c>
      <c r="B295" s="171" t="s">
        <v>87</v>
      </c>
      <c r="C295" s="219" t="s">
        <v>94</v>
      </c>
      <c r="D295" s="219" t="s">
        <v>97</v>
      </c>
      <c r="E295" s="184" t="s">
        <v>66</v>
      </c>
      <c r="F295" s="183"/>
      <c r="G295" s="182"/>
      <c r="H295" s="182"/>
      <c r="I295" s="182"/>
      <c r="J295" s="182"/>
      <c r="K295" s="182">
        <f t="shared" si="33"/>
        <v>0</v>
      </c>
      <c r="L295" s="182">
        <f t="shared" si="34"/>
        <v>0</v>
      </c>
      <c r="M295" s="182">
        <v>415.5</v>
      </c>
      <c r="N295" s="182">
        <f>+M295*1000/(51*1*110*60)*T295</f>
        <v>8.6408199643493759</v>
      </c>
      <c r="O295" s="182"/>
      <c r="P295" s="182">
        <f t="shared" si="35"/>
        <v>0</v>
      </c>
      <c r="Q295" s="182"/>
      <c r="R295" s="19">
        <f t="shared" si="36"/>
        <v>0</v>
      </c>
      <c r="S295" s="182">
        <f t="shared" si="37"/>
        <v>0</v>
      </c>
      <c r="T295" s="20">
        <v>7</v>
      </c>
      <c r="U295" s="20"/>
      <c r="V295" s="179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8">
        <v>300385</v>
      </c>
      <c r="B296" s="171" t="s">
        <v>87</v>
      </c>
      <c r="C296" s="219" t="s">
        <v>94</v>
      </c>
      <c r="D296" s="219" t="s">
        <v>98</v>
      </c>
      <c r="E296" s="184" t="s">
        <v>99</v>
      </c>
      <c r="F296" s="183"/>
      <c r="G296" s="182"/>
      <c r="H296" s="182"/>
      <c r="I296" s="182"/>
      <c r="J296" s="182"/>
      <c r="K296" s="182">
        <f t="shared" si="33"/>
        <v>0</v>
      </c>
      <c r="L296" s="182">
        <f t="shared" si="34"/>
        <v>0</v>
      </c>
      <c r="M296" s="182">
        <v>415.5</v>
      </c>
      <c r="N296" s="182">
        <f>+M296*1000/(51*1*110*60)*T296</f>
        <v>8.6408199643493759</v>
      </c>
      <c r="O296" s="182"/>
      <c r="P296" s="182">
        <f t="shared" si="35"/>
        <v>0</v>
      </c>
      <c r="Q296" s="182"/>
      <c r="R296" s="19">
        <f t="shared" si="36"/>
        <v>0</v>
      </c>
      <c r="S296" s="182">
        <f t="shared" si="37"/>
        <v>0</v>
      </c>
      <c r="T296" s="20">
        <v>7</v>
      </c>
      <c r="U296" s="20"/>
      <c r="V296" s="179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8">
        <v>300352</v>
      </c>
      <c r="B297" s="171" t="s">
        <v>87</v>
      </c>
      <c r="C297" s="219" t="s">
        <v>100</v>
      </c>
      <c r="D297" s="219" t="s">
        <v>95</v>
      </c>
      <c r="E297" s="184" t="s">
        <v>35</v>
      </c>
      <c r="F297" s="183"/>
      <c r="G297" s="182"/>
      <c r="H297" s="182"/>
      <c r="I297" s="182"/>
      <c r="J297" s="182"/>
      <c r="K297" s="182">
        <f t="shared" si="33"/>
        <v>0</v>
      </c>
      <c r="L297" s="182">
        <f t="shared" si="34"/>
        <v>0</v>
      </c>
      <c r="M297" s="182">
        <v>515.9</v>
      </c>
      <c r="N297" s="182">
        <f>+M297*1000/(80*1*110*60)*T297</f>
        <v>6.8395833333333336</v>
      </c>
      <c r="O297" s="182"/>
      <c r="P297" s="182">
        <f t="shared" si="35"/>
        <v>0</v>
      </c>
      <c r="Q297" s="182"/>
      <c r="R297" s="19">
        <f t="shared" si="36"/>
        <v>0</v>
      </c>
      <c r="S297" s="182">
        <f t="shared" si="37"/>
        <v>0</v>
      </c>
      <c r="T297" s="20">
        <v>7</v>
      </c>
      <c r="U297" s="20"/>
      <c r="V297" s="17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8">
        <v>300353</v>
      </c>
      <c r="B298" s="171" t="s">
        <v>87</v>
      </c>
      <c r="C298" s="219" t="s">
        <v>100</v>
      </c>
      <c r="D298" s="219" t="s">
        <v>95</v>
      </c>
      <c r="E298" s="184" t="s">
        <v>99</v>
      </c>
      <c r="F298" s="183"/>
      <c r="G298" s="182"/>
      <c r="H298" s="182"/>
      <c r="I298" s="182"/>
      <c r="J298" s="182"/>
      <c r="K298" s="182">
        <f t="shared" si="33"/>
        <v>0</v>
      </c>
      <c r="L298" s="182">
        <f t="shared" si="34"/>
        <v>0</v>
      </c>
      <c r="M298" s="182">
        <v>515.9</v>
      </c>
      <c r="N298" s="182">
        <f>+M298*1000/(80*1*110*60)*T298</f>
        <v>6.8395833333333336</v>
      </c>
      <c r="O298" s="182"/>
      <c r="P298" s="182">
        <f t="shared" si="35"/>
        <v>0</v>
      </c>
      <c r="Q298" s="182"/>
      <c r="R298" s="19">
        <f t="shared" si="36"/>
        <v>0</v>
      </c>
      <c r="S298" s="182">
        <f t="shared" si="37"/>
        <v>0</v>
      </c>
      <c r="T298" s="20">
        <v>7</v>
      </c>
      <c r="U298" s="20"/>
      <c r="V298" s="17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8">
        <v>300351</v>
      </c>
      <c r="B299" s="171" t="s">
        <v>87</v>
      </c>
      <c r="C299" s="219" t="s">
        <v>100</v>
      </c>
      <c r="D299" s="219" t="s">
        <v>95</v>
      </c>
      <c r="E299" s="184" t="s">
        <v>41</v>
      </c>
      <c r="F299" s="183"/>
      <c r="G299" s="182"/>
      <c r="H299" s="182"/>
      <c r="I299" s="182"/>
      <c r="J299" s="182"/>
      <c r="K299" s="182">
        <f t="shared" si="33"/>
        <v>0</v>
      </c>
      <c r="L299" s="182">
        <f t="shared" si="34"/>
        <v>0</v>
      </c>
      <c r="M299" s="182">
        <v>515.9</v>
      </c>
      <c r="N299" s="182">
        <f>+M299*1000/(80*1*110*60)*T299</f>
        <v>6.8395833333333336</v>
      </c>
      <c r="O299" s="182"/>
      <c r="P299" s="182">
        <f t="shared" si="35"/>
        <v>0</v>
      </c>
      <c r="Q299" s="182"/>
      <c r="R299" s="19">
        <f t="shared" si="36"/>
        <v>0</v>
      </c>
      <c r="S299" s="182">
        <f t="shared" si="37"/>
        <v>0</v>
      </c>
      <c r="T299" s="20">
        <v>7</v>
      </c>
      <c r="U299" s="20"/>
      <c r="V299" s="17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8">
        <v>300354</v>
      </c>
      <c r="B300" s="171" t="s">
        <v>87</v>
      </c>
      <c r="C300" s="219" t="s">
        <v>100</v>
      </c>
      <c r="D300" s="219" t="s">
        <v>95</v>
      </c>
      <c r="E300" s="184" t="s">
        <v>66</v>
      </c>
      <c r="F300" s="183"/>
      <c r="G300" s="182"/>
      <c r="H300" s="182"/>
      <c r="I300" s="182"/>
      <c r="J300" s="182"/>
      <c r="K300" s="182">
        <f t="shared" si="33"/>
        <v>0</v>
      </c>
      <c r="L300" s="182">
        <f t="shared" si="34"/>
        <v>0</v>
      </c>
      <c r="M300" s="182">
        <v>515.9</v>
      </c>
      <c r="N300" s="182">
        <f>+M300*1000/(80*1*110*60)*T300</f>
        <v>6.8395833333333336</v>
      </c>
      <c r="O300" s="182"/>
      <c r="P300" s="182">
        <f t="shared" si="35"/>
        <v>0</v>
      </c>
      <c r="Q300" s="182"/>
      <c r="R300" s="19">
        <f t="shared" si="36"/>
        <v>0</v>
      </c>
      <c r="S300" s="182">
        <f t="shared" si="37"/>
        <v>0</v>
      </c>
      <c r="T300" s="20">
        <v>7</v>
      </c>
      <c r="U300" s="20"/>
      <c r="V300" s="17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8">
        <v>300250</v>
      </c>
      <c r="B301" s="171" t="s">
        <v>87</v>
      </c>
      <c r="C301" s="219" t="s">
        <v>101</v>
      </c>
      <c r="D301" s="219" t="s">
        <v>95</v>
      </c>
      <c r="E301" s="184" t="s">
        <v>35</v>
      </c>
      <c r="F301" s="183"/>
      <c r="G301" s="182"/>
      <c r="H301" s="182"/>
      <c r="I301" s="182"/>
      <c r="J301" s="182"/>
      <c r="K301" s="182">
        <f t="shared" si="33"/>
        <v>0</v>
      </c>
      <c r="L301" s="182">
        <f t="shared" si="34"/>
        <v>0</v>
      </c>
      <c r="M301" s="182">
        <v>412.5</v>
      </c>
      <c r="N301" s="182">
        <f>+M301*1000/(84*1*110*60)*T301</f>
        <v>5.2083333333333339</v>
      </c>
      <c r="O301" s="182"/>
      <c r="P301" s="182">
        <f t="shared" si="35"/>
        <v>0</v>
      </c>
      <c r="Q301" s="182"/>
      <c r="R301" s="19">
        <f t="shared" si="36"/>
        <v>0</v>
      </c>
      <c r="S301" s="182">
        <f t="shared" si="37"/>
        <v>0</v>
      </c>
      <c r="T301" s="20">
        <v>7</v>
      </c>
      <c r="U301" s="20"/>
      <c r="V301" s="17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8">
        <v>300251</v>
      </c>
      <c r="B302" s="171" t="s">
        <v>87</v>
      </c>
      <c r="C302" s="219" t="s">
        <v>101</v>
      </c>
      <c r="D302" s="219" t="s">
        <v>95</v>
      </c>
      <c r="E302" s="184" t="s">
        <v>99</v>
      </c>
      <c r="F302" s="183"/>
      <c r="G302" s="182"/>
      <c r="H302" s="182"/>
      <c r="I302" s="182"/>
      <c r="J302" s="182"/>
      <c r="K302" s="182">
        <f t="shared" si="33"/>
        <v>0</v>
      </c>
      <c r="L302" s="182">
        <f t="shared" si="34"/>
        <v>0</v>
      </c>
      <c r="M302" s="182">
        <v>412.5</v>
      </c>
      <c r="N302" s="182">
        <f>+M302*1000/(84*1*110*60)*T302</f>
        <v>5.2083333333333339</v>
      </c>
      <c r="O302" s="182"/>
      <c r="P302" s="182">
        <f t="shared" si="35"/>
        <v>0</v>
      </c>
      <c r="Q302" s="182"/>
      <c r="R302" s="19">
        <f t="shared" si="36"/>
        <v>0</v>
      </c>
      <c r="S302" s="182">
        <f t="shared" si="37"/>
        <v>0</v>
      </c>
      <c r="T302" s="20">
        <v>7</v>
      </c>
      <c r="U302" s="20"/>
      <c r="V302" s="17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8">
        <v>300254</v>
      </c>
      <c r="B303" s="171" t="s">
        <v>87</v>
      </c>
      <c r="C303" s="219" t="s">
        <v>101</v>
      </c>
      <c r="D303" s="219" t="s">
        <v>95</v>
      </c>
      <c r="E303" s="184" t="s">
        <v>41</v>
      </c>
      <c r="F303" s="183"/>
      <c r="G303" s="182"/>
      <c r="H303" s="182"/>
      <c r="I303" s="182"/>
      <c r="J303" s="182"/>
      <c r="K303" s="182">
        <f t="shared" si="33"/>
        <v>0</v>
      </c>
      <c r="L303" s="182">
        <f t="shared" si="34"/>
        <v>0</v>
      </c>
      <c r="M303" s="182">
        <v>412.5</v>
      </c>
      <c r="N303" s="182">
        <f>+M303*1000/(84*1*110*60)*T303</f>
        <v>5.2083333333333339</v>
      </c>
      <c r="O303" s="182"/>
      <c r="P303" s="182">
        <f t="shared" si="35"/>
        <v>0</v>
      </c>
      <c r="Q303" s="182"/>
      <c r="R303" s="19">
        <f t="shared" si="36"/>
        <v>0</v>
      </c>
      <c r="S303" s="182">
        <f t="shared" si="37"/>
        <v>0</v>
      </c>
      <c r="T303" s="20">
        <v>7</v>
      </c>
      <c r="U303" s="20"/>
      <c r="V303" s="17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8">
        <v>300253</v>
      </c>
      <c r="B304" s="171" t="s">
        <v>87</v>
      </c>
      <c r="C304" s="219" t="s">
        <v>101</v>
      </c>
      <c r="D304" s="219" t="s">
        <v>95</v>
      </c>
      <c r="E304" s="184" t="s">
        <v>66</v>
      </c>
      <c r="F304" s="183"/>
      <c r="G304" s="182"/>
      <c r="H304" s="182"/>
      <c r="I304" s="182"/>
      <c r="J304" s="182"/>
      <c r="K304" s="182">
        <f t="shared" si="33"/>
        <v>0</v>
      </c>
      <c r="L304" s="182">
        <f t="shared" si="34"/>
        <v>0</v>
      </c>
      <c r="M304" s="182">
        <v>412.5</v>
      </c>
      <c r="N304" s="182">
        <f>+M304*1000/(84*1*110*60)*T304</f>
        <v>5.2083333333333339</v>
      </c>
      <c r="O304" s="182"/>
      <c r="P304" s="182">
        <f t="shared" si="35"/>
        <v>0</v>
      </c>
      <c r="Q304" s="182"/>
      <c r="R304" s="19">
        <f t="shared" si="36"/>
        <v>0</v>
      </c>
      <c r="S304" s="182">
        <f t="shared" si="37"/>
        <v>0</v>
      </c>
      <c r="T304" s="20">
        <v>7</v>
      </c>
      <c r="U304" s="20"/>
      <c r="V304" s="17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8">
        <v>300255</v>
      </c>
      <c r="B305" s="171" t="s">
        <v>87</v>
      </c>
      <c r="C305" s="219" t="s">
        <v>101</v>
      </c>
      <c r="D305" s="219" t="s">
        <v>95</v>
      </c>
      <c r="E305" s="184" t="s">
        <v>102</v>
      </c>
      <c r="F305" s="183"/>
      <c r="G305" s="182"/>
      <c r="H305" s="182"/>
      <c r="I305" s="182"/>
      <c r="J305" s="182"/>
      <c r="K305" s="182">
        <f t="shared" si="33"/>
        <v>0</v>
      </c>
      <c r="L305" s="182">
        <f t="shared" si="34"/>
        <v>0</v>
      </c>
      <c r="M305" s="182">
        <v>412.5</v>
      </c>
      <c r="N305" s="182">
        <f>+M305*1000/(84*1*110*60)*T305</f>
        <v>5.2083333333333339</v>
      </c>
      <c r="O305" s="182"/>
      <c r="P305" s="182">
        <f t="shared" si="35"/>
        <v>0</v>
      </c>
      <c r="Q305" s="182"/>
      <c r="R305" s="19">
        <f t="shared" si="36"/>
        <v>0</v>
      </c>
      <c r="S305" s="182">
        <f t="shared" si="37"/>
        <v>0</v>
      </c>
      <c r="T305" s="20">
        <v>7</v>
      </c>
      <c r="U305" s="20"/>
      <c r="V305" s="17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8">
        <v>300392</v>
      </c>
      <c r="B306" s="171" t="s">
        <v>87</v>
      </c>
      <c r="C306" s="230" t="s">
        <v>103</v>
      </c>
      <c r="D306" s="231"/>
      <c r="E306" s="184" t="s">
        <v>99</v>
      </c>
      <c r="F306" s="178"/>
      <c r="G306" s="182"/>
      <c r="H306" s="182"/>
      <c r="I306" s="182"/>
      <c r="J306" s="182"/>
      <c r="K306" s="182">
        <f t="shared" si="33"/>
        <v>0</v>
      </c>
      <c r="L306" s="182">
        <f t="shared" si="34"/>
        <v>0</v>
      </c>
      <c r="M306" s="182">
        <v>523</v>
      </c>
      <c r="N306" s="182">
        <f>+M306*1000/(98*1*80*60)*T306</f>
        <v>7.7827380952380958</v>
      </c>
      <c r="O306" s="182"/>
      <c r="P306" s="182">
        <f t="shared" si="35"/>
        <v>0</v>
      </c>
      <c r="Q306" s="182"/>
      <c r="R306" s="19">
        <f t="shared" si="36"/>
        <v>0</v>
      </c>
      <c r="S306" s="182">
        <f t="shared" si="37"/>
        <v>0</v>
      </c>
      <c r="T306" s="20">
        <v>7</v>
      </c>
      <c r="U306" s="20"/>
      <c r="V306" s="17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8">
        <v>300088</v>
      </c>
      <c r="B307" s="171" t="s">
        <v>87</v>
      </c>
      <c r="C307" s="219" t="s">
        <v>310</v>
      </c>
      <c r="D307" s="219" t="s">
        <v>91</v>
      </c>
      <c r="E307" s="184" t="s">
        <v>39</v>
      </c>
      <c r="F307" s="183"/>
      <c r="G307" s="182"/>
      <c r="H307" s="182"/>
      <c r="I307" s="182"/>
      <c r="J307" s="182"/>
      <c r="K307" s="182">
        <f t="shared" si="33"/>
        <v>0</v>
      </c>
      <c r="L307" s="182">
        <f t="shared" si="34"/>
        <v>0</v>
      </c>
      <c r="M307" s="182">
        <v>617.79999999999995</v>
      </c>
      <c r="N307" s="182">
        <f>+M307*1000/(123*1*80*60)*T307</f>
        <v>3.1392276422764223</v>
      </c>
      <c r="O307" s="182"/>
      <c r="P307" s="182">
        <f t="shared" si="35"/>
        <v>0</v>
      </c>
      <c r="Q307" s="182"/>
      <c r="R307" s="19">
        <f t="shared" si="36"/>
        <v>0</v>
      </c>
      <c r="S307" s="182">
        <f t="shared" si="37"/>
        <v>0</v>
      </c>
      <c r="T307" s="20">
        <v>3</v>
      </c>
      <c r="U307" s="20"/>
      <c r="V307" s="17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8">
        <v>300089</v>
      </c>
      <c r="B308" s="171" t="s">
        <v>87</v>
      </c>
      <c r="C308" s="219" t="s">
        <v>310</v>
      </c>
      <c r="D308" s="219" t="s">
        <v>91</v>
      </c>
      <c r="E308" s="184" t="s">
        <v>42</v>
      </c>
      <c r="F308" s="183"/>
      <c r="G308" s="182"/>
      <c r="H308" s="182"/>
      <c r="I308" s="182"/>
      <c r="J308" s="182"/>
      <c r="K308" s="182">
        <f t="shared" si="33"/>
        <v>0</v>
      </c>
      <c r="L308" s="182">
        <f t="shared" si="34"/>
        <v>0</v>
      </c>
      <c r="M308" s="182">
        <v>618.6</v>
      </c>
      <c r="N308" s="182">
        <f>+M308*1000/(124*1*80*60)*T308</f>
        <v>3.117943548387097</v>
      </c>
      <c r="O308" s="182"/>
      <c r="P308" s="182">
        <f t="shared" si="35"/>
        <v>0</v>
      </c>
      <c r="Q308" s="182"/>
      <c r="R308" s="19">
        <f t="shared" si="36"/>
        <v>0</v>
      </c>
      <c r="S308" s="182">
        <f t="shared" si="37"/>
        <v>0</v>
      </c>
      <c r="T308" s="20">
        <v>3</v>
      </c>
      <c r="U308" s="20"/>
      <c r="V308" s="17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8">
        <v>300128</v>
      </c>
      <c r="B309" s="171" t="s">
        <v>87</v>
      </c>
      <c r="C309" s="219" t="s">
        <v>104</v>
      </c>
      <c r="D309" s="219" t="s">
        <v>105</v>
      </c>
      <c r="E309" s="184" t="s">
        <v>35</v>
      </c>
      <c r="F309" s="183"/>
      <c r="G309" s="182"/>
      <c r="H309" s="182"/>
      <c r="I309" s="182"/>
      <c r="J309" s="182"/>
      <c r="K309" s="182">
        <f t="shared" si="33"/>
        <v>0</v>
      </c>
      <c r="L309" s="182">
        <f t="shared" si="34"/>
        <v>0</v>
      </c>
      <c r="M309" s="182">
        <v>621.29999999999995</v>
      </c>
      <c r="N309" s="182">
        <f t="shared" ref="N309:N314" si="38">+M309*1000/(130.5*1*80*60)*T309</f>
        <v>3.9674329501915708</v>
      </c>
      <c r="O309" s="182"/>
      <c r="P309" s="182">
        <f t="shared" si="35"/>
        <v>0</v>
      </c>
      <c r="Q309" s="182"/>
      <c r="R309" s="19">
        <f t="shared" si="36"/>
        <v>0</v>
      </c>
      <c r="S309" s="182">
        <f t="shared" si="37"/>
        <v>0</v>
      </c>
      <c r="T309" s="20">
        <v>4</v>
      </c>
      <c r="U309" s="20"/>
      <c r="V309" s="17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8">
        <v>300129</v>
      </c>
      <c r="B310" s="171" t="s">
        <v>87</v>
      </c>
      <c r="C310" s="219" t="s">
        <v>104</v>
      </c>
      <c r="D310" s="219" t="s">
        <v>105</v>
      </c>
      <c r="E310" s="184" t="s">
        <v>41</v>
      </c>
      <c r="F310" s="183"/>
      <c r="G310" s="182"/>
      <c r="H310" s="182"/>
      <c r="I310" s="182"/>
      <c r="J310" s="182"/>
      <c r="K310" s="182">
        <f t="shared" si="33"/>
        <v>0</v>
      </c>
      <c r="L310" s="182">
        <f t="shared" si="34"/>
        <v>0</v>
      </c>
      <c r="M310" s="182">
        <v>621.29999999999995</v>
      </c>
      <c r="N310" s="182">
        <f t="shared" si="38"/>
        <v>3.9674329501915708</v>
      </c>
      <c r="O310" s="182"/>
      <c r="P310" s="182">
        <f t="shared" si="35"/>
        <v>0</v>
      </c>
      <c r="Q310" s="182"/>
      <c r="R310" s="19">
        <f t="shared" si="36"/>
        <v>0</v>
      </c>
      <c r="S310" s="182">
        <f t="shared" si="37"/>
        <v>0</v>
      </c>
      <c r="T310" s="20">
        <v>4</v>
      </c>
      <c r="U310" s="20"/>
      <c r="V310" s="17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8">
        <v>300130</v>
      </c>
      <c r="B311" s="171" t="s">
        <v>87</v>
      </c>
      <c r="C311" s="219" t="s">
        <v>104</v>
      </c>
      <c r="D311" s="219" t="s">
        <v>105</v>
      </c>
      <c r="E311" s="184" t="s">
        <v>37</v>
      </c>
      <c r="F311" s="183"/>
      <c r="G311" s="182"/>
      <c r="H311" s="182"/>
      <c r="I311" s="182"/>
      <c r="J311" s="182"/>
      <c r="K311" s="182">
        <f t="shared" si="33"/>
        <v>0</v>
      </c>
      <c r="L311" s="182">
        <f t="shared" si="34"/>
        <v>0</v>
      </c>
      <c r="M311" s="182">
        <v>621.29999999999995</v>
      </c>
      <c r="N311" s="182">
        <f t="shared" si="38"/>
        <v>3.9674329501915708</v>
      </c>
      <c r="O311" s="182"/>
      <c r="P311" s="182">
        <f t="shared" si="35"/>
        <v>0</v>
      </c>
      <c r="Q311" s="182"/>
      <c r="R311" s="19">
        <f t="shared" si="36"/>
        <v>0</v>
      </c>
      <c r="S311" s="182">
        <f t="shared" si="37"/>
        <v>0</v>
      </c>
      <c r="T311" s="20">
        <v>4</v>
      </c>
      <c r="U311" s="20"/>
      <c r="V311" s="17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8">
        <v>300423</v>
      </c>
      <c r="B312" s="171" t="s">
        <v>292</v>
      </c>
      <c r="C312" s="230" t="s">
        <v>288</v>
      </c>
      <c r="D312" s="231"/>
      <c r="E312" s="184" t="s">
        <v>289</v>
      </c>
      <c r="F312" s="13"/>
      <c r="G312" s="110"/>
      <c r="H312" s="110"/>
      <c r="I312" s="110"/>
      <c r="J312" s="110"/>
      <c r="K312" s="182">
        <f t="shared" si="33"/>
        <v>0</v>
      </c>
      <c r="L312" s="182">
        <f t="shared" si="34"/>
        <v>0</v>
      </c>
      <c r="M312" s="182">
        <v>524.1</v>
      </c>
      <c r="N312" s="182">
        <f t="shared" si="38"/>
        <v>3.3467432950191571</v>
      </c>
      <c r="O312" s="182"/>
      <c r="P312" s="182">
        <f t="shared" si="35"/>
        <v>0</v>
      </c>
      <c r="Q312" s="182"/>
      <c r="R312" s="19">
        <f t="shared" si="36"/>
        <v>0</v>
      </c>
      <c r="S312" s="182">
        <f t="shared" si="37"/>
        <v>0</v>
      </c>
      <c r="T312" s="20">
        <v>4</v>
      </c>
      <c r="U312" s="20"/>
      <c r="V312" s="179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8">
        <v>300424</v>
      </c>
      <c r="B313" s="171" t="s">
        <v>292</v>
      </c>
      <c r="C313" s="230" t="s">
        <v>288</v>
      </c>
      <c r="D313" s="231"/>
      <c r="E313" s="184" t="s">
        <v>290</v>
      </c>
      <c r="F313" s="13"/>
      <c r="G313" s="110"/>
      <c r="H313" s="110"/>
      <c r="I313" s="110"/>
      <c r="J313" s="110"/>
      <c r="K313" s="182">
        <f t="shared" si="33"/>
        <v>0</v>
      </c>
      <c r="L313" s="182">
        <f t="shared" si="34"/>
        <v>0</v>
      </c>
      <c r="M313" s="182">
        <v>524.1</v>
      </c>
      <c r="N313" s="182">
        <f t="shared" si="38"/>
        <v>3.3467432950191571</v>
      </c>
      <c r="O313" s="182"/>
      <c r="P313" s="182">
        <f t="shared" si="35"/>
        <v>0</v>
      </c>
      <c r="Q313" s="182"/>
      <c r="R313" s="19">
        <f t="shared" si="36"/>
        <v>0</v>
      </c>
      <c r="S313" s="182">
        <f t="shared" si="37"/>
        <v>0</v>
      </c>
      <c r="T313" s="20">
        <v>4</v>
      </c>
      <c r="U313" s="20"/>
      <c r="V313" s="179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8">
        <v>300425</v>
      </c>
      <c r="B314" s="171" t="s">
        <v>292</v>
      </c>
      <c r="C314" s="230" t="s">
        <v>288</v>
      </c>
      <c r="D314" s="231"/>
      <c r="E314" s="184" t="s">
        <v>291</v>
      </c>
      <c r="F314" s="13"/>
      <c r="G314" s="110"/>
      <c r="H314" s="110"/>
      <c r="I314" s="110"/>
      <c r="J314" s="110"/>
      <c r="K314" s="182">
        <f t="shared" si="33"/>
        <v>0</v>
      </c>
      <c r="L314" s="182">
        <f t="shared" si="34"/>
        <v>0</v>
      </c>
      <c r="M314" s="182">
        <v>524.1</v>
      </c>
      <c r="N314" s="182">
        <f t="shared" si="38"/>
        <v>3.3467432950191571</v>
      </c>
      <c r="O314" s="182"/>
      <c r="P314" s="182">
        <f t="shared" si="35"/>
        <v>0</v>
      </c>
      <c r="Q314" s="182"/>
      <c r="R314" s="19">
        <f t="shared" si="36"/>
        <v>0</v>
      </c>
      <c r="S314" s="182">
        <f t="shared" si="37"/>
        <v>0</v>
      </c>
      <c r="T314" s="20">
        <v>4</v>
      </c>
      <c r="U314" s="20"/>
      <c r="V314" s="179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8">
        <v>300390</v>
      </c>
      <c r="B315" s="171" t="s">
        <v>287</v>
      </c>
      <c r="C315" s="230" t="s">
        <v>106</v>
      </c>
      <c r="D315" s="231"/>
      <c r="E315" s="184" t="s">
        <v>107</v>
      </c>
      <c r="F315" s="183"/>
      <c r="G315" s="182"/>
      <c r="H315" s="182"/>
      <c r="I315" s="182"/>
      <c r="J315" s="182"/>
      <c r="K315" s="182">
        <f t="shared" si="33"/>
        <v>0</v>
      </c>
      <c r="L315" s="182">
        <f t="shared" si="34"/>
        <v>0</v>
      </c>
      <c r="M315" s="182">
        <v>417.4</v>
      </c>
      <c r="N315" s="182">
        <f>+M315*1000/(87*1*80*60)*T315</f>
        <v>3.9980842911877397</v>
      </c>
      <c r="O315" s="182"/>
      <c r="P315" s="182">
        <f t="shared" si="35"/>
        <v>0</v>
      </c>
      <c r="Q315" s="182"/>
      <c r="R315" s="19">
        <f t="shared" si="36"/>
        <v>0</v>
      </c>
      <c r="S315" s="182">
        <f t="shared" si="37"/>
        <v>0</v>
      </c>
      <c r="T315" s="20">
        <v>4</v>
      </c>
      <c r="U315" s="20"/>
      <c r="V315" s="179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8">
        <v>300391</v>
      </c>
      <c r="B316" s="171" t="s">
        <v>108</v>
      </c>
      <c r="C316" s="230" t="s">
        <v>106</v>
      </c>
      <c r="D316" s="231"/>
      <c r="E316" s="184" t="s">
        <v>109</v>
      </c>
      <c r="F316" s="183"/>
      <c r="G316" s="182"/>
      <c r="H316" s="182"/>
      <c r="I316" s="182"/>
      <c r="J316" s="182"/>
      <c r="K316" s="182">
        <f t="shared" si="33"/>
        <v>0</v>
      </c>
      <c r="L316" s="182">
        <f t="shared" si="34"/>
        <v>0</v>
      </c>
      <c r="M316" s="182">
        <v>417.4</v>
      </c>
      <c r="N316" s="182">
        <f>+M316*1000/(87*1*80*60)*T316</f>
        <v>3.9980842911877397</v>
      </c>
      <c r="O316" s="182"/>
      <c r="P316" s="182">
        <f t="shared" si="35"/>
        <v>0</v>
      </c>
      <c r="Q316" s="182"/>
      <c r="R316" s="19">
        <f t="shared" si="36"/>
        <v>0</v>
      </c>
      <c r="S316" s="182">
        <f t="shared" si="37"/>
        <v>0</v>
      </c>
      <c r="T316" s="20">
        <v>4</v>
      </c>
      <c r="U316" s="20"/>
      <c r="V316" s="179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71" t="s">
        <v>292</v>
      </c>
      <c r="C317" s="233" t="s">
        <v>297</v>
      </c>
      <c r="D317" s="234"/>
      <c r="E317" s="24" t="s">
        <v>298</v>
      </c>
      <c r="F317" s="25"/>
      <c r="G317" s="111"/>
      <c r="H317" s="111"/>
      <c r="I317" s="111"/>
      <c r="J317" s="111"/>
      <c r="K317" s="28">
        <f t="shared" si="33"/>
        <v>0</v>
      </c>
      <c r="L317" s="28">
        <f t="shared" si="34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35"/>
        <v>0</v>
      </c>
      <c r="Q317" s="28"/>
      <c r="R317" s="29">
        <f t="shared" si="36"/>
        <v>0</v>
      </c>
      <c r="S317" s="28">
        <f t="shared" si="37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71" t="s">
        <v>292</v>
      </c>
      <c r="C318" s="233" t="s">
        <v>297</v>
      </c>
      <c r="D318" s="234"/>
      <c r="E318" s="24" t="s">
        <v>299</v>
      </c>
      <c r="F318" s="25"/>
      <c r="G318" s="111"/>
      <c r="H318" s="111"/>
      <c r="I318" s="111"/>
      <c r="J318" s="111"/>
      <c r="K318" s="28">
        <f t="shared" si="33"/>
        <v>0</v>
      </c>
      <c r="L318" s="28">
        <f t="shared" si="34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35"/>
        <v>0</v>
      </c>
      <c r="Q318" s="28"/>
      <c r="R318" s="29">
        <f t="shared" si="36"/>
        <v>0</v>
      </c>
      <c r="S318" s="28">
        <f t="shared" si="37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71" t="s">
        <v>292</v>
      </c>
      <c r="C319" s="233" t="s">
        <v>297</v>
      </c>
      <c r="D319" s="234"/>
      <c r="E319" s="125" t="s">
        <v>300</v>
      </c>
      <c r="F319" s="25"/>
      <c r="G319" s="111"/>
      <c r="H319" s="111"/>
      <c r="I319" s="111"/>
      <c r="J319" s="111"/>
      <c r="K319" s="28">
        <f t="shared" si="33"/>
        <v>0</v>
      </c>
      <c r="L319" s="28">
        <f t="shared" si="34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35"/>
        <v>0</v>
      </c>
      <c r="Q319" s="28"/>
      <c r="R319" s="29">
        <f t="shared" si="36"/>
        <v>0</v>
      </c>
      <c r="S319" s="28">
        <f t="shared" si="37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8">
        <v>300074</v>
      </c>
      <c r="B320" s="171" t="s">
        <v>110</v>
      </c>
      <c r="C320" s="219" t="s">
        <v>111</v>
      </c>
      <c r="D320" s="219" t="s">
        <v>112</v>
      </c>
      <c r="E320" s="184" t="s">
        <v>54</v>
      </c>
      <c r="F320" s="183"/>
      <c r="G320" s="182"/>
      <c r="H320" s="182"/>
      <c r="I320" s="182"/>
      <c r="J320" s="182"/>
      <c r="K320" s="182">
        <f t="shared" si="33"/>
        <v>0</v>
      </c>
      <c r="L320" s="182">
        <f t="shared" si="34"/>
        <v>0</v>
      </c>
      <c r="M320" s="182">
        <v>290.8</v>
      </c>
      <c r="N320" s="182">
        <f>+M320*1000/(88*4*13*60)*T320</f>
        <v>3.1774475524475525</v>
      </c>
      <c r="O320" s="182"/>
      <c r="P320" s="182">
        <f t="shared" si="35"/>
        <v>0</v>
      </c>
      <c r="Q320" s="182"/>
      <c r="R320" s="19">
        <f t="shared" si="36"/>
        <v>0</v>
      </c>
      <c r="S320" s="182">
        <f t="shared" si="37"/>
        <v>0</v>
      </c>
      <c r="T320" s="20">
        <v>3</v>
      </c>
      <c r="U320" s="20"/>
      <c r="V320" s="179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8">
        <v>300076</v>
      </c>
      <c r="B321" s="171" t="s">
        <v>110</v>
      </c>
      <c r="C321" s="219" t="s">
        <v>111</v>
      </c>
      <c r="D321" s="219" t="s">
        <v>112</v>
      </c>
      <c r="E321" s="184" t="s">
        <v>35</v>
      </c>
      <c r="F321" s="183"/>
      <c r="G321" s="182"/>
      <c r="H321" s="182"/>
      <c r="I321" s="182"/>
      <c r="J321" s="182"/>
      <c r="K321" s="182">
        <f t="shared" si="33"/>
        <v>0</v>
      </c>
      <c r="L321" s="182">
        <f t="shared" si="34"/>
        <v>0</v>
      </c>
      <c r="M321" s="182">
        <v>303.10000000000002</v>
      </c>
      <c r="N321" s="182">
        <f>+M321*1000/(88*4*12*60)*T321</f>
        <v>4.7837752525252526</v>
      </c>
      <c r="O321" s="182"/>
      <c r="P321" s="182">
        <f t="shared" si="35"/>
        <v>0</v>
      </c>
      <c r="Q321" s="182"/>
      <c r="R321" s="19">
        <f t="shared" si="36"/>
        <v>0</v>
      </c>
      <c r="S321" s="182">
        <f t="shared" si="37"/>
        <v>0</v>
      </c>
      <c r="T321" s="20">
        <v>4</v>
      </c>
      <c r="U321" s="20"/>
      <c r="V321" s="179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8">
        <v>300096</v>
      </c>
      <c r="B322" s="174">
        <v>6502</v>
      </c>
      <c r="C322" s="232" t="s">
        <v>113</v>
      </c>
      <c r="D322" s="232" t="s">
        <v>114</v>
      </c>
      <c r="E322" s="42" t="s">
        <v>37</v>
      </c>
      <c r="F322" s="183"/>
      <c r="G322" s="182"/>
      <c r="H322" s="182"/>
      <c r="I322" s="182"/>
      <c r="J322" s="182"/>
      <c r="K322" s="182">
        <f t="shared" si="33"/>
        <v>0</v>
      </c>
      <c r="L322" s="182">
        <f t="shared" si="34"/>
        <v>0</v>
      </c>
      <c r="M322" s="182">
        <v>480.13</v>
      </c>
      <c r="N322" s="182">
        <f>+M322*1000/(126.5*4*12*60)*T322</f>
        <v>2.6357597716293371</v>
      </c>
      <c r="O322" s="182"/>
      <c r="P322" s="182">
        <f t="shared" si="35"/>
        <v>0</v>
      </c>
      <c r="Q322" s="182"/>
      <c r="R322" s="19">
        <f t="shared" si="36"/>
        <v>0</v>
      </c>
      <c r="S322" s="182">
        <f t="shared" si="37"/>
        <v>0</v>
      </c>
      <c r="T322" s="20">
        <v>2</v>
      </c>
      <c r="U322" s="20"/>
      <c r="V322" s="179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8"/>
      <c r="B323" s="174" t="s">
        <v>110</v>
      </c>
      <c r="C323" s="232" t="s">
        <v>113</v>
      </c>
      <c r="D323" s="232" t="s">
        <v>114</v>
      </c>
      <c r="E323" s="42" t="s">
        <v>35</v>
      </c>
      <c r="F323" s="183"/>
      <c r="G323" s="182"/>
      <c r="H323" s="182"/>
      <c r="I323" s="182"/>
      <c r="J323" s="182"/>
      <c r="K323" s="182">
        <f t="shared" si="33"/>
        <v>0</v>
      </c>
      <c r="L323" s="182">
        <f t="shared" si="34"/>
        <v>0</v>
      </c>
      <c r="M323" s="182">
        <v>480.13</v>
      </c>
      <c r="N323" s="182">
        <f>+M323*1000/(126.5*4*12*60)*T323</f>
        <v>2.6357597716293371</v>
      </c>
      <c r="O323" s="182"/>
      <c r="P323" s="182">
        <f t="shared" si="35"/>
        <v>0</v>
      </c>
      <c r="Q323" s="182"/>
      <c r="R323" s="19">
        <f t="shared" si="36"/>
        <v>0</v>
      </c>
      <c r="S323" s="182">
        <f t="shared" si="37"/>
        <v>0</v>
      </c>
      <c r="T323" s="20">
        <v>2</v>
      </c>
      <c r="U323" s="20"/>
      <c r="V323" s="179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8">
        <v>300097</v>
      </c>
      <c r="B324" s="174">
        <v>6502</v>
      </c>
      <c r="C324" s="232" t="s">
        <v>113</v>
      </c>
      <c r="D324" s="232" t="s">
        <v>114</v>
      </c>
      <c r="E324" s="42" t="s">
        <v>63</v>
      </c>
      <c r="F324" s="183"/>
      <c r="G324" s="182"/>
      <c r="H324" s="182"/>
      <c r="I324" s="182"/>
      <c r="J324" s="182"/>
      <c r="K324" s="182">
        <f t="shared" si="33"/>
        <v>0</v>
      </c>
      <c r="L324" s="182">
        <f t="shared" si="34"/>
        <v>0</v>
      </c>
      <c r="M324" s="182">
        <v>480.13</v>
      </c>
      <c r="N324" s="182">
        <f>+M324*1000/(126.5*4*12*60)*T324</f>
        <v>2.6357597716293371</v>
      </c>
      <c r="O324" s="182"/>
      <c r="P324" s="182">
        <f t="shared" si="35"/>
        <v>0</v>
      </c>
      <c r="Q324" s="182"/>
      <c r="R324" s="19">
        <f t="shared" si="36"/>
        <v>0</v>
      </c>
      <c r="S324" s="182">
        <f t="shared" si="37"/>
        <v>0</v>
      </c>
      <c r="T324" s="20">
        <v>2</v>
      </c>
      <c r="U324" s="20"/>
      <c r="V324" s="179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71">
        <v>300294</v>
      </c>
      <c r="B325" s="171" t="s">
        <v>110</v>
      </c>
      <c r="C325" s="219" t="s">
        <v>115</v>
      </c>
      <c r="D325" s="219"/>
      <c r="E325" s="184" t="s">
        <v>41</v>
      </c>
      <c r="F325" s="183"/>
      <c r="G325" s="182"/>
      <c r="H325" s="182"/>
      <c r="I325" s="182"/>
      <c r="J325" s="182"/>
      <c r="K325" s="182">
        <f t="shared" si="33"/>
        <v>0</v>
      </c>
      <c r="L325" s="182">
        <f t="shared" si="34"/>
        <v>0</v>
      </c>
      <c r="M325" s="182">
        <v>373.14</v>
      </c>
      <c r="N325" s="182">
        <f t="shared" ref="N325:N334" si="39">+M325*1000/(90*4*14*60)*T325</f>
        <v>3.7017857142857142</v>
      </c>
      <c r="O325" s="182"/>
      <c r="P325" s="182">
        <f t="shared" si="35"/>
        <v>0</v>
      </c>
      <c r="Q325" s="182"/>
      <c r="R325" s="19">
        <f t="shared" si="36"/>
        <v>0</v>
      </c>
      <c r="S325" s="182">
        <f t="shared" si="37"/>
        <v>0</v>
      </c>
      <c r="T325" s="20">
        <v>3</v>
      </c>
      <c r="U325" s="20"/>
      <c r="V325" s="179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71">
        <v>300295</v>
      </c>
      <c r="B326" s="171" t="s">
        <v>116</v>
      </c>
      <c r="C326" s="219" t="s">
        <v>117</v>
      </c>
      <c r="D326" s="219"/>
      <c r="E326" s="184" t="s">
        <v>118</v>
      </c>
      <c r="F326" s="183"/>
      <c r="G326" s="182"/>
      <c r="H326" s="182"/>
      <c r="I326" s="182"/>
      <c r="J326" s="182"/>
      <c r="K326" s="182">
        <f t="shared" si="33"/>
        <v>0</v>
      </c>
      <c r="L326" s="182">
        <f t="shared" si="34"/>
        <v>0</v>
      </c>
      <c r="M326" s="182">
        <v>373.14</v>
      </c>
      <c r="N326" s="182">
        <f t="shared" si="39"/>
        <v>3.7017857142857142</v>
      </c>
      <c r="O326" s="182"/>
      <c r="P326" s="182">
        <f t="shared" si="35"/>
        <v>0</v>
      </c>
      <c r="Q326" s="182"/>
      <c r="R326" s="19">
        <f t="shared" si="36"/>
        <v>0</v>
      </c>
      <c r="S326" s="182">
        <f t="shared" si="37"/>
        <v>0</v>
      </c>
      <c r="T326" s="20">
        <v>3</v>
      </c>
      <c r="U326" s="20"/>
      <c r="V326" s="179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71">
        <v>300258</v>
      </c>
      <c r="B327" s="171" t="s">
        <v>110</v>
      </c>
      <c r="C327" s="219" t="s">
        <v>115</v>
      </c>
      <c r="D327" s="219"/>
      <c r="E327" s="184" t="s">
        <v>42</v>
      </c>
      <c r="F327" s="183"/>
      <c r="G327" s="182"/>
      <c r="H327" s="182"/>
      <c r="I327" s="182"/>
      <c r="J327" s="182"/>
      <c r="K327" s="182">
        <f t="shared" si="33"/>
        <v>0</v>
      </c>
      <c r="L327" s="182">
        <f t="shared" si="34"/>
        <v>0</v>
      </c>
      <c r="M327" s="182">
        <v>373.14</v>
      </c>
      <c r="N327" s="182">
        <f t="shared" si="39"/>
        <v>3.7017857142857142</v>
      </c>
      <c r="O327" s="182"/>
      <c r="P327" s="182">
        <f t="shared" si="35"/>
        <v>0</v>
      </c>
      <c r="Q327" s="182"/>
      <c r="R327" s="19">
        <f t="shared" si="36"/>
        <v>0</v>
      </c>
      <c r="S327" s="182">
        <f t="shared" si="37"/>
        <v>0</v>
      </c>
      <c r="T327" s="20">
        <v>3</v>
      </c>
      <c r="U327" s="20"/>
      <c r="V327" s="179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71">
        <v>300256</v>
      </c>
      <c r="B328" s="171" t="s">
        <v>110</v>
      </c>
      <c r="C328" s="219" t="s">
        <v>115</v>
      </c>
      <c r="D328" s="219"/>
      <c r="E328" s="184" t="s">
        <v>74</v>
      </c>
      <c r="F328" s="183"/>
      <c r="G328" s="182"/>
      <c r="H328" s="182"/>
      <c r="I328" s="182"/>
      <c r="J328" s="182"/>
      <c r="K328" s="182">
        <f t="shared" si="33"/>
        <v>0</v>
      </c>
      <c r="L328" s="182">
        <f t="shared" si="34"/>
        <v>0</v>
      </c>
      <c r="M328" s="182">
        <v>373.14</v>
      </c>
      <c r="N328" s="182">
        <f t="shared" si="39"/>
        <v>3.7017857142857142</v>
      </c>
      <c r="O328" s="182"/>
      <c r="P328" s="182">
        <f t="shared" si="35"/>
        <v>0</v>
      </c>
      <c r="Q328" s="182"/>
      <c r="R328" s="19">
        <f t="shared" si="36"/>
        <v>0</v>
      </c>
      <c r="S328" s="182">
        <f t="shared" si="37"/>
        <v>0</v>
      </c>
      <c r="T328" s="20">
        <v>3</v>
      </c>
      <c r="U328" s="20"/>
      <c r="V328" s="179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71">
        <v>300259</v>
      </c>
      <c r="B329" s="171" t="s">
        <v>110</v>
      </c>
      <c r="C329" s="219" t="s">
        <v>115</v>
      </c>
      <c r="D329" s="219"/>
      <c r="E329" s="184" t="s">
        <v>40</v>
      </c>
      <c r="F329" s="183"/>
      <c r="G329" s="182"/>
      <c r="H329" s="182"/>
      <c r="I329" s="182"/>
      <c r="J329" s="182"/>
      <c r="K329" s="182">
        <f t="shared" si="33"/>
        <v>0</v>
      </c>
      <c r="L329" s="182">
        <f t="shared" si="34"/>
        <v>0</v>
      </c>
      <c r="M329" s="182">
        <v>373.14</v>
      </c>
      <c r="N329" s="182">
        <f t="shared" si="39"/>
        <v>3.7017857142857142</v>
      </c>
      <c r="O329" s="182"/>
      <c r="P329" s="182">
        <f t="shared" si="35"/>
        <v>0</v>
      </c>
      <c r="Q329" s="182"/>
      <c r="R329" s="19">
        <f t="shared" si="36"/>
        <v>0</v>
      </c>
      <c r="S329" s="182">
        <f t="shared" si="37"/>
        <v>0</v>
      </c>
      <c r="T329" s="20">
        <v>3</v>
      </c>
      <c r="U329" s="20"/>
      <c r="V329" s="179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71">
        <v>300345</v>
      </c>
      <c r="B330" s="171" t="s">
        <v>110</v>
      </c>
      <c r="C330" s="219" t="s">
        <v>119</v>
      </c>
      <c r="D330" s="219"/>
      <c r="E330" s="184" t="s">
        <v>74</v>
      </c>
      <c r="F330" s="183"/>
      <c r="G330" s="41"/>
      <c r="H330" s="41"/>
      <c r="I330" s="41"/>
      <c r="J330" s="41"/>
      <c r="K330" s="182">
        <f t="shared" si="33"/>
        <v>0</v>
      </c>
      <c r="L330" s="182">
        <f t="shared" si="34"/>
        <v>0</v>
      </c>
      <c r="M330" s="182">
        <v>373.14</v>
      </c>
      <c r="N330" s="182">
        <f t="shared" si="39"/>
        <v>3.7017857142857142</v>
      </c>
      <c r="O330" s="41"/>
      <c r="P330" s="182">
        <f t="shared" si="35"/>
        <v>0</v>
      </c>
      <c r="Q330" s="41"/>
      <c r="R330" s="19">
        <f t="shared" si="36"/>
        <v>0</v>
      </c>
      <c r="S330" s="182">
        <f t="shared" si="37"/>
        <v>0</v>
      </c>
      <c r="T330" s="20">
        <v>3</v>
      </c>
      <c r="U330" s="41"/>
      <c r="V330" s="179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71">
        <v>300346</v>
      </c>
      <c r="B331" s="171" t="s">
        <v>110</v>
      </c>
      <c r="C331" s="219" t="s">
        <v>119</v>
      </c>
      <c r="D331" s="219"/>
      <c r="E331" s="184" t="s">
        <v>42</v>
      </c>
      <c r="F331" s="183"/>
      <c r="G331" s="41"/>
      <c r="H331" s="41"/>
      <c r="I331" s="41"/>
      <c r="J331" s="41"/>
      <c r="K331" s="182">
        <f t="shared" si="33"/>
        <v>0</v>
      </c>
      <c r="L331" s="182">
        <f t="shared" si="34"/>
        <v>0</v>
      </c>
      <c r="M331" s="182">
        <v>373.14</v>
      </c>
      <c r="N331" s="182">
        <f t="shared" si="39"/>
        <v>3.7017857142857142</v>
      </c>
      <c r="O331" s="41"/>
      <c r="P331" s="182">
        <f t="shared" si="35"/>
        <v>0</v>
      </c>
      <c r="Q331" s="41"/>
      <c r="R331" s="19">
        <f t="shared" si="36"/>
        <v>0</v>
      </c>
      <c r="S331" s="182">
        <f t="shared" si="37"/>
        <v>0</v>
      </c>
      <c r="T331" s="20">
        <v>3</v>
      </c>
      <c r="U331" s="41"/>
      <c r="V331" s="179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71">
        <v>300347</v>
      </c>
      <c r="B332" s="171" t="s">
        <v>110</v>
      </c>
      <c r="C332" s="219" t="s">
        <v>119</v>
      </c>
      <c r="D332" s="219"/>
      <c r="E332" s="184" t="s">
        <v>41</v>
      </c>
      <c r="F332" s="183"/>
      <c r="G332" s="41"/>
      <c r="H332" s="41"/>
      <c r="I332" s="41"/>
      <c r="J332" s="41"/>
      <c r="K332" s="182">
        <f t="shared" si="33"/>
        <v>0</v>
      </c>
      <c r="L332" s="182">
        <f t="shared" si="34"/>
        <v>0</v>
      </c>
      <c r="M332" s="182">
        <v>373.14</v>
      </c>
      <c r="N332" s="182">
        <f t="shared" si="39"/>
        <v>3.7017857142857142</v>
      </c>
      <c r="O332" s="41"/>
      <c r="P332" s="182">
        <f t="shared" si="35"/>
        <v>0</v>
      </c>
      <c r="Q332" s="41"/>
      <c r="R332" s="19">
        <f t="shared" si="36"/>
        <v>0</v>
      </c>
      <c r="S332" s="182">
        <f t="shared" si="37"/>
        <v>0</v>
      </c>
      <c r="T332" s="20">
        <v>3</v>
      </c>
      <c r="U332" s="41"/>
      <c r="V332" s="179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71">
        <v>300348</v>
      </c>
      <c r="B333" s="171" t="s">
        <v>110</v>
      </c>
      <c r="C333" s="219" t="s">
        <v>119</v>
      </c>
      <c r="D333" s="219"/>
      <c r="E333" s="184" t="s">
        <v>118</v>
      </c>
      <c r="F333" s="183"/>
      <c r="G333" s="41"/>
      <c r="H333" s="41"/>
      <c r="I333" s="41"/>
      <c r="J333" s="41"/>
      <c r="K333" s="182">
        <f t="shared" si="33"/>
        <v>0</v>
      </c>
      <c r="L333" s="182">
        <f t="shared" si="34"/>
        <v>0</v>
      </c>
      <c r="M333" s="182">
        <v>373.14</v>
      </c>
      <c r="N333" s="182">
        <f t="shared" si="39"/>
        <v>3.7017857142857142</v>
      </c>
      <c r="O333" s="41"/>
      <c r="P333" s="182">
        <f t="shared" si="35"/>
        <v>0</v>
      </c>
      <c r="Q333" s="41"/>
      <c r="R333" s="19">
        <f t="shared" si="36"/>
        <v>0</v>
      </c>
      <c r="S333" s="182">
        <f t="shared" si="37"/>
        <v>0</v>
      </c>
      <c r="T333" s="20">
        <v>3</v>
      </c>
      <c r="U333" s="41"/>
      <c r="V333" s="179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71">
        <v>300349</v>
      </c>
      <c r="B334" s="171" t="s">
        <v>110</v>
      </c>
      <c r="C334" s="219" t="s">
        <v>119</v>
      </c>
      <c r="D334" s="219"/>
      <c r="E334" s="184" t="s">
        <v>40</v>
      </c>
      <c r="F334" s="183"/>
      <c r="G334" s="41"/>
      <c r="H334" s="41"/>
      <c r="I334" s="41"/>
      <c r="J334" s="41"/>
      <c r="K334" s="182">
        <f t="shared" si="33"/>
        <v>0</v>
      </c>
      <c r="L334" s="182">
        <f t="shared" si="34"/>
        <v>0</v>
      </c>
      <c r="M334" s="182">
        <v>373.14</v>
      </c>
      <c r="N334" s="182">
        <f t="shared" si="39"/>
        <v>3.7017857142857142</v>
      </c>
      <c r="O334" s="41"/>
      <c r="P334" s="182">
        <f t="shared" si="35"/>
        <v>0</v>
      </c>
      <c r="Q334" s="41"/>
      <c r="R334" s="19">
        <f t="shared" si="36"/>
        <v>0</v>
      </c>
      <c r="S334" s="182">
        <f t="shared" si="37"/>
        <v>0</v>
      </c>
      <c r="T334" s="20">
        <v>3</v>
      </c>
      <c r="U334" s="41"/>
      <c r="V334" s="179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71">
        <v>300298</v>
      </c>
      <c r="B335" s="171" t="s">
        <v>110</v>
      </c>
      <c r="C335" s="219" t="s">
        <v>120</v>
      </c>
      <c r="D335" s="219"/>
      <c r="E335" s="184" t="s">
        <v>54</v>
      </c>
      <c r="F335" s="183"/>
      <c r="G335" s="182"/>
      <c r="H335" s="182"/>
      <c r="I335" s="182"/>
      <c r="J335" s="182"/>
      <c r="K335" s="182">
        <f t="shared" si="33"/>
        <v>0</v>
      </c>
      <c r="L335" s="182">
        <f t="shared" si="34"/>
        <v>0</v>
      </c>
      <c r="M335" s="182">
        <v>380.63</v>
      </c>
      <c r="N335" s="182">
        <f t="shared" ref="N335:N340" si="40">+M335*1000/(94.7*4*15*60)*T335</f>
        <v>4.4659157573624313</v>
      </c>
      <c r="O335" s="182"/>
      <c r="P335" s="182">
        <f t="shared" si="35"/>
        <v>0</v>
      </c>
      <c r="Q335" s="182"/>
      <c r="R335" s="19">
        <f t="shared" si="36"/>
        <v>0</v>
      </c>
      <c r="S335" s="182">
        <f t="shared" si="37"/>
        <v>0</v>
      </c>
      <c r="T335" s="20">
        <v>4</v>
      </c>
      <c r="U335" s="20"/>
      <c r="V335" s="179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71">
        <v>300299</v>
      </c>
      <c r="B336" s="171" t="s">
        <v>110</v>
      </c>
      <c r="C336" s="219" t="s">
        <v>120</v>
      </c>
      <c r="D336" s="219"/>
      <c r="E336" s="184" t="s">
        <v>39</v>
      </c>
      <c r="F336" s="183"/>
      <c r="G336" s="182"/>
      <c r="H336" s="182"/>
      <c r="I336" s="182"/>
      <c r="J336" s="182"/>
      <c r="K336" s="182">
        <f t="shared" si="33"/>
        <v>0</v>
      </c>
      <c r="L336" s="182">
        <f t="shared" si="34"/>
        <v>0</v>
      </c>
      <c r="M336" s="182">
        <v>380.63</v>
      </c>
      <c r="N336" s="182">
        <f t="shared" si="40"/>
        <v>4.4659157573624313</v>
      </c>
      <c r="O336" s="182"/>
      <c r="P336" s="182">
        <f t="shared" si="35"/>
        <v>0</v>
      </c>
      <c r="Q336" s="182"/>
      <c r="R336" s="19">
        <f t="shared" si="36"/>
        <v>0</v>
      </c>
      <c r="S336" s="182">
        <f t="shared" si="37"/>
        <v>0</v>
      </c>
      <c r="T336" s="20">
        <v>4</v>
      </c>
      <c r="U336" s="20"/>
      <c r="V336" s="179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71">
        <v>300296</v>
      </c>
      <c r="B337" s="171" t="s">
        <v>110</v>
      </c>
      <c r="C337" s="219" t="s">
        <v>120</v>
      </c>
      <c r="D337" s="219"/>
      <c r="E337" s="184" t="s">
        <v>41</v>
      </c>
      <c r="F337" s="183"/>
      <c r="G337" s="182"/>
      <c r="H337" s="182"/>
      <c r="I337" s="182"/>
      <c r="J337" s="182"/>
      <c r="K337" s="182">
        <f t="shared" si="33"/>
        <v>0</v>
      </c>
      <c r="L337" s="182">
        <f t="shared" si="34"/>
        <v>0</v>
      </c>
      <c r="M337" s="182">
        <v>380.63</v>
      </c>
      <c r="N337" s="182">
        <f t="shared" si="40"/>
        <v>4.4659157573624313</v>
      </c>
      <c r="O337" s="182"/>
      <c r="P337" s="182">
        <f t="shared" si="35"/>
        <v>0</v>
      </c>
      <c r="Q337" s="182"/>
      <c r="R337" s="19">
        <f t="shared" si="36"/>
        <v>0</v>
      </c>
      <c r="S337" s="182">
        <f t="shared" si="37"/>
        <v>0</v>
      </c>
      <c r="T337" s="20">
        <v>4</v>
      </c>
      <c r="U337" s="20"/>
      <c r="V337" s="179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71">
        <v>300297</v>
      </c>
      <c r="B338" s="171" t="s">
        <v>110</v>
      </c>
      <c r="C338" s="219" t="s">
        <v>120</v>
      </c>
      <c r="D338" s="219"/>
      <c r="E338" s="184" t="s">
        <v>37</v>
      </c>
      <c r="F338" s="183"/>
      <c r="G338" s="182"/>
      <c r="H338" s="182"/>
      <c r="I338" s="182"/>
      <c r="J338" s="182"/>
      <c r="K338" s="182">
        <f t="shared" si="33"/>
        <v>0</v>
      </c>
      <c r="L338" s="182">
        <f t="shared" si="34"/>
        <v>0</v>
      </c>
      <c r="M338" s="182">
        <v>380.63</v>
      </c>
      <c r="N338" s="182">
        <f t="shared" si="40"/>
        <v>4.4659157573624313</v>
      </c>
      <c r="O338" s="182"/>
      <c r="P338" s="182">
        <f t="shared" si="35"/>
        <v>0</v>
      </c>
      <c r="Q338" s="182"/>
      <c r="R338" s="19">
        <f t="shared" si="36"/>
        <v>0</v>
      </c>
      <c r="S338" s="182">
        <f t="shared" si="37"/>
        <v>0</v>
      </c>
      <c r="T338" s="20">
        <v>4</v>
      </c>
      <c r="U338" s="20"/>
      <c r="V338" s="179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71">
        <v>300340</v>
      </c>
      <c r="B339" s="171" t="s">
        <v>110</v>
      </c>
      <c r="C339" s="230" t="s">
        <v>121</v>
      </c>
      <c r="D339" s="231"/>
      <c r="E339" s="184" t="s">
        <v>41</v>
      </c>
      <c r="F339" s="183"/>
      <c r="G339" s="182"/>
      <c r="H339" s="182"/>
      <c r="I339" s="182"/>
      <c r="J339" s="182"/>
      <c r="K339" s="182">
        <f t="shared" si="33"/>
        <v>0</v>
      </c>
      <c r="L339" s="182">
        <f t="shared" si="34"/>
        <v>0</v>
      </c>
      <c r="M339" s="182">
        <v>325.60000000000002</v>
      </c>
      <c r="N339" s="182">
        <f t="shared" si="40"/>
        <v>3.8202510852986036</v>
      </c>
      <c r="O339" s="182"/>
      <c r="P339" s="182">
        <f t="shared" si="35"/>
        <v>0</v>
      </c>
      <c r="Q339" s="182"/>
      <c r="R339" s="19">
        <f t="shared" si="36"/>
        <v>0</v>
      </c>
      <c r="S339" s="182">
        <f t="shared" si="37"/>
        <v>0</v>
      </c>
      <c r="T339" s="20">
        <v>4</v>
      </c>
      <c r="U339" s="20"/>
      <c r="V339" s="179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71">
        <v>300339</v>
      </c>
      <c r="B340" s="171" t="s">
        <v>110</v>
      </c>
      <c r="C340" s="230" t="s">
        <v>121</v>
      </c>
      <c r="D340" s="231"/>
      <c r="E340" s="184" t="s">
        <v>39</v>
      </c>
      <c r="F340" s="183"/>
      <c r="G340" s="182"/>
      <c r="H340" s="182"/>
      <c r="I340" s="182"/>
      <c r="J340" s="182"/>
      <c r="K340" s="182">
        <f t="shared" si="33"/>
        <v>0</v>
      </c>
      <c r="L340" s="182">
        <f t="shared" si="34"/>
        <v>0</v>
      </c>
      <c r="M340" s="182">
        <v>325.60000000000002</v>
      </c>
      <c r="N340" s="182">
        <f t="shared" si="40"/>
        <v>3.8202510852986036</v>
      </c>
      <c r="O340" s="182"/>
      <c r="P340" s="182">
        <f t="shared" si="35"/>
        <v>0</v>
      </c>
      <c r="Q340" s="182"/>
      <c r="R340" s="19">
        <f t="shared" si="36"/>
        <v>0</v>
      </c>
      <c r="S340" s="182">
        <f t="shared" si="37"/>
        <v>0</v>
      </c>
      <c r="T340" s="20">
        <v>4</v>
      </c>
      <c r="U340" s="20"/>
      <c r="V340" s="179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71">
        <v>300303</v>
      </c>
      <c r="B341" s="171" t="s">
        <v>110</v>
      </c>
      <c r="C341" s="219" t="s">
        <v>122</v>
      </c>
      <c r="D341" s="219" t="s">
        <v>123</v>
      </c>
      <c r="E341" s="184" t="s">
        <v>57</v>
      </c>
      <c r="F341" s="183"/>
      <c r="G341" s="182"/>
      <c r="H341" s="182"/>
      <c r="I341" s="182"/>
      <c r="J341" s="182"/>
      <c r="K341" s="182">
        <f t="shared" si="33"/>
        <v>0</v>
      </c>
      <c r="L341" s="182">
        <f t="shared" si="34"/>
        <v>0</v>
      </c>
      <c r="M341" s="182">
        <v>396.92</v>
      </c>
      <c r="N341" s="182">
        <f>+M341*1000/(113.8*4*15*60)*T341</f>
        <v>4.8442686975200155</v>
      </c>
      <c r="O341" s="182"/>
      <c r="P341" s="182">
        <f t="shared" si="35"/>
        <v>0</v>
      </c>
      <c r="Q341" s="182"/>
      <c r="R341" s="19">
        <f t="shared" si="36"/>
        <v>0</v>
      </c>
      <c r="S341" s="182">
        <f t="shared" si="37"/>
        <v>0</v>
      </c>
      <c r="T341" s="20">
        <v>5</v>
      </c>
      <c r="U341" s="20"/>
      <c r="V341" s="179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71">
        <v>300302</v>
      </c>
      <c r="B342" s="171" t="s">
        <v>110</v>
      </c>
      <c r="C342" s="219" t="s">
        <v>122</v>
      </c>
      <c r="D342" s="219" t="s">
        <v>123</v>
      </c>
      <c r="E342" s="184" t="s">
        <v>109</v>
      </c>
      <c r="F342" s="183"/>
      <c r="G342" s="182"/>
      <c r="H342" s="182"/>
      <c r="I342" s="182"/>
      <c r="J342" s="182"/>
      <c r="K342" s="182">
        <f t="shared" si="33"/>
        <v>0</v>
      </c>
      <c r="L342" s="182">
        <f t="shared" si="34"/>
        <v>0</v>
      </c>
      <c r="M342" s="182">
        <v>396.06</v>
      </c>
      <c r="N342" s="182">
        <f>+M342*1000/(113.8*4*15*60)*T342</f>
        <v>4.8337727006444053</v>
      </c>
      <c r="O342" s="182"/>
      <c r="P342" s="182">
        <f t="shared" si="35"/>
        <v>0</v>
      </c>
      <c r="Q342" s="182"/>
      <c r="R342" s="19">
        <f t="shared" si="36"/>
        <v>0</v>
      </c>
      <c r="S342" s="182">
        <f t="shared" si="37"/>
        <v>0</v>
      </c>
      <c r="T342" s="20">
        <v>5</v>
      </c>
      <c r="U342" s="20"/>
      <c r="V342" s="179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71">
        <v>300301</v>
      </c>
      <c r="B343" s="171" t="s">
        <v>110</v>
      </c>
      <c r="C343" s="219" t="s">
        <v>122</v>
      </c>
      <c r="D343" s="219" t="s">
        <v>123</v>
      </c>
      <c r="E343" s="184" t="s">
        <v>124</v>
      </c>
      <c r="F343" s="183"/>
      <c r="G343" s="182"/>
      <c r="H343" s="182"/>
      <c r="I343" s="182"/>
      <c r="J343" s="182"/>
      <c r="K343" s="182">
        <f t="shared" si="33"/>
        <v>0</v>
      </c>
      <c r="L343" s="182">
        <f t="shared" si="34"/>
        <v>0</v>
      </c>
      <c r="M343" s="182">
        <v>401.25</v>
      </c>
      <c r="N343" s="182">
        <f>+M343*1000/(113.8*4*15*60)*T343</f>
        <v>4.8971148213239601</v>
      </c>
      <c r="O343" s="182"/>
      <c r="P343" s="182">
        <f t="shared" si="35"/>
        <v>0</v>
      </c>
      <c r="Q343" s="182"/>
      <c r="R343" s="19">
        <f t="shared" si="36"/>
        <v>0</v>
      </c>
      <c r="S343" s="182">
        <f t="shared" si="37"/>
        <v>0</v>
      </c>
      <c r="T343" s="20">
        <v>5</v>
      </c>
      <c r="U343" s="20"/>
      <c r="V343" s="179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8">
        <v>300304</v>
      </c>
      <c r="B344" s="171" t="s">
        <v>110</v>
      </c>
      <c r="C344" s="219" t="s">
        <v>122</v>
      </c>
      <c r="D344" s="219"/>
      <c r="E344" s="184" t="s">
        <v>125</v>
      </c>
      <c r="F344" s="183"/>
      <c r="G344" s="182"/>
      <c r="H344" s="182"/>
      <c r="I344" s="182"/>
      <c r="J344" s="182"/>
      <c r="K344" s="182">
        <f t="shared" si="33"/>
        <v>0</v>
      </c>
      <c r="L344" s="182">
        <f t="shared" si="34"/>
        <v>0</v>
      </c>
      <c r="M344" s="182">
        <v>401.25</v>
      </c>
      <c r="N344" s="182">
        <f>+M344*1000/(113.8*4*15*60)*T344</f>
        <v>4.8971148213239601</v>
      </c>
      <c r="O344" s="182"/>
      <c r="P344" s="182">
        <f t="shared" si="35"/>
        <v>0</v>
      </c>
      <c r="Q344" s="182"/>
      <c r="R344" s="19">
        <f t="shared" si="36"/>
        <v>0</v>
      </c>
      <c r="S344" s="182">
        <f t="shared" si="37"/>
        <v>0</v>
      </c>
      <c r="T344" s="20">
        <v>5</v>
      </c>
      <c r="U344" s="20"/>
      <c r="V344" s="179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8">
        <v>300300</v>
      </c>
      <c r="B345" s="171" t="s">
        <v>110</v>
      </c>
      <c r="C345" s="219" t="s">
        <v>122</v>
      </c>
      <c r="D345" s="219" t="s">
        <v>123</v>
      </c>
      <c r="E345" s="184" t="s">
        <v>54</v>
      </c>
      <c r="F345" s="183"/>
      <c r="G345" s="182"/>
      <c r="H345" s="182"/>
      <c r="I345" s="182"/>
      <c r="J345" s="182"/>
      <c r="K345" s="182">
        <f t="shared" si="33"/>
        <v>0</v>
      </c>
      <c r="L345" s="182">
        <f t="shared" si="34"/>
        <v>0</v>
      </c>
      <c r="M345" s="182">
        <v>399.07</v>
      </c>
      <c r="N345" s="182">
        <f>+M345*1000/(113.8*4*15*60)*T345</f>
        <v>4.8705086897090411</v>
      </c>
      <c r="O345" s="182"/>
      <c r="P345" s="182">
        <f t="shared" si="35"/>
        <v>0</v>
      </c>
      <c r="Q345" s="182"/>
      <c r="R345" s="19">
        <f t="shared" si="36"/>
        <v>0</v>
      </c>
      <c r="S345" s="182">
        <f t="shared" si="37"/>
        <v>0</v>
      </c>
      <c r="T345" s="20">
        <v>5</v>
      </c>
      <c r="U345" s="20"/>
      <c r="V345" s="179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8">
        <v>300085</v>
      </c>
      <c r="B346" s="171" t="s">
        <v>110</v>
      </c>
      <c r="C346" s="219" t="s">
        <v>126</v>
      </c>
      <c r="D346" s="219" t="s">
        <v>123</v>
      </c>
      <c r="E346" s="184" t="s">
        <v>127</v>
      </c>
      <c r="F346" s="183"/>
      <c r="G346" s="182"/>
      <c r="H346" s="182"/>
      <c r="I346" s="182"/>
      <c r="J346" s="182"/>
      <c r="K346" s="182">
        <f t="shared" si="33"/>
        <v>0</v>
      </c>
      <c r="L346" s="182">
        <f t="shared" si="34"/>
        <v>0</v>
      </c>
      <c r="M346" s="182">
        <v>394.3</v>
      </c>
      <c r="N346" s="182">
        <f>+M346*1000/(104.2*4*15*60)*T346</f>
        <v>6.3067818298144598</v>
      </c>
      <c r="O346" s="182"/>
      <c r="P346" s="182">
        <f t="shared" si="35"/>
        <v>0</v>
      </c>
      <c r="Q346" s="182"/>
      <c r="R346" s="19">
        <f t="shared" si="36"/>
        <v>0</v>
      </c>
      <c r="S346" s="182">
        <f t="shared" si="37"/>
        <v>0</v>
      </c>
      <c r="T346" s="20">
        <v>6</v>
      </c>
      <c r="U346" s="20"/>
      <c r="V346" s="179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8">
        <v>300087</v>
      </c>
      <c r="B347" s="171" t="s">
        <v>110</v>
      </c>
      <c r="C347" s="219" t="s">
        <v>126</v>
      </c>
      <c r="D347" s="219" t="s">
        <v>123</v>
      </c>
      <c r="E347" s="184" t="s">
        <v>80</v>
      </c>
      <c r="F347" s="183"/>
      <c r="G347" s="182"/>
      <c r="H347" s="182"/>
      <c r="I347" s="182"/>
      <c r="J347" s="182"/>
      <c r="K347" s="182">
        <f t="shared" si="33"/>
        <v>0</v>
      </c>
      <c r="L347" s="182">
        <f t="shared" si="34"/>
        <v>0</v>
      </c>
      <c r="M347" s="182">
        <v>380.1</v>
      </c>
      <c r="N347" s="182">
        <f>+M347*1000/(104.2*4*16*60)*T347</f>
        <v>4.7497300863723604</v>
      </c>
      <c r="O347" s="182"/>
      <c r="P347" s="182">
        <f t="shared" si="35"/>
        <v>0</v>
      </c>
      <c r="Q347" s="182"/>
      <c r="R347" s="19">
        <f t="shared" si="36"/>
        <v>0</v>
      </c>
      <c r="S347" s="182">
        <f t="shared" si="37"/>
        <v>0</v>
      </c>
      <c r="T347" s="20">
        <v>5</v>
      </c>
      <c r="U347" s="20"/>
      <c r="V347" s="179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8">
        <v>300387</v>
      </c>
      <c r="B348" s="171" t="s">
        <v>128</v>
      </c>
      <c r="C348" s="230" t="s">
        <v>129</v>
      </c>
      <c r="D348" s="231"/>
      <c r="E348" s="184" t="s">
        <v>57</v>
      </c>
      <c r="F348" s="183"/>
      <c r="G348" s="182"/>
      <c r="H348" s="182"/>
      <c r="I348" s="182"/>
      <c r="J348" s="182"/>
      <c r="K348" s="182">
        <f t="shared" si="33"/>
        <v>0</v>
      </c>
      <c r="L348" s="182">
        <f t="shared" si="34"/>
        <v>0</v>
      </c>
      <c r="M348" s="182">
        <v>352.29</v>
      </c>
      <c r="N348" s="182">
        <f>+M348*1000/(104.2*4*16*60)*T348</f>
        <v>4.4022162907869484</v>
      </c>
      <c r="O348" s="182"/>
      <c r="P348" s="182">
        <f t="shared" si="35"/>
        <v>0</v>
      </c>
      <c r="Q348" s="182"/>
      <c r="R348" s="19">
        <f t="shared" si="36"/>
        <v>0</v>
      </c>
      <c r="S348" s="182">
        <f t="shared" si="37"/>
        <v>0</v>
      </c>
      <c r="T348" s="20">
        <v>5</v>
      </c>
      <c r="U348" s="20"/>
      <c r="V348" s="179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8">
        <v>300388</v>
      </c>
      <c r="B349" s="171" t="s">
        <v>130</v>
      </c>
      <c r="C349" s="230" t="s">
        <v>129</v>
      </c>
      <c r="D349" s="231"/>
      <c r="E349" s="184" t="s">
        <v>109</v>
      </c>
      <c r="F349" s="183"/>
      <c r="G349" s="182"/>
      <c r="H349" s="182"/>
      <c r="I349" s="182"/>
      <c r="J349" s="182"/>
      <c r="K349" s="182">
        <f t="shared" si="33"/>
        <v>0</v>
      </c>
      <c r="L349" s="182">
        <f t="shared" si="34"/>
        <v>0</v>
      </c>
      <c r="M349" s="182">
        <v>352.29</v>
      </c>
      <c r="N349" s="182">
        <f>+M349*1000/(104.2*4*16*60)*T349</f>
        <v>4.4022162907869484</v>
      </c>
      <c r="O349" s="182"/>
      <c r="P349" s="182">
        <f t="shared" si="35"/>
        <v>0</v>
      </c>
      <c r="Q349" s="182"/>
      <c r="R349" s="19">
        <f t="shared" si="36"/>
        <v>0</v>
      </c>
      <c r="S349" s="182">
        <f t="shared" si="37"/>
        <v>0</v>
      </c>
      <c r="T349" s="20">
        <v>5</v>
      </c>
      <c r="U349" s="20"/>
      <c r="V349" s="179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8">
        <v>300123</v>
      </c>
      <c r="B350" s="171" t="s">
        <v>110</v>
      </c>
      <c r="C350" s="219" t="s">
        <v>131</v>
      </c>
      <c r="D350" s="219" t="s">
        <v>132</v>
      </c>
      <c r="E350" s="184" t="s">
        <v>127</v>
      </c>
      <c r="F350" s="183"/>
      <c r="G350" s="182"/>
      <c r="H350" s="182"/>
      <c r="I350" s="182"/>
      <c r="J350" s="182"/>
      <c r="K350" s="182">
        <f t="shared" si="33"/>
        <v>0</v>
      </c>
      <c r="L350" s="182">
        <f t="shared" si="34"/>
        <v>0</v>
      </c>
      <c r="M350" s="182">
        <v>557</v>
      </c>
      <c r="N350" s="182">
        <f>+M350*1000/(126.5*4*15*60)*T350</f>
        <v>6.1155028546332888</v>
      </c>
      <c r="O350" s="182"/>
      <c r="P350" s="182">
        <f t="shared" si="35"/>
        <v>0</v>
      </c>
      <c r="Q350" s="182"/>
      <c r="R350" s="19">
        <f t="shared" si="36"/>
        <v>0</v>
      </c>
      <c r="S350" s="182">
        <f t="shared" si="37"/>
        <v>0</v>
      </c>
      <c r="T350" s="20">
        <v>5</v>
      </c>
      <c r="U350" s="20"/>
      <c r="V350" s="179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8">
        <v>300270</v>
      </c>
      <c r="B351" s="171" t="s">
        <v>110</v>
      </c>
      <c r="C351" s="219" t="s">
        <v>133</v>
      </c>
      <c r="D351" s="219"/>
      <c r="E351" s="184" t="s">
        <v>134</v>
      </c>
      <c r="F351" s="183"/>
      <c r="G351" s="182"/>
      <c r="H351" s="182"/>
      <c r="I351" s="182"/>
      <c r="J351" s="182"/>
      <c r="K351" s="182">
        <f t="shared" si="33"/>
        <v>0</v>
      </c>
      <c r="L351" s="182">
        <f t="shared" si="34"/>
        <v>0</v>
      </c>
      <c r="M351" s="182">
        <v>485.7</v>
      </c>
      <c r="N351" s="182">
        <f>+M351*1000/(126.5*4*15*60)*T351</f>
        <v>4.2661396574440049</v>
      </c>
      <c r="O351" s="182"/>
      <c r="P351" s="182">
        <f t="shared" si="35"/>
        <v>0</v>
      </c>
      <c r="Q351" s="182"/>
      <c r="R351" s="19">
        <f t="shared" si="36"/>
        <v>0</v>
      </c>
      <c r="S351" s="182">
        <f t="shared" si="37"/>
        <v>0</v>
      </c>
      <c r="T351" s="20">
        <v>4</v>
      </c>
      <c r="U351" s="20"/>
      <c r="V351" s="179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8">
        <v>300336</v>
      </c>
      <c r="B352" s="171" t="s">
        <v>110</v>
      </c>
      <c r="C352" s="219" t="s">
        <v>135</v>
      </c>
      <c r="D352" s="219"/>
      <c r="E352" s="184" t="s">
        <v>84</v>
      </c>
      <c r="F352" s="183"/>
      <c r="G352" s="182"/>
      <c r="H352" s="182"/>
      <c r="I352" s="182"/>
      <c r="J352" s="182"/>
      <c r="K352" s="182">
        <f t="shared" si="33"/>
        <v>0</v>
      </c>
      <c r="L352" s="182">
        <f t="shared" si="34"/>
        <v>0</v>
      </c>
      <c r="M352" s="182">
        <v>411.4</v>
      </c>
      <c r="N352" s="182">
        <f>+M352*1000/(104.2*4*16*60)*T352</f>
        <v>2.0563419705694179</v>
      </c>
      <c r="O352" s="182"/>
      <c r="P352" s="182">
        <f t="shared" si="35"/>
        <v>0</v>
      </c>
      <c r="Q352" s="182"/>
      <c r="R352" s="19">
        <f t="shared" si="36"/>
        <v>0</v>
      </c>
      <c r="S352" s="182">
        <f t="shared" si="37"/>
        <v>0</v>
      </c>
      <c r="T352" s="20">
        <v>2</v>
      </c>
      <c r="U352" s="20"/>
      <c r="V352" s="179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8">
        <v>300337</v>
      </c>
      <c r="B353" s="171" t="s">
        <v>110</v>
      </c>
      <c r="C353" s="219" t="s">
        <v>135</v>
      </c>
      <c r="D353" s="219"/>
      <c r="E353" s="184" t="s">
        <v>49</v>
      </c>
      <c r="F353" s="183"/>
      <c r="G353" s="182"/>
      <c r="H353" s="182"/>
      <c r="I353" s="182"/>
      <c r="J353" s="182"/>
      <c r="K353" s="182">
        <f t="shared" si="33"/>
        <v>0</v>
      </c>
      <c r="L353" s="182">
        <f t="shared" si="34"/>
        <v>0</v>
      </c>
      <c r="M353" s="182">
        <v>411.4</v>
      </c>
      <c r="N353" s="182">
        <f>+M353*1000/(104.2*4*16*60)*T353</f>
        <v>2.0563419705694179</v>
      </c>
      <c r="O353" s="182"/>
      <c r="P353" s="182">
        <f t="shared" si="35"/>
        <v>0</v>
      </c>
      <c r="Q353" s="182"/>
      <c r="R353" s="19">
        <f t="shared" si="36"/>
        <v>0</v>
      </c>
      <c r="S353" s="182">
        <f t="shared" si="37"/>
        <v>0</v>
      </c>
      <c r="T353" s="20">
        <v>2</v>
      </c>
      <c r="U353" s="20"/>
      <c r="V353" s="179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8">
        <v>300338</v>
      </c>
      <c r="B354" s="171" t="s">
        <v>110</v>
      </c>
      <c r="C354" s="219" t="s">
        <v>135</v>
      </c>
      <c r="D354" s="219"/>
      <c r="E354" s="184" t="s">
        <v>85</v>
      </c>
      <c r="F354" s="183"/>
      <c r="G354" s="182"/>
      <c r="H354" s="182"/>
      <c r="I354" s="182"/>
      <c r="J354" s="182"/>
      <c r="K354" s="182">
        <f t="shared" si="33"/>
        <v>0</v>
      </c>
      <c r="L354" s="182">
        <f t="shared" si="34"/>
        <v>0</v>
      </c>
      <c r="M354" s="182">
        <v>411.4</v>
      </c>
      <c r="N354" s="182">
        <f>+M354*1000/(104.2*4*16*60)*T354</f>
        <v>2.0563419705694179</v>
      </c>
      <c r="O354" s="182"/>
      <c r="P354" s="182">
        <f t="shared" si="35"/>
        <v>0</v>
      </c>
      <c r="Q354" s="182"/>
      <c r="R354" s="19">
        <f t="shared" si="36"/>
        <v>0</v>
      </c>
      <c r="S354" s="182">
        <f t="shared" si="37"/>
        <v>0</v>
      </c>
      <c r="T354" s="20">
        <v>2</v>
      </c>
      <c r="U354" s="20"/>
      <c r="V354" s="179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8">
        <v>300309</v>
      </c>
      <c r="B355" s="171">
        <v>6504</v>
      </c>
      <c r="C355" s="219" t="s">
        <v>137</v>
      </c>
      <c r="D355" s="219"/>
      <c r="E355" s="184" t="s">
        <v>47</v>
      </c>
      <c r="F355" s="183"/>
      <c r="G355" s="182"/>
      <c r="H355" s="182"/>
      <c r="I355" s="182"/>
      <c r="J355" s="182"/>
      <c r="K355" s="182">
        <f t="shared" si="33"/>
        <v>0</v>
      </c>
      <c r="L355" s="182">
        <f t="shared" si="34"/>
        <v>0</v>
      </c>
      <c r="M355" s="182">
        <v>316.88</v>
      </c>
      <c r="N355" s="182">
        <f>+M355*1000/(75.2*4*16*60)*T355</f>
        <v>6.5841090425531918</v>
      </c>
      <c r="O355" s="182"/>
      <c r="P355" s="182">
        <f t="shared" si="35"/>
        <v>0</v>
      </c>
      <c r="Q355" s="182"/>
      <c r="R355" s="19">
        <f t="shared" si="36"/>
        <v>0</v>
      </c>
      <c r="S355" s="182">
        <f t="shared" si="37"/>
        <v>0</v>
      </c>
      <c r="T355" s="20">
        <v>6</v>
      </c>
      <c r="U355" s="20"/>
      <c r="V355" s="179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8">
        <v>300310</v>
      </c>
      <c r="B356" s="171">
        <v>6504</v>
      </c>
      <c r="C356" s="219" t="s">
        <v>137</v>
      </c>
      <c r="D356" s="219"/>
      <c r="E356" s="184" t="s">
        <v>138</v>
      </c>
      <c r="F356" s="183"/>
      <c r="G356" s="182"/>
      <c r="H356" s="182"/>
      <c r="I356" s="182"/>
      <c r="J356" s="182"/>
      <c r="K356" s="182">
        <f t="shared" si="33"/>
        <v>0</v>
      </c>
      <c r="L356" s="182">
        <f t="shared" si="34"/>
        <v>0</v>
      </c>
      <c r="M356" s="182">
        <v>316.88</v>
      </c>
      <c r="N356" s="182">
        <f>+M356*1000/(75.2*4*16*60)*T356</f>
        <v>6.5841090425531918</v>
      </c>
      <c r="O356" s="182"/>
      <c r="P356" s="182">
        <f t="shared" si="35"/>
        <v>0</v>
      </c>
      <c r="Q356" s="182"/>
      <c r="R356" s="19">
        <f t="shared" si="36"/>
        <v>0</v>
      </c>
      <c r="S356" s="182">
        <f t="shared" si="37"/>
        <v>0</v>
      </c>
      <c r="T356" s="20">
        <v>6</v>
      </c>
      <c r="U356" s="20"/>
      <c r="V356" s="179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8">
        <v>300312</v>
      </c>
      <c r="B357" s="171">
        <v>6504</v>
      </c>
      <c r="C357" s="219" t="s">
        <v>137</v>
      </c>
      <c r="D357" s="219"/>
      <c r="E357" s="184" t="s">
        <v>139</v>
      </c>
      <c r="F357" s="183"/>
      <c r="G357" s="182"/>
      <c r="H357" s="182"/>
      <c r="I357" s="182"/>
      <c r="J357" s="182"/>
      <c r="K357" s="182">
        <f t="shared" si="33"/>
        <v>0</v>
      </c>
      <c r="L357" s="182">
        <f t="shared" si="34"/>
        <v>0</v>
      </c>
      <c r="M357" s="182">
        <v>316.88</v>
      </c>
      <c r="N357" s="182">
        <f>+M357*1000/(75.2*4*16*60)*T357</f>
        <v>6.5841090425531918</v>
      </c>
      <c r="O357" s="182"/>
      <c r="P357" s="182">
        <f t="shared" si="35"/>
        <v>0</v>
      </c>
      <c r="Q357" s="182"/>
      <c r="R357" s="19">
        <f t="shared" si="36"/>
        <v>0</v>
      </c>
      <c r="S357" s="182">
        <f t="shared" si="37"/>
        <v>0</v>
      </c>
      <c r="T357" s="20">
        <v>6</v>
      </c>
      <c r="U357" s="20"/>
      <c r="V357" s="179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8">
        <v>300311</v>
      </c>
      <c r="B358" s="171">
        <v>6504</v>
      </c>
      <c r="C358" s="219" t="s">
        <v>137</v>
      </c>
      <c r="D358" s="219"/>
      <c r="E358" s="184" t="s">
        <v>74</v>
      </c>
      <c r="F358" s="183"/>
      <c r="G358" s="182"/>
      <c r="H358" s="182"/>
      <c r="I358" s="182"/>
      <c r="J358" s="182"/>
      <c r="K358" s="182">
        <f t="shared" si="33"/>
        <v>0</v>
      </c>
      <c r="L358" s="182">
        <f t="shared" si="34"/>
        <v>0</v>
      </c>
      <c r="M358" s="182">
        <v>316.88</v>
      </c>
      <c r="N358" s="182">
        <f>+M358*1000/(75.2*4*16*60)*T358</f>
        <v>6.5841090425531918</v>
      </c>
      <c r="O358" s="182"/>
      <c r="P358" s="182">
        <f t="shared" si="35"/>
        <v>0</v>
      </c>
      <c r="Q358" s="182"/>
      <c r="R358" s="19">
        <f t="shared" si="36"/>
        <v>0</v>
      </c>
      <c r="S358" s="182">
        <f t="shared" si="37"/>
        <v>0</v>
      </c>
      <c r="T358" s="20">
        <v>6</v>
      </c>
      <c r="U358" s="20"/>
      <c r="V358" s="179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8">
        <v>300399</v>
      </c>
      <c r="B359" s="171">
        <v>18501</v>
      </c>
      <c r="C359" s="230" t="s">
        <v>140</v>
      </c>
      <c r="D359" s="231"/>
      <c r="E359" s="184" t="s">
        <v>41</v>
      </c>
      <c r="F359" s="183"/>
      <c r="G359" s="182"/>
      <c r="H359" s="182"/>
      <c r="I359" s="182"/>
      <c r="J359" s="182"/>
      <c r="K359" s="182">
        <f t="shared" si="33"/>
        <v>0</v>
      </c>
      <c r="L359" s="182">
        <f t="shared" si="34"/>
        <v>0</v>
      </c>
      <c r="M359" s="182">
        <v>311.2</v>
      </c>
      <c r="N359" s="182">
        <f>+M359*1000/(100*4*16*60)*T359</f>
        <v>4.8624999999999998</v>
      </c>
      <c r="O359" s="182"/>
      <c r="P359" s="182">
        <f t="shared" si="35"/>
        <v>0</v>
      </c>
      <c r="Q359" s="182"/>
      <c r="R359" s="19">
        <f t="shared" si="36"/>
        <v>0</v>
      </c>
      <c r="S359" s="182">
        <f t="shared" si="37"/>
        <v>0</v>
      </c>
      <c r="T359" s="20">
        <v>6</v>
      </c>
      <c r="U359" s="20"/>
      <c r="V359" s="179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8">
        <v>300400</v>
      </c>
      <c r="B360" s="171">
        <v>18501</v>
      </c>
      <c r="C360" s="230" t="s">
        <v>140</v>
      </c>
      <c r="D360" s="231"/>
      <c r="E360" s="184" t="s">
        <v>66</v>
      </c>
      <c r="F360" s="183"/>
      <c r="G360" s="182"/>
      <c r="H360" s="182"/>
      <c r="I360" s="182"/>
      <c r="J360" s="182"/>
      <c r="K360" s="182">
        <f t="shared" si="33"/>
        <v>0</v>
      </c>
      <c r="L360" s="182">
        <f t="shared" si="34"/>
        <v>0</v>
      </c>
      <c r="M360" s="182">
        <v>311.2</v>
      </c>
      <c r="N360" s="182">
        <f>+M360*1000/(100*4*16*60)*T360</f>
        <v>4.8624999999999998</v>
      </c>
      <c r="O360" s="182"/>
      <c r="P360" s="182">
        <f t="shared" si="35"/>
        <v>0</v>
      </c>
      <c r="Q360" s="182"/>
      <c r="R360" s="19">
        <f t="shared" si="36"/>
        <v>0</v>
      </c>
      <c r="S360" s="182">
        <f t="shared" si="37"/>
        <v>0</v>
      </c>
      <c r="T360" s="20">
        <v>6</v>
      </c>
      <c r="U360" s="20"/>
      <c r="V360" s="179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8">
        <v>300401</v>
      </c>
      <c r="B361" s="171">
        <v>18501</v>
      </c>
      <c r="C361" s="230" t="s">
        <v>140</v>
      </c>
      <c r="D361" s="231"/>
      <c r="E361" s="184" t="s">
        <v>141</v>
      </c>
      <c r="F361" s="183"/>
      <c r="G361" s="182"/>
      <c r="H361" s="182"/>
      <c r="I361" s="182"/>
      <c r="J361" s="182"/>
      <c r="K361" s="182">
        <f t="shared" si="33"/>
        <v>0</v>
      </c>
      <c r="L361" s="182">
        <f t="shared" si="34"/>
        <v>0</v>
      </c>
      <c r="M361" s="182">
        <v>311.2</v>
      </c>
      <c r="N361" s="182">
        <f>+M361*1000/(100*4*16*60)*T361</f>
        <v>4.8624999999999998</v>
      </c>
      <c r="O361" s="182"/>
      <c r="P361" s="182">
        <f t="shared" si="35"/>
        <v>0</v>
      </c>
      <c r="Q361" s="182"/>
      <c r="R361" s="19">
        <f t="shared" si="36"/>
        <v>0</v>
      </c>
      <c r="S361" s="182">
        <f t="shared" si="37"/>
        <v>0</v>
      </c>
      <c r="T361" s="20">
        <v>6</v>
      </c>
      <c r="U361" s="20"/>
      <c r="V361" s="179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8">
        <v>300402</v>
      </c>
      <c r="B362" s="171">
        <v>18501</v>
      </c>
      <c r="C362" s="230" t="s">
        <v>142</v>
      </c>
      <c r="D362" s="231"/>
      <c r="E362" s="184" t="s">
        <v>143</v>
      </c>
      <c r="F362" s="183"/>
      <c r="G362" s="182"/>
      <c r="H362" s="182"/>
      <c r="I362" s="182"/>
      <c r="J362" s="182"/>
      <c r="K362" s="182">
        <f t="shared" si="33"/>
        <v>0</v>
      </c>
      <c r="L362" s="182">
        <f t="shared" si="34"/>
        <v>0</v>
      </c>
      <c r="M362" s="182">
        <v>465.3</v>
      </c>
      <c r="N362" s="182">
        <f>+M362*1000/(137*4*16*60)*T362</f>
        <v>5.3067974452554747</v>
      </c>
      <c r="O362" s="182"/>
      <c r="P362" s="182">
        <f t="shared" si="35"/>
        <v>0</v>
      </c>
      <c r="Q362" s="182"/>
      <c r="R362" s="19">
        <f t="shared" si="36"/>
        <v>0</v>
      </c>
      <c r="S362" s="182">
        <f t="shared" si="37"/>
        <v>0</v>
      </c>
      <c r="T362" s="20">
        <v>6</v>
      </c>
      <c r="U362" s="20"/>
      <c r="V362" s="179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8">
        <v>300403</v>
      </c>
      <c r="B363" s="171">
        <v>18501</v>
      </c>
      <c r="C363" s="230" t="s">
        <v>142</v>
      </c>
      <c r="D363" s="231"/>
      <c r="E363" s="184" t="s">
        <v>144</v>
      </c>
      <c r="F363" s="183"/>
      <c r="G363" s="182"/>
      <c r="H363" s="182"/>
      <c r="I363" s="182"/>
      <c r="J363" s="182"/>
      <c r="K363" s="182">
        <f t="shared" ref="K363:K407" si="41">G363*M363</f>
        <v>0</v>
      </c>
      <c r="L363" s="182">
        <f t="shared" ref="L363:L407" si="42">I363*M363</f>
        <v>0</v>
      </c>
      <c r="M363" s="182">
        <v>465.3</v>
      </c>
      <c r="N363" s="182">
        <f>+M363*1000/(137*4*16*60)*T363</f>
        <v>5.3067974452554747</v>
      </c>
      <c r="O363" s="182"/>
      <c r="P363" s="182">
        <f t="shared" ref="P363:P407" si="43">N363*I363+O363*U363</f>
        <v>0</v>
      </c>
      <c r="Q363" s="182"/>
      <c r="R363" s="19">
        <f t="shared" ref="R363:R407" si="44">Q363*U363</f>
        <v>0</v>
      </c>
      <c r="S363" s="182">
        <f t="shared" ref="S363:S407" si="45">R363-P363</f>
        <v>0</v>
      </c>
      <c r="T363" s="20">
        <v>6</v>
      </c>
      <c r="U363" s="20"/>
      <c r="V363" s="179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8">
        <v>300404</v>
      </c>
      <c r="B364" s="171">
        <v>18501</v>
      </c>
      <c r="C364" s="230" t="s">
        <v>142</v>
      </c>
      <c r="D364" s="231"/>
      <c r="E364" s="184" t="s">
        <v>70</v>
      </c>
      <c r="F364" s="183"/>
      <c r="G364" s="182"/>
      <c r="H364" s="182"/>
      <c r="I364" s="182"/>
      <c r="J364" s="182"/>
      <c r="K364" s="182">
        <f t="shared" si="41"/>
        <v>0</v>
      </c>
      <c r="L364" s="182">
        <f t="shared" si="42"/>
        <v>0</v>
      </c>
      <c r="M364" s="182">
        <v>465.3</v>
      </c>
      <c r="N364" s="182">
        <f>+M364*1000/(137*4*16*60)*T364</f>
        <v>5.3067974452554747</v>
      </c>
      <c r="O364" s="182"/>
      <c r="P364" s="182">
        <f t="shared" si="43"/>
        <v>0</v>
      </c>
      <c r="Q364" s="182"/>
      <c r="R364" s="19">
        <f t="shared" si="44"/>
        <v>0</v>
      </c>
      <c r="S364" s="182">
        <f t="shared" si="45"/>
        <v>0</v>
      </c>
      <c r="T364" s="20">
        <v>6</v>
      </c>
      <c r="U364" s="20"/>
      <c r="V364" s="179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8">
        <v>300405</v>
      </c>
      <c r="B365" s="171">
        <v>18501</v>
      </c>
      <c r="C365" s="230" t="s">
        <v>142</v>
      </c>
      <c r="D365" s="231"/>
      <c r="E365" s="184" t="s">
        <v>35</v>
      </c>
      <c r="F365" s="183"/>
      <c r="G365" s="182"/>
      <c r="H365" s="182"/>
      <c r="I365" s="182"/>
      <c r="J365" s="182"/>
      <c r="K365" s="182">
        <f t="shared" si="41"/>
        <v>0</v>
      </c>
      <c r="L365" s="182">
        <f t="shared" si="42"/>
        <v>0</v>
      </c>
      <c r="M365" s="182">
        <v>465.3</v>
      </c>
      <c r="N365" s="182">
        <f>+M365*1000/(137*4*16*60)*T365</f>
        <v>5.3067974452554747</v>
      </c>
      <c r="O365" s="182"/>
      <c r="P365" s="182">
        <f t="shared" si="43"/>
        <v>0</v>
      </c>
      <c r="Q365" s="182"/>
      <c r="R365" s="19">
        <f t="shared" si="44"/>
        <v>0</v>
      </c>
      <c r="S365" s="182">
        <f t="shared" si="45"/>
        <v>0</v>
      </c>
      <c r="T365" s="20">
        <v>6</v>
      </c>
      <c r="U365" s="20"/>
      <c r="V365" s="179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8">
        <v>300372</v>
      </c>
      <c r="B366" s="171">
        <v>18501</v>
      </c>
      <c r="C366" s="230" t="s">
        <v>145</v>
      </c>
      <c r="D366" s="231"/>
      <c r="E366" s="184" t="s">
        <v>47</v>
      </c>
      <c r="F366" s="183"/>
      <c r="G366" s="182"/>
      <c r="H366" s="182"/>
      <c r="I366" s="182"/>
      <c r="J366" s="182"/>
      <c r="K366" s="182">
        <f t="shared" si="41"/>
        <v>0</v>
      </c>
      <c r="L366" s="182">
        <f t="shared" si="42"/>
        <v>0</v>
      </c>
      <c r="M366" s="182">
        <v>420.58</v>
      </c>
      <c r="N366" s="182">
        <f>+M366*1000/(140*4*16*60)*T366</f>
        <v>4.6939732142857142</v>
      </c>
      <c r="O366" s="182"/>
      <c r="P366" s="182">
        <f t="shared" si="43"/>
        <v>0</v>
      </c>
      <c r="Q366" s="182"/>
      <c r="R366" s="19">
        <f t="shared" si="44"/>
        <v>0</v>
      </c>
      <c r="S366" s="182">
        <f t="shared" si="45"/>
        <v>0</v>
      </c>
      <c r="T366" s="20">
        <v>6</v>
      </c>
      <c r="U366" s="20"/>
      <c r="V366" s="179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8">
        <v>300373</v>
      </c>
      <c r="B367" s="171">
        <v>18501</v>
      </c>
      <c r="C367" s="230" t="s">
        <v>145</v>
      </c>
      <c r="D367" s="231"/>
      <c r="E367" s="184" t="s">
        <v>138</v>
      </c>
      <c r="F367" s="183"/>
      <c r="G367" s="182"/>
      <c r="H367" s="182"/>
      <c r="I367" s="182"/>
      <c r="J367" s="182"/>
      <c r="K367" s="182">
        <f t="shared" si="41"/>
        <v>0</v>
      </c>
      <c r="L367" s="182">
        <f t="shared" si="42"/>
        <v>0</v>
      </c>
      <c r="M367" s="182">
        <v>420.58</v>
      </c>
      <c r="N367" s="182">
        <f>+M367*1000/(140*4*16*60)*T367</f>
        <v>4.6939732142857142</v>
      </c>
      <c r="O367" s="182"/>
      <c r="P367" s="182">
        <f t="shared" si="43"/>
        <v>0</v>
      </c>
      <c r="Q367" s="182"/>
      <c r="R367" s="19">
        <f t="shared" si="44"/>
        <v>0</v>
      </c>
      <c r="S367" s="182">
        <f t="shared" si="45"/>
        <v>0</v>
      </c>
      <c r="T367" s="20">
        <v>6</v>
      </c>
      <c r="U367" s="20"/>
      <c r="V367" s="179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8">
        <v>300374</v>
      </c>
      <c r="B368" s="171">
        <v>18501</v>
      </c>
      <c r="C368" s="230" t="s">
        <v>145</v>
      </c>
      <c r="D368" s="231"/>
      <c r="E368" s="184" t="s">
        <v>139</v>
      </c>
      <c r="F368" s="183"/>
      <c r="G368" s="182"/>
      <c r="H368" s="182"/>
      <c r="I368" s="182"/>
      <c r="J368" s="182"/>
      <c r="K368" s="182">
        <f t="shared" si="41"/>
        <v>0</v>
      </c>
      <c r="L368" s="182">
        <f t="shared" si="42"/>
        <v>0</v>
      </c>
      <c r="M368" s="182">
        <v>420.58</v>
      </c>
      <c r="N368" s="182">
        <f>+M368*1000/(140*4*16*60)*T368</f>
        <v>4.6939732142857142</v>
      </c>
      <c r="O368" s="182"/>
      <c r="P368" s="182">
        <f t="shared" si="43"/>
        <v>0</v>
      </c>
      <c r="Q368" s="182"/>
      <c r="R368" s="19">
        <f t="shared" si="44"/>
        <v>0</v>
      </c>
      <c r="S368" s="182">
        <f t="shared" si="45"/>
        <v>0</v>
      </c>
      <c r="T368" s="20">
        <v>6</v>
      </c>
      <c r="U368" s="20"/>
      <c r="V368" s="179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8">
        <v>300375</v>
      </c>
      <c r="B369" s="171">
        <v>18501</v>
      </c>
      <c r="C369" s="230" t="s">
        <v>145</v>
      </c>
      <c r="D369" s="231"/>
      <c r="E369" s="184" t="s">
        <v>74</v>
      </c>
      <c r="F369" s="183"/>
      <c r="G369" s="182"/>
      <c r="H369" s="182"/>
      <c r="I369" s="182"/>
      <c r="J369" s="182"/>
      <c r="K369" s="182">
        <f t="shared" si="41"/>
        <v>0</v>
      </c>
      <c r="L369" s="182">
        <f t="shared" si="42"/>
        <v>0</v>
      </c>
      <c r="M369" s="182">
        <v>420.58</v>
      </c>
      <c r="N369" s="182">
        <f>+M369*1000/(140*4*16*60)*T369</f>
        <v>4.6939732142857142</v>
      </c>
      <c r="O369" s="182"/>
      <c r="P369" s="182">
        <f t="shared" si="43"/>
        <v>0</v>
      </c>
      <c r="Q369" s="182"/>
      <c r="R369" s="19">
        <f t="shared" si="44"/>
        <v>0</v>
      </c>
      <c r="S369" s="182">
        <f t="shared" si="45"/>
        <v>0</v>
      </c>
      <c r="T369" s="20">
        <v>6</v>
      </c>
      <c r="U369" s="20"/>
      <c r="V369" s="179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8">
        <v>300341</v>
      </c>
      <c r="B370" s="171">
        <v>18501</v>
      </c>
      <c r="C370" s="237" t="s">
        <v>146</v>
      </c>
      <c r="D370" s="238"/>
      <c r="E370" s="184" t="s">
        <v>39</v>
      </c>
      <c r="F370" s="183"/>
      <c r="G370" s="182"/>
      <c r="H370" s="182"/>
      <c r="I370" s="182"/>
      <c r="J370" s="182"/>
      <c r="K370" s="182">
        <f t="shared" si="41"/>
        <v>0</v>
      </c>
      <c r="L370" s="182">
        <f t="shared" si="42"/>
        <v>0</v>
      </c>
      <c r="M370" s="182">
        <v>439.3</v>
      </c>
      <c r="N370" s="182">
        <f>+M370*1000/(169.7*4*13*60)*T370</f>
        <v>4.1485351223123761</v>
      </c>
      <c r="O370" s="182"/>
      <c r="P370" s="182">
        <f t="shared" si="43"/>
        <v>0</v>
      </c>
      <c r="Q370" s="182"/>
      <c r="R370" s="19">
        <f t="shared" si="44"/>
        <v>0</v>
      </c>
      <c r="S370" s="182">
        <f t="shared" si="45"/>
        <v>0</v>
      </c>
      <c r="T370" s="20">
        <v>5</v>
      </c>
      <c r="U370" s="20"/>
      <c r="V370" s="179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8">
        <v>300342</v>
      </c>
      <c r="B371" s="171">
        <v>18501</v>
      </c>
      <c r="C371" s="237" t="s">
        <v>146</v>
      </c>
      <c r="D371" s="238"/>
      <c r="E371" s="184" t="s">
        <v>80</v>
      </c>
      <c r="F371" s="183"/>
      <c r="G371" s="182"/>
      <c r="H371" s="182"/>
      <c r="I371" s="182"/>
      <c r="J371" s="182"/>
      <c r="K371" s="182">
        <f t="shared" si="41"/>
        <v>0</v>
      </c>
      <c r="L371" s="182">
        <f t="shared" si="42"/>
        <v>0</v>
      </c>
      <c r="M371" s="182">
        <v>439.3</v>
      </c>
      <c r="N371" s="182">
        <f t="shared" ref="N371:N376" si="46">+M371*1000/(169.7*4*13*60)*T371</f>
        <v>4.1485351223123761</v>
      </c>
      <c r="O371" s="182"/>
      <c r="P371" s="182">
        <f t="shared" si="43"/>
        <v>0</v>
      </c>
      <c r="Q371" s="182"/>
      <c r="R371" s="19">
        <f t="shared" si="44"/>
        <v>0</v>
      </c>
      <c r="S371" s="182">
        <f t="shared" si="45"/>
        <v>0</v>
      </c>
      <c r="T371" s="20">
        <v>5</v>
      </c>
      <c r="U371" s="20"/>
      <c r="V371" s="179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8">
        <v>300343</v>
      </c>
      <c r="B372" s="171">
        <v>18501</v>
      </c>
      <c r="C372" s="237" t="s">
        <v>146</v>
      </c>
      <c r="D372" s="238"/>
      <c r="E372" s="184" t="s">
        <v>35</v>
      </c>
      <c r="F372" s="183"/>
      <c r="G372" s="182"/>
      <c r="H372" s="182"/>
      <c r="I372" s="182"/>
      <c r="J372" s="182"/>
      <c r="K372" s="182">
        <f t="shared" si="41"/>
        <v>0</v>
      </c>
      <c r="L372" s="182">
        <f t="shared" si="42"/>
        <v>0</v>
      </c>
      <c r="M372" s="182">
        <v>455.4</v>
      </c>
      <c r="N372" s="182">
        <f t="shared" si="46"/>
        <v>4.3005756765332483</v>
      </c>
      <c r="O372" s="182"/>
      <c r="P372" s="182">
        <f t="shared" si="43"/>
        <v>0</v>
      </c>
      <c r="Q372" s="182"/>
      <c r="R372" s="19">
        <f t="shared" si="44"/>
        <v>0</v>
      </c>
      <c r="S372" s="182">
        <f t="shared" si="45"/>
        <v>0</v>
      </c>
      <c r="T372" s="20">
        <v>5</v>
      </c>
      <c r="U372" s="20"/>
      <c r="V372" s="179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8">
        <v>300344</v>
      </c>
      <c r="B373" s="171">
        <v>18501</v>
      </c>
      <c r="C373" s="237" t="s">
        <v>146</v>
      </c>
      <c r="D373" s="238"/>
      <c r="E373" s="184" t="s">
        <v>40</v>
      </c>
      <c r="F373" s="183"/>
      <c r="G373" s="182"/>
      <c r="H373" s="182"/>
      <c r="I373" s="182"/>
      <c r="J373" s="182"/>
      <c r="K373" s="182">
        <f t="shared" si="41"/>
        <v>0</v>
      </c>
      <c r="L373" s="182">
        <f t="shared" si="42"/>
        <v>0</v>
      </c>
      <c r="M373" s="182">
        <v>455.4</v>
      </c>
      <c r="N373" s="182">
        <f t="shared" si="46"/>
        <v>4.3005756765332483</v>
      </c>
      <c r="O373" s="182"/>
      <c r="P373" s="182">
        <f t="shared" si="43"/>
        <v>0</v>
      </c>
      <c r="Q373" s="182"/>
      <c r="R373" s="19">
        <f t="shared" si="44"/>
        <v>0</v>
      </c>
      <c r="S373" s="182">
        <f t="shared" si="45"/>
        <v>0</v>
      </c>
      <c r="T373" s="20">
        <v>5</v>
      </c>
      <c r="U373" s="20"/>
      <c r="V373" s="179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8">
        <v>300396</v>
      </c>
      <c r="B374" s="171">
        <v>18501</v>
      </c>
      <c r="C374" s="237" t="s">
        <v>147</v>
      </c>
      <c r="D374" s="238"/>
      <c r="E374" s="184" t="s">
        <v>41</v>
      </c>
      <c r="F374" s="183"/>
      <c r="G374" s="182"/>
      <c r="H374" s="182"/>
      <c r="I374" s="182"/>
      <c r="J374" s="182"/>
      <c r="K374" s="182">
        <f t="shared" si="41"/>
        <v>0</v>
      </c>
      <c r="L374" s="182">
        <f t="shared" si="42"/>
        <v>0</v>
      </c>
      <c r="M374" s="182">
        <v>417.1</v>
      </c>
      <c r="N374" s="182">
        <f t="shared" si="46"/>
        <v>3.9388891407158937</v>
      </c>
      <c r="O374" s="182"/>
      <c r="P374" s="182">
        <f t="shared" si="43"/>
        <v>0</v>
      </c>
      <c r="Q374" s="182"/>
      <c r="R374" s="19">
        <f t="shared" si="44"/>
        <v>0</v>
      </c>
      <c r="S374" s="182">
        <f t="shared" si="45"/>
        <v>0</v>
      </c>
      <c r="T374" s="20">
        <v>5</v>
      </c>
      <c r="U374" s="20"/>
      <c r="V374" s="179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8">
        <v>300397</v>
      </c>
      <c r="B375" s="171">
        <v>18501</v>
      </c>
      <c r="C375" s="237" t="s">
        <v>147</v>
      </c>
      <c r="D375" s="238"/>
      <c r="E375" s="184" t="s">
        <v>66</v>
      </c>
      <c r="F375" s="183"/>
      <c r="G375" s="182"/>
      <c r="H375" s="182"/>
      <c r="I375" s="182"/>
      <c r="J375" s="182"/>
      <c r="K375" s="182">
        <f t="shared" si="41"/>
        <v>0</v>
      </c>
      <c r="L375" s="182">
        <f t="shared" si="42"/>
        <v>0</v>
      </c>
      <c r="M375" s="182">
        <v>417.1</v>
      </c>
      <c r="N375" s="182">
        <f t="shared" si="46"/>
        <v>3.9388891407158937</v>
      </c>
      <c r="O375" s="182"/>
      <c r="P375" s="182">
        <f t="shared" si="43"/>
        <v>0</v>
      </c>
      <c r="Q375" s="182"/>
      <c r="R375" s="19">
        <f t="shared" si="44"/>
        <v>0</v>
      </c>
      <c r="S375" s="182">
        <f t="shared" si="45"/>
        <v>0</v>
      </c>
      <c r="T375" s="20">
        <v>5</v>
      </c>
      <c r="U375" s="20"/>
      <c r="V375" s="179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8">
        <v>300398</v>
      </c>
      <c r="B376" s="171">
        <v>18501</v>
      </c>
      <c r="C376" s="237" t="s">
        <v>147</v>
      </c>
      <c r="D376" s="238"/>
      <c r="E376" s="184" t="s">
        <v>141</v>
      </c>
      <c r="F376" s="183"/>
      <c r="G376" s="182"/>
      <c r="H376" s="182"/>
      <c r="I376" s="182"/>
      <c r="J376" s="182"/>
      <c r="K376" s="182">
        <f t="shared" si="41"/>
        <v>0</v>
      </c>
      <c r="L376" s="182">
        <f t="shared" si="42"/>
        <v>0</v>
      </c>
      <c r="M376" s="182">
        <v>417.1</v>
      </c>
      <c r="N376" s="182">
        <f t="shared" si="46"/>
        <v>3.9388891407158937</v>
      </c>
      <c r="O376" s="182"/>
      <c r="P376" s="182">
        <f t="shared" si="43"/>
        <v>0</v>
      </c>
      <c r="Q376" s="182"/>
      <c r="R376" s="19">
        <f t="shared" si="44"/>
        <v>0</v>
      </c>
      <c r="S376" s="182">
        <f t="shared" si="45"/>
        <v>0</v>
      </c>
      <c r="T376" s="20">
        <v>5</v>
      </c>
      <c r="U376" s="20"/>
      <c r="V376" s="179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8">
        <v>300271</v>
      </c>
      <c r="B377" s="171">
        <v>18501</v>
      </c>
      <c r="C377" s="219" t="s">
        <v>148</v>
      </c>
      <c r="D377" s="219"/>
      <c r="E377" s="184" t="s">
        <v>134</v>
      </c>
      <c r="F377" s="183"/>
      <c r="G377" s="182"/>
      <c r="H377" s="182"/>
      <c r="I377" s="182"/>
      <c r="J377" s="182"/>
      <c r="K377" s="182">
        <f t="shared" si="41"/>
        <v>0</v>
      </c>
      <c r="L377" s="182">
        <f t="shared" si="42"/>
        <v>0</v>
      </c>
      <c r="M377" s="182">
        <v>580.1</v>
      </c>
      <c r="N377" s="182">
        <f>+M377*1000/(188*4*13*60)*T377</f>
        <v>4.9449331696672125</v>
      </c>
      <c r="O377" s="182"/>
      <c r="P377" s="182">
        <f t="shared" si="43"/>
        <v>0</v>
      </c>
      <c r="Q377" s="182"/>
      <c r="R377" s="19">
        <f t="shared" si="44"/>
        <v>0</v>
      </c>
      <c r="S377" s="182">
        <f t="shared" si="45"/>
        <v>0</v>
      </c>
      <c r="T377" s="20">
        <v>5</v>
      </c>
      <c r="U377" s="20"/>
      <c r="V377" s="179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8">
        <v>300009</v>
      </c>
      <c r="B378" s="171">
        <v>18501</v>
      </c>
      <c r="C378" s="219" t="s">
        <v>149</v>
      </c>
      <c r="D378" s="219" t="s">
        <v>150</v>
      </c>
      <c r="E378" s="184" t="s">
        <v>127</v>
      </c>
      <c r="F378" s="183"/>
      <c r="G378" s="182"/>
      <c r="H378" s="182"/>
      <c r="I378" s="182"/>
      <c r="J378" s="182"/>
      <c r="K378" s="182">
        <f t="shared" si="41"/>
        <v>0</v>
      </c>
      <c r="L378" s="182">
        <f t="shared" si="42"/>
        <v>0</v>
      </c>
      <c r="M378" s="15">
        <v>520.79999999999995</v>
      </c>
      <c r="N378" s="182">
        <f>+M378*1000/(188*4*13*60)*T378</f>
        <v>4.4394435351882153</v>
      </c>
      <c r="O378" s="182"/>
      <c r="P378" s="182">
        <f t="shared" si="43"/>
        <v>0</v>
      </c>
      <c r="Q378" s="182"/>
      <c r="R378" s="19">
        <f t="shared" si="44"/>
        <v>0</v>
      </c>
      <c r="S378" s="182">
        <f t="shared" si="45"/>
        <v>0</v>
      </c>
      <c r="T378" s="20">
        <v>5</v>
      </c>
      <c r="U378" s="20"/>
      <c r="V378" s="179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8">
        <v>300010</v>
      </c>
      <c r="B379" s="171">
        <v>18501</v>
      </c>
      <c r="C379" s="219" t="s">
        <v>149</v>
      </c>
      <c r="D379" s="219" t="s">
        <v>150</v>
      </c>
      <c r="E379" s="184" t="s">
        <v>80</v>
      </c>
      <c r="F379" s="183"/>
      <c r="G379" s="182"/>
      <c r="H379" s="182"/>
      <c r="I379" s="182"/>
      <c r="J379" s="115"/>
      <c r="K379" s="182">
        <f t="shared" si="41"/>
        <v>0</v>
      </c>
      <c r="L379" s="182">
        <f t="shared" si="42"/>
        <v>0</v>
      </c>
      <c r="M379" s="15">
        <v>530.9</v>
      </c>
      <c r="N379" s="182">
        <f>+M379*1000/(188*4*13*60)*T379</f>
        <v>4.5255387343153304</v>
      </c>
      <c r="O379" s="182"/>
      <c r="P379" s="182">
        <f t="shared" si="43"/>
        <v>0</v>
      </c>
      <c r="Q379" s="182"/>
      <c r="R379" s="19">
        <f t="shared" si="44"/>
        <v>0</v>
      </c>
      <c r="S379" s="182">
        <f t="shared" si="45"/>
        <v>0</v>
      </c>
      <c r="T379" s="20">
        <v>5</v>
      </c>
      <c r="U379" s="20"/>
      <c r="V379" s="179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8">
        <v>300305</v>
      </c>
      <c r="B380" s="171">
        <v>18501</v>
      </c>
      <c r="C380" s="219" t="s">
        <v>151</v>
      </c>
      <c r="D380" s="219" t="s">
        <v>152</v>
      </c>
      <c r="E380" s="184" t="s">
        <v>57</v>
      </c>
      <c r="F380" s="183"/>
      <c r="G380" s="182"/>
      <c r="H380" s="182"/>
      <c r="I380" s="182"/>
      <c r="J380" s="115"/>
      <c r="K380" s="182">
        <f t="shared" si="41"/>
        <v>0</v>
      </c>
      <c r="L380" s="182">
        <f t="shared" si="42"/>
        <v>0</v>
      </c>
      <c r="M380" s="182">
        <v>530.20000000000005</v>
      </c>
      <c r="N380" s="182">
        <f t="shared" ref="N380:N385" si="47">+M380*1000/(202*4*13*60)*T380</f>
        <v>4.2063340949479562</v>
      </c>
      <c r="O380" s="182"/>
      <c r="P380" s="182">
        <f t="shared" si="43"/>
        <v>0</v>
      </c>
      <c r="Q380" s="182"/>
      <c r="R380" s="19">
        <f t="shared" si="44"/>
        <v>0</v>
      </c>
      <c r="S380" s="182">
        <f t="shared" si="45"/>
        <v>0</v>
      </c>
      <c r="T380" s="20">
        <v>5</v>
      </c>
      <c r="U380" s="20"/>
      <c r="V380" s="179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8">
        <v>300306</v>
      </c>
      <c r="B381" s="171">
        <v>18501</v>
      </c>
      <c r="C381" s="219" t="s">
        <v>151</v>
      </c>
      <c r="D381" s="219" t="s">
        <v>152</v>
      </c>
      <c r="E381" s="184" t="s">
        <v>109</v>
      </c>
      <c r="F381" s="183"/>
      <c r="G381" s="182"/>
      <c r="H381" s="182"/>
      <c r="I381" s="182"/>
      <c r="J381" s="182"/>
      <c r="K381" s="182">
        <f t="shared" si="41"/>
        <v>0</v>
      </c>
      <c r="L381" s="182">
        <f t="shared" si="42"/>
        <v>0</v>
      </c>
      <c r="M381" s="182">
        <v>538.79999999999995</v>
      </c>
      <c r="N381" s="182">
        <f t="shared" si="47"/>
        <v>4.2745620715917747</v>
      </c>
      <c r="O381" s="182"/>
      <c r="P381" s="182">
        <f t="shared" si="43"/>
        <v>0</v>
      </c>
      <c r="Q381" s="182"/>
      <c r="R381" s="19">
        <f t="shared" si="44"/>
        <v>0</v>
      </c>
      <c r="S381" s="182">
        <f t="shared" si="45"/>
        <v>0</v>
      </c>
      <c r="T381" s="20">
        <v>5</v>
      </c>
      <c r="U381" s="20"/>
      <c r="V381" s="179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8">
        <v>300307</v>
      </c>
      <c r="B382" s="171">
        <v>18501</v>
      </c>
      <c r="C382" s="219" t="s">
        <v>151</v>
      </c>
      <c r="D382" s="219" t="s">
        <v>152</v>
      </c>
      <c r="E382" s="184" t="s">
        <v>125</v>
      </c>
      <c r="F382" s="183"/>
      <c r="G382" s="182"/>
      <c r="H382" s="182"/>
      <c r="I382" s="182"/>
      <c r="J382" s="182"/>
      <c r="K382" s="182">
        <f t="shared" si="41"/>
        <v>0</v>
      </c>
      <c r="L382" s="182">
        <f t="shared" si="42"/>
        <v>0</v>
      </c>
      <c r="M382" s="182">
        <v>569</v>
      </c>
      <c r="N382" s="182">
        <f t="shared" si="47"/>
        <v>4.5141533384107637</v>
      </c>
      <c r="O382" s="182"/>
      <c r="P382" s="182">
        <f t="shared" si="43"/>
        <v>0</v>
      </c>
      <c r="Q382" s="182"/>
      <c r="R382" s="19">
        <f t="shared" si="44"/>
        <v>0</v>
      </c>
      <c r="S382" s="182">
        <f t="shared" si="45"/>
        <v>0</v>
      </c>
      <c r="T382" s="20">
        <v>5</v>
      </c>
      <c r="U382" s="20"/>
      <c r="V382" s="179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8">
        <v>300308</v>
      </c>
      <c r="B383" s="171">
        <v>18501</v>
      </c>
      <c r="C383" s="219" t="s">
        <v>151</v>
      </c>
      <c r="D383" s="219" t="s">
        <v>152</v>
      </c>
      <c r="E383" s="184" t="s">
        <v>124</v>
      </c>
      <c r="F383" s="183"/>
      <c r="G383" s="182"/>
      <c r="H383" s="182"/>
      <c r="I383" s="182"/>
      <c r="J383" s="182"/>
      <c r="K383" s="182">
        <f t="shared" si="41"/>
        <v>0</v>
      </c>
      <c r="L383" s="182">
        <f t="shared" si="42"/>
        <v>0</v>
      </c>
      <c r="M383" s="182">
        <v>523.6</v>
      </c>
      <c r="N383" s="182">
        <f t="shared" si="47"/>
        <v>4.1539730896166542</v>
      </c>
      <c r="O383" s="182"/>
      <c r="P383" s="182">
        <f t="shared" si="43"/>
        <v>0</v>
      </c>
      <c r="Q383" s="182"/>
      <c r="R383" s="19">
        <f t="shared" si="44"/>
        <v>0</v>
      </c>
      <c r="S383" s="182">
        <f t="shared" si="45"/>
        <v>0</v>
      </c>
      <c r="T383" s="20">
        <v>5</v>
      </c>
      <c r="U383" s="20"/>
      <c r="V383" s="179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8">
        <v>300182</v>
      </c>
      <c r="B384" s="171">
        <v>18501</v>
      </c>
      <c r="C384" s="219" t="s">
        <v>153</v>
      </c>
      <c r="D384" s="219" t="s">
        <v>152</v>
      </c>
      <c r="E384" s="184" t="s">
        <v>80</v>
      </c>
      <c r="F384" s="183"/>
      <c r="G384" s="182"/>
      <c r="H384" s="182"/>
      <c r="I384" s="182"/>
      <c r="J384" s="182"/>
      <c r="K384" s="182">
        <f t="shared" si="41"/>
        <v>0</v>
      </c>
      <c r="L384" s="182">
        <f t="shared" si="42"/>
        <v>0</v>
      </c>
      <c r="M384" s="182">
        <v>649.1</v>
      </c>
      <c r="N384" s="182">
        <f t="shared" si="47"/>
        <v>5.1496255394770252</v>
      </c>
      <c r="O384" s="182"/>
      <c r="P384" s="182">
        <f t="shared" si="43"/>
        <v>0</v>
      </c>
      <c r="Q384" s="182"/>
      <c r="R384" s="19">
        <f t="shared" si="44"/>
        <v>0</v>
      </c>
      <c r="S384" s="182">
        <f t="shared" si="45"/>
        <v>0</v>
      </c>
      <c r="T384" s="20">
        <v>5</v>
      </c>
      <c r="U384" s="20"/>
      <c r="V384" s="179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8">
        <v>300185</v>
      </c>
      <c r="B385" s="171">
        <v>18501</v>
      </c>
      <c r="C385" s="219" t="s">
        <v>153</v>
      </c>
      <c r="D385" s="219" t="s">
        <v>152</v>
      </c>
      <c r="E385" s="184" t="s">
        <v>127</v>
      </c>
      <c r="F385" s="183"/>
      <c r="G385" s="182"/>
      <c r="H385" s="182"/>
      <c r="I385" s="182"/>
      <c r="J385" s="182"/>
      <c r="K385" s="182">
        <f t="shared" si="41"/>
        <v>0</v>
      </c>
      <c r="L385" s="182">
        <f t="shared" si="42"/>
        <v>0</v>
      </c>
      <c r="M385" s="182">
        <v>638</v>
      </c>
      <c r="N385" s="182">
        <f t="shared" si="47"/>
        <v>6.0738766184310737</v>
      </c>
      <c r="O385" s="182"/>
      <c r="P385" s="182">
        <f t="shared" si="43"/>
        <v>0</v>
      </c>
      <c r="Q385" s="182"/>
      <c r="R385" s="19">
        <f t="shared" si="44"/>
        <v>0</v>
      </c>
      <c r="S385" s="182">
        <f t="shared" si="45"/>
        <v>0</v>
      </c>
      <c r="T385" s="20">
        <v>6</v>
      </c>
      <c r="U385" s="20"/>
      <c r="V385" s="179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8">
        <v>300272</v>
      </c>
      <c r="B386" s="171">
        <v>18502</v>
      </c>
      <c r="C386" s="219" t="s">
        <v>154</v>
      </c>
      <c r="D386" s="219"/>
      <c r="E386" s="184" t="s">
        <v>42</v>
      </c>
      <c r="F386" s="183"/>
      <c r="G386" s="182"/>
      <c r="H386" s="182"/>
      <c r="I386" s="182"/>
      <c r="J386" s="182"/>
      <c r="K386" s="182">
        <f t="shared" si="41"/>
        <v>0</v>
      </c>
      <c r="L386" s="182">
        <f t="shared" si="42"/>
        <v>0</v>
      </c>
      <c r="M386" s="182">
        <v>523.9</v>
      </c>
      <c r="N386" s="182">
        <f>+M386*1000/(128*4*13*60)*T386</f>
        <v>5.247395833333333</v>
      </c>
      <c r="O386" s="182"/>
      <c r="P386" s="182">
        <f t="shared" si="43"/>
        <v>0</v>
      </c>
      <c r="Q386" s="182"/>
      <c r="R386" s="19">
        <f t="shared" si="44"/>
        <v>0</v>
      </c>
      <c r="S386" s="182">
        <f t="shared" si="45"/>
        <v>0</v>
      </c>
      <c r="T386" s="20">
        <v>4</v>
      </c>
      <c r="U386" s="20"/>
      <c r="V386" s="179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8">
        <v>300273</v>
      </c>
      <c r="B387" s="171">
        <v>18502</v>
      </c>
      <c r="C387" s="219" t="s">
        <v>154</v>
      </c>
      <c r="D387" s="219"/>
      <c r="E387" s="184" t="s">
        <v>155</v>
      </c>
      <c r="F387" s="183"/>
      <c r="G387" s="182"/>
      <c r="H387" s="182"/>
      <c r="I387" s="182"/>
      <c r="J387" s="182"/>
      <c r="K387" s="182">
        <f t="shared" si="41"/>
        <v>0</v>
      </c>
      <c r="L387" s="182">
        <f t="shared" si="42"/>
        <v>0</v>
      </c>
      <c r="M387" s="182">
        <v>523.9</v>
      </c>
      <c r="N387" s="182">
        <f>+M387*1000/(128*4*13*60)*T387</f>
        <v>6.5592447916666661</v>
      </c>
      <c r="O387" s="182"/>
      <c r="P387" s="182">
        <f t="shared" si="43"/>
        <v>0</v>
      </c>
      <c r="Q387" s="182"/>
      <c r="R387" s="19">
        <f t="shared" si="44"/>
        <v>0</v>
      </c>
      <c r="S387" s="182">
        <f t="shared" si="45"/>
        <v>0</v>
      </c>
      <c r="T387" s="20">
        <v>5</v>
      </c>
      <c r="U387" s="20"/>
      <c r="V387" s="179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8">
        <v>300274</v>
      </c>
      <c r="B388" s="171">
        <v>18502</v>
      </c>
      <c r="C388" s="219" t="s">
        <v>154</v>
      </c>
      <c r="D388" s="219"/>
      <c r="E388" s="184" t="s">
        <v>138</v>
      </c>
      <c r="F388" s="183"/>
      <c r="G388" s="182"/>
      <c r="H388" s="182"/>
      <c r="I388" s="182"/>
      <c r="J388" s="182"/>
      <c r="K388" s="182">
        <f t="shared" si="41"/>
        <v>0</v>
      </c>
      <c r="L388" s="182">
        <f t="shared" si="42"/>
        <v>0</v>
      </c>
      <c r="M388" s="182">
        <v>523.9</v>
      </c>
      <c r="N388" s="182">
        <f>+M388*1000/(128*4*13*60)*T388</f>
        <v>5.247395833333333</v>
      </c>
      <c r="O388" s="182"/>
      <c r="P388" s="182">
        <f t="shared" si="43"/>
        <v>0</v>
      </c>
      <c r="Q388" s="182"/>
      <c r="R388" s="19">
        <f t="shared" si="44"/>
        <v>0</v>
      </c>
      <c r="S388" s="182">
        <f t="shared" si="45"/>
        <v>0</v>
      </c>
      <c r="T388" s="20">
        <v>4</v>
      </c>
      <c r="U388" s="20"/>
      <c r="V388" s="179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8">
        <v>300275</v>
      </c>
      <c r="B389" s="171">
        <v>18502</v>
      </c>
      <c r="C389" s="219" t="s">
        <v>154</v>
      </c>
      <c r="D389" s="219"/>
      <c r="E389" s="184" t="s">
        <v>156</v>
      </c>
      <c r="F389" s="183"/>
      <c r="G389" s="182"/>
      <c r="H389" s="182"/>
      <c r="I389" s="182"/>
      <c r="J389" s="182"/>
      <c r="K389" s="182">
        <f t="shared" si="41"/>
        <v>0</v>
      </c>
      <c r="L389" s="182">
        <f t="shared" si="42"/>
        <v>0</v>
      </c>
      <c r="M389" s="182">
        <v>523.9</v>
      </c>
      <c r="N389" s="182">
        <f>+M389*1000/(128*4*13*60)*T389</f>
        <v>5.247395833333333</v>
      </c>
      <c r="O389" s="182"/>
      <c r="P389" s="182">
        <f t="shared" si="43"/>
        <v>0</v>
      </c>
      <c r="Q389" s="182"/>
      <c r="R389" s="19">
        <f t="shared" si="44"/>
        <v>0</v>
      </c>
      <c r="S389" s="182">
        <f t="shared" si="45"/>
        <v>0</v>
      </c>
      <c r="T389" s="20">
        <v>4</v>
      </c>
      <c r="U389" s="20"/>
      <c r="V389" s="179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8">
        <v>300285</v>
      </c>
      <c r="B390" s="171">
        <v>13001</v>
      </c>
      <c r="C390" s="219" t="s">
        <v>157</v>
      </c>
      <c r="D390" s="219"/>
      <c r="E390" s="184" t="s">
        <v>37</v>
      </c>
      <c r="F390" s="183"/>
      <c r="G390" s="182"/>
      <c r="H390" s="182"/>
      <c r="I390" s="182"/>
      <c r="J390" s="182"/>
      <c r="K390" s="182">
        <f t="shared" si="41"/>
        <v>0</v>
      </c>
      <c r="L390" s="182">
        <f t="shared" si="42"/>
        <v>0</v>
      </c>
      <c r="M390" s="182">
        <v>438.7</v>
      </c>
      <c r="N390" s="182">
        <f t="shared" ref="N390:N395" si="48">+M390*1000/(90*4*18*60)*T390</f>
        <v>5.6417181069958842</v>
      </c>
      <c r="O390" s="182"/>
      <c r="P390" s="182">
        <f t="shared" si="43"/>
        <v>0</v>
      </c>
      <c r="Q390" s="182"/>
      <c r="R390" s="19">
        <f t="shared" si="44"/>
        <v>0</v>
      </c>
      <c r="S390" s="182">
        <f t="shared" si="45"/>
        <v>0</v>
      </c>
      <c r="T390" s="20">
        <v>5</v>
      </c>
      <c r="U390" s="20"/>
      <c r="V390" s="179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8">
        <v>300287</v>
      </c>
      <c r="B391" s="171">
        <v>13001</v>
      </c>
      <c r="C391" s="219" t="s">
        <v>157</v>
      </c>
      <c r="D391" s="219"/>
      <c r="E391" s="184" t="s">
        <v>57</v>
      </c>
      <c r="F391" s="183"/>
      <c r="G391" s="182"/>
      <c r="H391" s="182"/>
      <c r="I391" s="182"/>
      <c r="J391" s="182"/>
      <c r="K391" s="182">
        <f t="shared" si="41"/>
        <v>0</v>
      </c>
      <c r="L391" s="182">
        <f t="shared" si="42"/>
        <v>0</v>
      </c>
      <c r="M391" s="182">
        <v>438.7</v>
      </c>
      <c r="N391" s="182">
        <f t="shared" si="48"/>
        <v>5.6417181069958842</v>
      </c>
      <c r="O391" s="182"/>
      <c r="P391" s="182">
        <f t="shared" si="43"/>
        <v>0</v>
      </c>
      <c r="Q391" s="182"/>
      <c r="R391" s="19">
        <f t="shared" si="44"/>
        <v>0</v>
      </c>
      <c r="S391" s="182">
        <f t="shared" si="45"/>
        <v>0</v>
      </c>
      <c r="T391" s="20">
        <v>5</v>
      </c>
      <c r="U391" s="20"/>
      <c r="V391" s="179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8">
        <v>300284</v>
      </c>
      <c r="B392" s="171">
        <v>13001</v>
      </c>
      <c r="C392" s="219" t="s">
        <v>157</v>
      </c>
      <c r="D392" s="219"/>
      <c r="E392" s="184" t="s">
        <v>41</v>
      </c>
      <c r="F392" s="183"/>
      <c r="G392" s="182"/>
      <c r="H392" s="182"/>
      <c r="I392" s="182"/>
      <c r="J392" s="182"/>
      <c r="K392" s="182">
        <f t="shared" si="41"/>
        <v>0</v>
      </c>
      <c r="L392" s="182">
        <f t="shared" si="42"/>
        <v>0</v>
      </c>
      <c r="M392" s="182">
        <v>438.7</v>
      </c>
      <c r="N392" s="182">
        <f t="shared" si="48"/>
        <v>5.6417181069958842</v>
      </c>
      <c r="O392" s="182"/>
      <c r="P392" s="182">
        <f t="shared" si="43"/>
        <v>0</v>
      </c>
      <c r="Q392" s="182"/>
      <c r="R392" s="19">
        <f t="shared" si="44"/>
        <v>0</v>
      </c>
      <c r="S392" s="182">
        <f t="shared" si="45"/>
        <v>0</v>
      </c>
      <c r="T392" s="20">
        <v>5</v>
      </c>
      <c r="U392" s="20"/>
      <c r="V392" s="179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8">
        <v>300283</v>
      </c>
      <c r="B393" s="171">
        <v>13001</v>
      </c>
      <c r="C393" s="219" t="s">
        <v>157</v>
      </c>
      <c r="D393" s="219"/>
      <c r="E393" s="184" t="s">
        <v>35</v>
      </c>
      <c r="F393" s="183"/>
      <c r="G393" s="182"/>
      <c r="H393" s="182"/>
      <c r="I393" s="182"/>
      <c r="J393" s="172"/>
      <c r="K393" s="172">
        <f t="shared" si="41"/>
        <v>0</v>
      </c>
      <c r="L393" s="172">
        <f t="shared" si="42"/>
        <v>0</v>
      </c>
      <c r="M393" s="182">
        <v>438.7</v>
      </c>
      <c r="N393" s="182">
        <f t="shared" si="48"/>
        <v>5.6417181069958842</v>
      </c>
      <c r="O393" s="172"/>
      <c r="P393" s="182">
        <f t="shared" si="43"/>
        <v>0</v>
      </c>
      <c r="Q393" s="182"/>
      <c r="R393" s="19">
        <f t="shared" si="44"/>
        <v>0</v>
      </c>
      <c r="S393" s="182">
        <f t="shared" si="45"/>
        <v>0</v>
      </c>
      <c r="T393" s="20">
        <v>5</v>
      </c>
      <c r="U393" s="20"/>
      <c r="V393" s="179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8">
        <v>300289</v>
      </c>
      <c r="B394" s="171">
        <v>13001</v>
      </c>
      <c r="C394" s="219" t="s">
        <v>157</v>
      </c>
      <c r="D394" s="219"/>
      <c r="E394" s="184" t="s">
        <v>66</v>
      </c>
      <c r="F394" s="183"/>
      <c r="G394" s="172"/>
      <c r="H394" s="172"/>
      <c r="I394" s="172"/>
      <c r="J394" s="116"/>
      <c r="K394" s="172">
        <f t="shared" si="41"/>
        <v>0</v>
      </c>
      <c r="L394" s="172">
        <f t="shared" si="42"/>
        <v>0</v>
      </c>
      <c r="M394" s="182">
        <v>438.7</v>
      </c>
      <c r="N394" s="182">
        <f t="shared" si="48"/>
        <v>5.6417181069958842</v>
      </c>
      <c r="O394" s="172"/>
      <c r="P394" s="182">
        <f t="shared" si="43"/>
        <v>0</v>
      </c>
      <c r="Q394" s="182"/>
      <c r="R394" s="19">
        <f t="shared" si="44"/>
        <v>0</v>
      </c>
      <c r="S394" s="182">
        <f t="shared" si="45"/>
        <v>0</v>
      </c>
      <c r="T394" s="20">
        <v>5</v>
      </c>
      <c r="U394" s="20"/>
      <c r="V394" s="179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8">
        <v>300288</v>
      </c>
      <c r="B395" s="171">
        <v>13001</v>
      </c>
      <c r="C395" s="219" t="s">
        <v>157</v>
      </c>
      <c r="D395" s="219"/>
      <c r="E395" s="184" t="s">
        <v>158</v>
      </c>
      <c r="F395" s="183"/>
      <c r="G395" s="177"/>
      <c r="H395" s="182"/>
      <c r="I395" s="182"/>
      <c r="J395" s="182"/>
      <c r="K395" s="182">
        <f t="shared" si="41"/>
        <v>0</v>
      </c>
      <c r="L395" s="182">
        <f t="shared" si="42"/>
        <v>0</v>
      </c>
      <c r="M395" s="182">
        <v>438.7</v>
      </c>
      <c r="N395" s="182">
        <f t="shared" si="48"/>
        <v>5.6417181069958842</v>
      </c>
      <c r="O395" s="182"/>
      <c r="P395" s="182">
        <f t="shared" si="43"/>
        <v>0</v>
      </c>
      <c r="Q395" s="182"/>
      <c r="R395" s="19">
        <f t="shared" si="44"/>
        <v>0</v>
      </c>
      <c r="S395" s="182">
        <f t="shared" si="45"/>
        <v>0</v>
      </c>
      <c r="T395" s="20">
        <v>5</v>
      </c>
      <c r="U395" s="20"/>
      <c r="V395" s="179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5">
        <v>300355</v>
      </c>
      <c r="B396" s="124">
        <v>13001</v>
      </c>
      <c r="C396" s="233" t="s">
        <v>160</v>
      </c>
      <c r="D396" s="234"/>
      <c r="E396" s="53" t="s">
        <v>35</v>
      </c>
      <c r="F396" s="183"/>
      <c r="G396" s="177"/>
      <c r="H396" s="182"/>
      <c r="I396" s="182"/>
      <c r="J396" s="182"/>
      <c r="K396" s="172">
        <f t="shared" si="41"/>
        <v>0</v>
      </c>
      <c r="L396" s="182">
        <f t="shared" si="42"/>
        <v>0</v>
      </c>
      <c r="M396" s="182">
        <v>438</v>
      </c>
      <c r="N396" s="182">
        <f>+M396*1000/(110*4*18*60)*T396</f>
        <v>4.6085858585858581</v>
      </c>
      <c r="O396" s="182"/>
      <c r="P396" s="182">
        <f t="shared" si="43"/>
        <v>0</v>
      </c>
      <c r="Q396" s="182"/>
      <c r="R396" s="19">
        <f t="shared" si="44"/>
        <v>0</v>
      </c>
      <c r="S396" s="182">
        <f t="shared" si="45"/>
        <v>0</v>
      </c>
      <c r="T396" s="20">
        <v>5</v>
      </c>
      <c r="U396" s="20"/>
      <c r="V396" s="179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5">
        <v>300356</v>
      </c>
      <c r="B397" s="124">
        <v>13001</v>
      </c>
      <c r="C397" s="233" t="s">
        <v>160</v>
      </c>
      <c r="D397" s="234"/>
      <c r="E397" s="54" t="s">
        <v>41</v>
      </c>
      <c r="F397" s="183"/>
      <c r="G397" s="177"/>
      <c r="H397" s="182"/>
      <c r="I397" s="182"/>
      <c r="J397" s="182"/>
      <c r="K397" s="172">
        <f t="shared" si="41"/>
        <v>0</v>
      </c>
      <c r="L397" s="182">
        <f t="shared" si="42"/>
        <v>0</v>
      </c>
      <c r="M397" s="182">
        <v>438</v>
      </c>
      <c r="N397" s="182">
        <f>+M397*1000/(110*4*18*60)*T397</f>
        <v>4.6085858585858581</v>
      </c>
      <c r="O397" s="182"/>
      <c r="P397" s="182">
        <f t="shared" si="43"/>
        <v>0</v>
      </c>
      <c r="Q397" s="182"/>
      <c r="R397" s="19">
        <f t="shared" si="44"/>
        <v>0</v>
      </c>
      <c r="S397" s="182">
        <f t="shared" si="45"/>
        <v>0</v>
      </c>
      <c r="T397" s="20">
        <v>5</v>
      </c>
      <c r="U397" s="20"/>
      <c r="V397" s="179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5">
        <v>300357</v>
      </c>
      <c r="B398" s="171" t="s">
        <v>162</v>
      </c>
      <c r="C398" s="230" t="s">
        <v>160</v>
      </c>
      <c r="D398" s="231"/>
      <c r="E398" s="186" t="s">
        <v>37</v>
      </c>
      <c r="F398" s="13"/>
      <c r="G398" s="177"/>
      <c r="H398" s="182"/>
      <c r="I398" s="182"/>
      <c r="J398" s="182"/>
      <c r="K398" s="172">
        <f t="shared" si="41"/>
        <v>0</v>
      </c>
      <c r="L398" s="182">
        <f t="shared" si="42"/>
        <v>0</v>
      </c>
      <c r="M398" s="182">
        <v>438</v>
      </c>
      <c r="N398" s="15">
        <f>+M398*1000/(110*4*18*60)*T398</f>
        <v>4.6085858585858581</v>
      </c>
      <c r="O398" s="182"/>
      <c r="P398" s="182">
        <f t="shared" si="43"/>
        <v>0</v>
      </c>
      <c r="Q398" s="182"/>
      <c r="R398" s="19">
        <f t="shared" si="44"/>
        <v>0</v>
      </c>
      <c r="S398" s="182">
        <f t="shared" si="45"/>
        <v>0</v>
      </c>
      <c r="T398" s="20">
        <v>5</v>
      </c>
      <c r="U398" s="20"/>
      <c r="V398" s="179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5">
        <v>300358</v>
      </c>
      <c r="B399" s="171" t="s">
        <v>163</v>
      </c>
      <c r="C399" s="230" t="s">
        <v>160</v>
      </c>
      <c r="D399" s="231"/>
      <c r="E399" s="186" t="s">
        <v>66</v>
      </c>
      <c r="F399" s="13"/>
      <c r="G399" s="177"/>
      <c r="H399" s="182"/>
      <c r="I399" s="182"/>
      <c r="J399" s="182"/>
      <c r="K399" s="172">
        <f t="shared" si="41"/>
        <v>0</v>
      </c>
      <c r="L399" s="182">
        <f t="shared" si="42"/>
        <v>0</v>
      </c>
      <c r="M399" s="182">
        <v>438</v>
      </c>
      <c r="N399" s="15">
        <f>+M399*1000/(110*4*18*60)*T399</f>
        <v>4.6085858585858581</v>
      </c>
      <c r="O399" s="182"/>
      <c r="P399" s="182">
        <f t="shared" si="43"/>
        <v>0</v>
      </c>
      <c r="Q399" s="182"/>
      <c r="R399" s="19">
        <f t="shared" si="44"/>
        <v>0</v>
      </c>
      <c r="S399" s="182">
        <f t="shared" si="45"/>
        <v>0</v>
      </c>
      <c r="T399" s="20">
        <v>5</v>
      </c>
      <c r="U399" s="20"/>
      <c r="V399" s="179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8">
        <v>300438</v>
      </c>
      <c r="B400" s="171" t="s">
        <v>87</v>
      </c>
      <c r="C400" s="219" t="s">
        <v>304</v>
      </c>
      <c r="D400" s="219" t="s">
        <v>89</v>
      </c>
      <c r="E400" s="184" t="s">
        <v>35</v>
      </c>
      <c r="F400" s="13"/>
      <c r="G400" s="110"/>
      <c r="H400" s="110"/>
      <c r="I400" s="110"/>
      <c r="J400" s="110"/>
      <c r="K400" s="182">
        <f t="shared" si="41"/>
        <v>0</v>
      </c>
      <c r="L400" s="182">
        <f t="shared" si="42"/>
        <v>0</v>
      </c>
      <c r="M400" s="182">
        <v>336.6</v>
      </c>
      <c r="N400" s="182">
        <f>+M400*1000/(45*10*18*60)*T400</f>
        <v>1.3851851851851851</v>
      </c>
      <c r="O400" s="182"/>
      <c r="P400" s="182">
        <f t="shared" si="43"/>
        <v>0</v>
      </c>
      <c r="Q400" s="182"/>
      <c r="R400" s="19">
        <f t="shared" si="44"/>
        <v>0</v>
      </c>
      <c r="S400" s="182">
        <f t="shared" si="45"/>
        <v>0</v>
      </c>
      <c r="T400" s="20">
        <v>2</v>
      </c>
      <c r="U400" s="20"/>
      <c r="V400" s="179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8">
        <v>300439</v>
      </c>
      <c r="B401" s="171" t="s">
        <v>87</v>
      </c>
      <c r="C401" s="219" t="s">
        <v>304</v>
      </c>
      <c r="D401" s="219" t="s">
        <v>89</v>
      </c>
      <c r="E401" s="184" t="s">
        <v>66</v>
      </c>
      <c r="F401" s="13"/>
      <c r="G401" s="110"/>
      <c r="H401" s="110"/>
      <c r="I401" s="110"/>
      <c r="J401" s="110"/>
      <c r="K401" s="182">
        <f t="shared" si="41"/>
        <v>0</v>
      </c>
      <c r="L401" s="182">
        <f t="shared" si="42"/>
        <v>0</v>
      </c>
      <c r="M401" s="182">
        <v>336.6</v>
      </c>
      <c r="N401" s="182">
        <f>+M401*1000/(45*10*18*60)*T401</f>
        <v>1.3851851851851851</v>
      </c>
      <c r="O401" s="182"/>
      <c r="P401" s="182">
        <f t="shared" si="43"/>
        <v>0</v>
      </c>
      <c r="Q401" s="182"/>
      <c r="R401" s="19">
        <f t="shared" si="44"/>
        <v>0</v>
      </c>
      <c r="S401" s="182">
        <f t="shared" si="45"/>
        <v>0</v>
      </c>
      <c r="T401" s="20">
        <v>2</v>
      </c>
      <c r="U401" s="20"/>
      <c r="V401" s="179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8">
        <v>300440</v>
      </c>
      <c r="B402" s="171" t="s">
        <v>87</v>
      </c>
      <c r="C402" s="219" t="s">
        <v>304</v>
      </c>
      <c r="D402" s="219" t="s">
        <v>89</v>
      </c>
      <c r="E402" s="184" t="s">
        <v>41</v>
      </c>
      <c r="F402" s="13"/>
      <c r="G402" s="110"/>
      <c r="H402" s="110"/>
      <c r="I402" s="110"/>
      <c r="J402" s="110"/>
      <c r="K402" s="182">
        <f t="shared" si="41"/>
        <v>0</v>
      </c>
      <c r="L402" s="182">
        <f t="shared" si="42"/>
        <v>0</v>
      </c>
      <c r="M402" s="182">
        <v>336.6</v>
      </c>
      <c r="N402" s="182">
        <f>+M402*1000/(45*10*18*60)*T402</f>
        <v>1.3851851851851851</v>
      </c>
      <c r="O402" s="182"/>
      <c r="P402" s="182">
        <f t="shared" si="43"/>
        <v>0</v>
      </c>
      <c r="Q402" s="182"/>
      <c r="R402" s="19">
        <f t="shared" si="44"/>
        <v>0</v>
      </c>
      <c r="S402" s="182">
        <f t="shared" si="45"/>
        <v>0</v>
      </c>
      <c r="T402" s="20">
        <v>2</v>
      </c>
      <c r="U402" s="20"/>
      <c r="V402" s="179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8">
        <v>300441</v>
      </c>
      <c r="B403" s="171" t="s">
        <v>87</v>
      </c>
      <c r="C403" s="219" t="s">
        <v>304</v>
      </c>
      <c r="D403" s="219" t="s">
        <v>89</v>
      </c>
      <c r="E403" s="184" t="s">
        <v>37</v>
      </c>
      <c r="F403" s="13"/>
      <c r="G403" s="110"/>
      <c r="H403" s="110"/>
      <c r="I403" s="110"/>
      <c r="J403" s="110"/>
      <c r="K403" s="182">
        <f t="shared" si="41"/>
        <v>0</v>
      </c>
      <c r="L403" s="182">
        <f t="shared" si="42"/>
        <v>0</v>
      </c>
      <c r="M403" s="182">
        <v>336.6</v>
      </c>
      <c r="N403" s="182">
        <f>+M403*1000/(45*10*18*60)*T403</f>
        <v>1.3851851851851851</v>
      </c>
      <c r="O403" s="182"/>
      <c r="P403" s="182">
        <f t="shared" si="43"/>
        <v>0</v>
      </c>
      <c r="Q403" s="182"/>
      <c r="R403" s="19">
        <f t="shared" si="44"/>
        <v>0</v>
      </c>
      <c r="S403" s="182">
        <f t="shared" si="45"/>
        <v>0</v>
      </c>
      <c r="T403" s="20">
        <v>2</v>
      </c>
      <c r="U403" s="20"/>
      <c r="V403" s="179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5">
        <v>300406</v>
      </c>
      <c r="B404" s="171" t="s">
        <v>163</v>
      </c>
      <c r="C404" s="230" t="s">
        <v>164</v>
      </c>
      <c r="D404" s="231"/>
      <c r="E404" s="186" t="s">
        <v>141</v>
      </c>
      <c r="F404" s="27"/>
      <c r="G404" s="177"/>
      <c r="H404" s="182"/>
      <c r="I404" s="182"/>
      <c r="J404" s="182"/>
      <c r="K404" s="172">
        <f t="shared" si="41"/>
        <v>0</v>
      </c>
      <c r="L404" s="182">
        <f t="shared" si="42"/>
        <v>0</v>
      </c>
      <c r="M404" s="182">
        <v>628.29999999999995</v>
      </c>
      <c r="N404" s="15">
        <f>+M404*1000/(132*4*18*60)*T404</f>
        <v>5.5090838945005611</v>
      </c>
      <c r="O404" s="182"/>
      <c r="P404" s="182">
        <f t="shared" si="43"/>
        <v>0</v>
      </c>
      <c r="Q404" s="182"/>
      <c r="R404" s="19">
        <f t="shared" si="44"/>
        <v>0</v>
      </c>
      <c r="S404" s="182">
        <f t="shared" si="45"/>
        <v>0</v>
      </c>
      <c r="T404" s="20">
        <v>5</v>
      </c>
      <c r="U404" s="20"/>
      <c r="V404" s="179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5">
        <v>300407</v>
      </c>
      <c r="B405" s="171" t="s">
        <v>163</v>
      </c>
      <c r="C405" s="230" t="s">
        <v>164</v>
      </c>
      <c r="D405" s="231"/>
      <c r="E405" s="186" t="s">
        <v>165</v>
      </c>
      <c r="F405" s="27"/>
      <c r="G405" s="177"/>
      <c r="H405" s="182"/>
      <c r="I405" s="182"/>
      <c r="J405" s="182"/>
      <c r="K405" s="172">
        <f t="shared" si="41"/>
        <v>0</v>
      </c>
      <c r="L405" s="182">
        <f t="shared" si="42"/>
        <v>0</v>
      </c>
      <c r="M405" s="182">
        <v>628.29999999999995</v>
      </c>
      <c r="N405" s="15">
        <f>+M405*1000/(132*4*18*60)*T405</f>
        <v>5.5090838945005611</v>
      </c>
      <c r="O405" s="182"/>
      <c r="P405" s="182">
        <f t="shared" si="43"/>
        <v>0</v>
      </c>
      <c r="Q405" s="182"/>
      <c r="R405" s="19">
        <f t="shared" si="44"/>
        <v>0</v>
      </c>
      <c r="S405" s="182">
        <f t="shared" si="45"/>
        <v>0</v>
      </c>
      <c r="T405" s="20">
        <v>5</v>
      </c>
      <c r="U405" s="20"/>
      <c r="V405" s="179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5">
        <v>300408</v>
      </c>
      <c r="B406" s="171" t="s">
        <v>163</v>
      </c>
      <c r="C406" s="230" t="s">
        <v>164</v>
      </c>
      <c r="D406" s="231"/>
      <c r="E406" s="186" t="s">
        <v>41</v>
      </c>
      <c r="F406" s="27"/>
      <c r="G406" s="177"/>
      <c r="H406" s="182"/>
      <c r="I406" s="182"/>
      <c r="J406" s="182"/>
      <c r="K406" s="172">
        <f t="shared" si="41"/>
        <v>0</v>
      </c>
      <c r="L406" s="182">
        <f t="shared" si="42"/>
        <v>0</v>
      </c>
      <c r="M406" s="182">
        <v>628.29999999999995</v>
      </c>
      <c r="N406" s="15">
        <f>+M406*1000/(132*4*18*60)*T406</f>
        <v>5.5090838945005611</v>
      </c>
      <c r="O406" s="182"/>
      <c r="P406" s="182">
        <f t="shared" si="43"/>
        <v>0</v>
      </c>
      <c r="Q406" s="182"/>
      <c r="R406" s="19">
        <f t="shared" si="44"/>
        <v>0</v>
      </c>
      <c r="S406" s="182">
        <f t="shared" si="45"/>
        <v>0</v>
      </c>
      <c r="T406" s="20">
        <v>5</v>
      </c>
      <c r="U406" s="20"/>
      <c r="V406" s="179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5">
        <v>300409</v>
      </c>
      <c r="B407" s="171" t="s">
        <v>163</v>
      </c>
      <c r="C407" s="230" t="s">
        <v>164</v>
      </c>
      <c r="D407" s="231"/>
      <c r="E407" s="186" t="s">
        <v>166</v>
      </c>
      <c r="F407" s="27"/>
      <c r="G407" s="177"/>
      <c r="H407" s="182"/>
      <c r="I407" s="182"/>
      <c r="J407" s="182"/>
      <c r="K407" s="172">
        <f t="shared" si="41"/>
        <v>0</v>
      </c>
      <c r="L407" s="182">
        <f t="shared" si="42"/>
        <v>0</v>
      </c>
      <c r="M407" s="182">
        <v>628.29999999999995</v>
      </c>
      <c r="N407" s="15">
        <f>+M407*1000/(132*4*18*60)*T407</f>
        <v>5.5090838945005611</v>
      </c>
      <c r="O407" s="182"/>
      <c r="P407" s="182">
        <f t="shared" si="43"/>
        <v>0</v>
      </c>
      <c r="Q407" s="182"/>
      <c r="R407" s="19">
        <f t="shared" si="44"/>
        <v>0</v>
      </c>
      <c r="S407" s="182">
        <f t="shared" si="45"/>
        <v>0</v>
      </c>
      <c r="T407" s="20">
        <v>5</v>
      </c>
      <c r="U407" s="20"/>
      <c r="V407" s="179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47" t="s">
        <v>167</v>
      </c>
      <c r="B408" s="248"/>
      <c r="C408" s="248"/>
      <c r="D408" s="248"/>
      <c r="E408" s="248"/>
      <c r="F408" s="249"/>
      <c r="G408" s="182">
        <f t="array" ref="G408">SUM(IF(ISERROR(G215:G407),“”,G215:G407))</f>
        <v>0</v>
      </c>
      <c r="H408" s="182">
        <f t="array" ref="H408">SUM(IF(ISERROR(H215:H407),“”,H215:H407))</f>
        <v>0</v>
      </c>
      <c r="I408" s="182">
        <f t="array" ref="I408">SUM(IF(ISERROR(I215:I407),“”,I215:I407))</f>
        <v>0</v>
      </c>
      <c r="J408" s="182">
        <f t="array" ref="J408">SUM(IF(ISERROR(J215:J407),“”,J215:J407))</f>
        <v>0</v>
      </c>
      <c r="K408" s="182">
        <f t="array" ref="K408">SUM(IF(ISERROR(K215:K407),“”,K215:K407))</f>
        <v>0</v>
      </c>
      <c r="L408" s="117">
        <f>SUM(L215:L399)</f>
        <v>0</v>
      </c>
      <c r="M408" s="182"/>
      <c r="N408" s="182"/>
      <c r="O408" s="182">
        <f t="array" ref="O408">SUM(IF(ISERROR(O215:O407),“”,O215:O407))</f>
        <v>0</v>
      </c>
      <c r="P408" s="56">
        <f>SUM((P215:P399),(W413:X418))</f>
        <v>0</v>
      </c>
      <c r="Q408" s="182"/>
      <c r="R408" s="56">
        <f>SUM((R215:R399),(Y413:Z418))</f>
        <v>0</v>
      </c>
      <c r="S408" s="182">
        <f t="array" ref="S408">SUM(IF(ISERROR(S215:S407),“”,S215:S407))</f>
        <v>0</v>
      </c>
      <c r="T408" s="182"/>
      <c r="U408" s="182"/>
      <c r="V408" s="179" t="str">
        <f t="array" ref="V408">IF(ISERROR(L408/K408),"",L408/K408)</f>
        <v/>
      </c>
      <c r="W408" s="182">
        <f t="array" ref="W408">SUM(IF(ISERROR(W215:W407),“”,W215:W407))</f>
        <v>0</v>
      </c>
      <c r="X408" s="182">
        <f t="array" ref="X408">SUM(IF(ISERROR(X215:X407),“”,X215:X407))</f>
        <v>0</v>
      </c>
      <c r="Y408" s="182">
        <f t="array" ref="Y408">SUM(IF(ISERROR(Y215:Y407),“”,Y215:Y407))</f>
        <v>0</v>
      </c>
      <c r="Z408" s="182">
        <f t="array" ref="Z408">SUM(IF(ISERROR(Z215:Z407),“”,Z215:Z407))</f>
        <v>0</v>
      </c>
      <c r="AA408" s="182">
        <f t="array" ref="AA408">SUM(IF(ISERROR(AA215:AA407),“”,AA215:AA407))</f>
        <v>0</v>
      </c>
      <c r="AB408" s="182">
        <f t="array" ref="AB408">SUM(IF(ISERROR(AB215:AB407),“”,AB215:AB407))</f>
        <v>0</v>
      </c>
      <c r="AC408" s="182">
        <f t="array" ref="AC408">SUM(IF(ISERROR(AC215:AC407),“”,AC215:AC407))</f>
        <v>0</v>
      </c>
    </row>
    <row r="409" spans="1:29" ht="21.95" customHeight="1">
      <c r="A409" s="285"/>
      <c r="B409" s="286"/>
      <c r="C409" s="286"/>
      <c r="D409" s="286"/>
      <c r="E409" s="286"/>
      <c r="F409" s="287"/>
      <c r="G409" s="55" t="s">
        <v>214</v>
      </c>
      <c r="H409" s="55"/>
      <c r="I409" s="55"/>
      <c r="J409" s="55"/>
      <c r="K409" s="288" t="s">
        <v>168</v>
      </c>
      <c r="L409" s="289"/>
      <c r="M409" s="289"/>
      <c r="N409" s="290"/>
      <c r="O409" s="244" t="str">
        <f t="array" ref="O409">IF(ISERROR(P408/R408),"",P408/R408)</f>
        <v/>
      </c>
      <c r="P409" s="245"/>
      <c r="Q409" s="245"/>
      <c r="R409" s="246"/>
      <c r="S409" s="44"/>
      <c r="T409" s="45"/>
      <c r="U409" s="45"/>
      <c r="V409" s="45"/>
      <c r="W409" s="247">
        <f>SUM(W408:AC408)</f>
        <v>0</v>
      </c>
      <c r="X409" s="248"/>
      <c r="Y409" s="248"/>
      <c r="Z409" s="248"/>
      <c r="AA409" s="248"/>
      <c r="AB409" s="248"/>
      <c r="AC409" s="249"/>
    </row>
    <row r="410" spans="1:29" ht="21.95" customHeight="1">
      <c r="A410" s="250" t="s">
        <v>169</v>
      </c>
      <c r="B410" s="250"/>
      <c r="C410" s="250" t="s">
        <v>170</v>
      </c>
      <c r="D410" s="250"/>
      <c r="E410" s="250" t="s">
        <v>171</v>
      </c>
      <c r="F410" s="250"/>
      <c r="G410" s="250" t="s">
        <v>172</v>
      </c>
      <c r="H410" s="250"/>
      <c r="I410" s="250" t="s">
        <v>173</v>
      </c>
      <c r="J410" s="250"/>
      <c r="K410" s="250" t="s">
        <v>174</v>
      </c>
      <c r="L410" s="250"/>
      <c r="M410" s="237" t="s">
        <v>175</v>
      </c>
      <c r="N410" s="238"/>
      <c r="O410" s="291" t="s">
        <v>176</v>
      </c>
      <c r="P410" s="291"/>
      <c r="Q410" s="251" t="s">
        <v>177</v>
      </c>
      <c r="R410" s="251"/>
      <c r="S410" s="251" t="s">
        <v>178</v>
      </c>
      <c r="T410" s="251"/>
      <c r="U410" s="251" t="s">
        <v>179</v>
      </c>
      <c r="V410" s="251"/>
      <c r="W410" s="251" t="s">
        <v>180</v>
      </c>
      <c r="X410" s="251"/>
      <c r="Y410" s="251" t="s">
        <v>181</v>
      </c>
      <c r="Z410" s="251"/>
      <c r="AA410" s="251" t="s">
        <v>182</v>
      </c>
      <c r="AB410" s="251"/>
      <c r="AC410" s="251"/>
    </row>
    <row r="411" spans="1:29" ht="21.95" customHeight="1">
      <c r="A411" s="250"/>
      <c r="B411" s="250"/>
      <c r="C411" s="250" t="s">
        <v>183</v>
      </c>
      <c r="D411" s="250"/>
      <c r="E411" s="250"/>
      <c r="F411" s="250"/>
      <c r="G411" s="250"/>
      <c r="H411" s="250"/>
      <c r="I411" s="250">
        <f>G411-E411</f>
        <v>0</v>
      </c>
      <c r="J411" s="250"/>
      <c r="K411" s="252" t="str">
        <f t="array" ref="K411">IF(ISERROR(I411/E411),"",I411/E411)</f>
        <v/>
      </c>
      <c r="L411" s="252"/>
      <c r="M411" s="237"/>
      <c r="N411" s="238"/>
      <c r="O411" s="291"/>
      <c r="P411" s="29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</row>
    <row r="412" spans="1:29" ht="21.95" customHeight="1">
      <c r="A412" s="250"/>
      <c r="B412" s="250"/>
      <c r="C412" s="250" t="s">
        <v>184</v>
      </c>
      <c r="D412" s="250"/>
      <c r="E412" s="250"/>
      <c r="F412" s="250"/>
      <c r="G412" s="250"/>
      <c r="H412" s="250"/>
      <c r="I412" s="250">
        <f>G412-E412</f>
        <v>0</v>
      </c>
      <c r="J412" s="250"/>
      <c r="K412" s="252" t="str">
        <f t="array" ref="K412">IF(ISERROR(I412/E412),"",I412/E412)</f>
        <v/>
      </c>
      <c r="L412" s="252"/>
      <c r="M412" s="237"/>
      <c r="N412" s="238"/>
      <c r="O412" s="291"/>
      <c r="P412" s="291"/>
      <c r="Q412" s="254" t="s">
        <v>185</v>
      </c>
      <c r="R412" s="254"/>
      <c r="S412" s="255"/>
      <c r="T412" s="255"/>
      <c r="U412" s="255"/>
      <c r="V412" s="255"/>
      <c r="W412" s="254">
        <f>S412*9</f>
        <v>0</v>
      </c>
      <c r="X412" s="254"/>
      <c r="Y412" s="254">
        <f>U412*9</f>
        <v>0</v>
      </c>
      <c r="Z412" s="254"/>
      <c r="AA412" s="254">
        <f t="shared" ref="AA412:AA419" si="49">Y412-W412</f>
        <v>0</v>
      </c>
      <c r="AB412" s="254"/>
      <c r="AC412" s="254"/>
    </row>
    <row r="413" spans="1:29" ht="21.95" customHeight="1">
      <c r="A413" s="250"/>
      <c r="B413" s="250"/>
      <c r="C413" s="250" t="s">
        <v>186</v>
      </c>
      <c r="D413" s="250"/>
      <c r="E413" s="250"/>
      <c r="F413" s="250"/>
      <c r="G413" s="250"/>
      <c r="H413" s="250"/>
      <c r="I413" s="250">
        <f>G413-E413</f>
        <v>0</v>
      </c>
      <c r="J413" s="250"/>
      <c r="K413" s="252" t="str">
        <f t="array" ref="K413">IF(ISERROR(I413/E413),"",I413/E413)</f>
        <v/>
      </c>
      <c r="L413" s="252"/>
      <c r="M413" s="237"/>
      <c r="N413" s="238"/>
      <c r="O413" s="291"/>
      <c r="P413" s="291"/>
      <c r="Q413" s="254" t="s">
        <v>187</v>
      </c>
      <c r="R413" s="254"/>
      <c r="S413" s="255"/>
      <c r="T413" s="255"/>
      <c r="U413" s="255"/>
      <c r="V413" s="255"/>
      <c r="W413" s="254">
        <f t="shared" ref="W413:W419" si="50">S413*9</f>
        <v>0</v>
      </c>
      <c r="X413" s="254"/>
      <c r="Y413" s="254">
        <f t="shared" ref="Y413:Y419" si="51">U413*9</f>
        <v>0</v>
      </c>
      <c r="Z413" s="254"/>
      <c r="AA413" s="254">
        <f t="shared" si="49"/>
        <v>0</v>
      </c>
      <c r="AB413" s="254"/>
      <c r="AC413" s="254"/>
    </row>
    <row r="414" spans="1:29" ht="21.95" customHeight="1">
      <c r="A414" s="278" t="s">
        <v>188</v>
      </c>
      <c r="B414" s="279"/>
      <c r="C414" s="269" t="s">
        <v>189</v>
      </c>
      <c r="D414" s="270"/>
      <c r="E414" s="270"/>
      <c r="F414" s="271"/>
      <c r="G414" s="284" t="s">
        <v>190</v>
      </c>
      <c r="H414" s="284"/>
      <c r="I414" s="262" t="s">
        <v>191</v>
      </c>
      <c r="J414" s="263"/>
      <c r="K414" s="262" t="s">
        <v>192</v>
      </c>
      <c r="L414" s="263"/>
      <c r="M414" s="262" t="s">
        <v>193</v>
      </c>
      <c r="N414" s="263"/>
      <c r="O414" s="291"/>
      <c r="P414" s="291"/>
      <c r="Q414" s="254" t="s">
        <v>194</v>
      </c>
      <c r="R414" s="254"/>
      <c r="S414" s="254"/>
      <c r="T414" s="254"/>
      <c r="U414" s="255"/>
      <c r="V414" s="255"/>
      <c r="W414" s="254">
        <f t="shared" si="50"/>
        <v>0</v>
      </c>
      <c r="X414" s="254"/>
      <c r="Y414" s="254">
        <f t="shared" si="51"/>
        <v>0</v>
      </c>
      <c r="Z414" s="254"/>
      <c r="AA414" s="254">
        <f t="shared" si="49"/>
        <v>0</v>
      </c>
      <c r="AB414" s="254"/>
      <c r="AC414" s="254"/>
    </row>
    <row r="415" spans="1:29" ht="21.95" customHeight="1">
      <c r="A415" s="280"/>
      <c r="B415" s="281"/>
      <c r="C415" s="36" t="s">
        <v>195</v>
      </c>
      <c r="D415" s="37" t="s">
        <v>196</v>
      </c>
      <c r="E415" s="38"/>
      <c r="F415" s="180">
        <v>5</v>
      </c>
      <c r="G415" s="296"/>
      <c r="H415" s="296"/>
      <c r="I415" s="325"/>
      <c r="J415" s="326"/>
      <c r="K415" s="260">
        <f>G415-I415</f>
        <v>0</v>
      </c>
      <c r="L415" s="260"/>
      <c r="M415" s="261" t="str">
        <f t="array" ref="M415">IF(ISERROR(K415/L408),"",K415/(L408/1000))</f>
        <v/>
      </c>
      <c r="N415" s="261"/>
      <c r="O415" s="291"/>
      <c r="P415" s="291"/>
      <c r="Q415" s="254" t="s">
        <v>197</v>
      </c>
      <c r="R415" s="254"/>
      <c r="S415" s="254"/>
      <c r="T415" s="254"/>
      <c r="U415" s="255"/>
      <c r="V415" s="255"/>
      <c r="W415" s="254">
        <f t="shared" si="50"/>
        <v>0</v>
      </c>
      <c r="X415" s="254"/>
      <c r="Y415" s="254">
        <f t="shared" si="51"/>
        <v>0</v>
      </c>
      <c r="Z415" s="254"/>
      <c r="AA415" s="254">
        <f t="shared" si="49"/>
        <v>0</v>
      </c>
      <c r="AB415" s="254"/>
      <c r="AC415" s="254"/>
    </row>
    <row r="416" spans="1:29" ht="21.95" customHeight="1">
      <c r="A416" s="280"/>
      <c r="B416" s="281"/>
      <c r="C416" s="36" t="s">
        <v>198</v>
      </c>
      <c r="D416" s="37" t="s">
        <v>199</v>
      </c>
      <c r="E416" s="38"/>
      <c r="F416" s="180">
        <v>105</v>
      </c>
      <c r="G416" s="294"/>
      <c r="H416" s="295"/>
      <c r="I416" s="294"/>
      <c r="J416" s="295"/>
      <c r="K416" s="260">
        <f>G416-I416</f>
        <v>0</v>
      </c>
      <c r="L416" s="260"/>
      <c r="M416" s="261" t="str">
        <f t="array" ref="M416">IF(ISERROR(K416/L408),"",K416/(L408/1000))</f>
        <v/>
      </c>
      <c r="N416" s="261"/>
      <c r="O416" s="291"/>
      <c r="P416" s="291"/>
      <c r="Q416" s="254" t="s">
        <v>200</v>
      </c>
      <c r="R416" s="254"/>
      <c r="S416" s="254"/>
      <c r="T416" s="254"/>
      <c r="U416" s="255"/>
      <c r="V416" s="255"/>
      <c r="W416" s="254">
        <f t="shared" si="50"/>
        <v>0</v>
      </c>
      <c r="X416" s="254"/>
      <c r="Y416" s="254">
        <f t="shared" si="51"/>
        <v>0</v>
      </c>
      <c r="Z416" s="254"/>
      <c r="AA416" s="254">
        <f t="shared" si="49"/>
        <v>0</v>
      </c>
      <c r="AB416" s="254"/>
      <c r="AC416" s="254"/>
    </row>
    <row r="417" spans="1:29" ht="21.95" customHeight="1">
      <c r="A417" s="280"/>
      <c r="B417" s="281"/>
      <c r="C417" s="36" t="s">
        <v>201</v>
      </c>
      <c r="D417" s="37" t="s">
        <v>202</v>
      </c>
      <c r="E417" s="38"/>
      <c r="F417" s="180">
        <v>0.55000000000000004</v>
      </c>
      <c r="G417" s="296"/>
      <c r="H417" s="296"/>
      <c r="I417" s="327"/>
      <c r="J417" s="328"/>
      <c r="K417" s="260">
        <f>G417-I417</f>
        <v>0</v>
      </c>
      <c r="L417" s="260"/>
      <c r="M417" s="264" t="str">
        <f t="array" ref="M417">IF(ISERROR(K417/L408),"",K417/(L408/1000))</f>
        <v/>
      </c>
      <c r="N417" s="264"/>
      <c r="O417" s="291"/>
      <c r="P417" s="291"/>
      <c r="Q417" s="254" t="s">
        <v>203</v>
      </c>
      <c r="R417" s="254"/>
      <c r="S417" s="254"/>
      <c r="T417" s="254"/>
      <c r="U417" s="255"/>
      <c r="V417" s="255"/>
      <c r="W417" s="254">
        <f t="shared" si="50"/>
        <v>0</v>
      </c>
      <c r="X417" s="254"/>
      <c r="Y417" s="254">
        <f t="shared" si="51"/>
        <v>0</v>
      </c>
      <c r="Z417" s="254"/>
      <c r="AA417" s="254">
        <f t="shared" si="49"/>
        <v>0</v>
      </c>
      <c r="AB417" s="254"/>
      <c r="AC417" s="254"/>
    </row>
    <row r="418" spans="1:29" ht="21.95" customHeight="1">
      <c r="A418" s="280"/>
      <c r="B418" s="281"/>
      <c r="C418" s="39" t="s">
        <v>204</v>
      </c>
      <c r="D418" s="269" t="s">
        <v>205</v>
      </c>
      <c r="E418" s="270"/>
      <c r="F418" s="270"/>
      <c r="G418" s="270"/>
      <c r="H418" s="270"/>
      <c r="I418" s="270"/>
      <c r="J418" s="271"/>
      <c r="K418" s="272"/>
      <c r="L418" s="272"/>
      <c r="M418" s="265" t="str">
        <f t="array" ref="M418">IF(ISERROR((K418+K419)/L408),"",((K418+K419)*1000)/(L408/1000))</f>
        <v/>
      </c>
      <c r="N418" s="266"/>
      <c r="O418" s="291"/>
      <c r="P418" s="291"/>
      <c r="Q418" s="254" t="s">
        <v>206</v>
      </c>
      <c r="R418" s="254"/>
      <c r="S418" s="330"/>
      <c r="T418" s="330"/>
      <c r="U418" s="255"/>
      <c r="V418" s="255"/>
      <c r="W418" s="254">
        <f t="shared" si="50"/>
        <v>0</v>
      </c>
      <c r="X418" s="254"/>
      <c r="Y418" s="254">
        <f t="shared" si="51"/>
        <v>0</v>
      </c>
      <c r="Z418" s="254"/>
      <c r="AA418" s="254">
        <f t="shared" si="49"/>
        <v>0</v>
      </c>
      <c r="AB418" s="254"/>
      <c r="AC418" s="254"/>
    </row>
    <row r="419" spans="1:29" ht="21.95" customHeight="1">
      <c r="A419" s="280"/>
      <c r="B419" s="281"/>
      <c r="C419" s="39" t="s">
        <v>204</v>
      </c>
      <c r="D419" s="269" t="s">
        <v>207</v>
      </c>
      <c r="E419" s="270"/>
      <c r="F419" s="270"/>
      <c r="G419" s="270"/>
      <c r="H419" s="270"/>
      <c r="I419" s="270"/>
      <c r="J419" s="271"/>
      <c r="K419" s="272"/>
      <c r="L419" s="272"/>
      <c r="M419" s="267"/>
      <c r="N419" s="268"/>
      <c r="O419" s="291"/>
      <c r="P419" s="291"/>
      <c r="Q419" s="254" t="s">
        <v>208</v>
      </c>
      <c r="R419" s="254"/>
      <c r="S419" s="255">
        <f>SUM(S412:T418)</f>
        <v>0</v>
      </c>
      <c r="T419" s="255"/>
      <c r="U419" s="255">
        <f>SUM(U412:V418)</f>
        <v>0</v>
      </c>
      <c r="V419" s="255"/>
      <c r="W419" s="254">
        <f t="shared" si="50"/>
        <v>0</v>
      </c>
      <c r="X419" s="254"/>
      <c r="Y419" s="254">
        <f t="shared" si="51"/>
        <v>0</v>
      </c>
      <c r="Z419" s="254"/>
      <c r="AA419" s="254">
        <f t="shared" si="49"/>
        <v>0</v>
      </c>
      <c r="AB419" s="254"/>
      <c r="AC419" s="254"/>
    </row>
    <row r="420" spans="1:29" ht="21.95" customHeight="1">
      <c r="A420" s="282"/>
      <c r="B420" s="283"/>
      <c r="C420" s="272" t="s">
        <v>209</v>
      </c>
      <c r="D420" s="272"/>
      <c r="E420" s="272"/>
      <c r="F420" s="272"/>
      <c r="G420" s="273" t="str">
        <f>IF(ISERROR(K417/K419),"",K417/K419)</f>
        <v/>
      </c>
      <c r="H420" s="274"/>
      <c r="I420" s="272" t="s">
        <v>210</v>
      </c>
      <c r="J420" s="272"/>
      <c r="K420" s="272"/>
      <c r="L420" s="272"/>
      <c r="M420" s="273" t="str">
        <f>IF(ISERROR(K417/K418),"",K417/K418)</f>
        <v/>
      </c>
      <c r="N420" s="274"/>
      <c r="O420" s="291"/>
      <c r="P420" s="291"/>
      <c r="Q420" s="251" t="s">
        <v>211</v>
      </c>
      <c r="R420" s="251"/>
      <c r="S420" s="297" t="str">
        <f t="array" ref="S420">IF(ISERROR(L408/Y419),"",L408/Y419)</f>
        <v/>
      </c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9"/>
    </row>
    <row r="421" spans="1:29" ht="21.95" customHeight="1">
      <c r="A421" s="57" t="s">
        <v>215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216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0" t="s">
        <v>217</v>
      </c>
      <c r="B423" s="250"/>
      <c r="C423" s="304">
        <f>K199+K408</f>
        <v>0</v>
      </c>
      <c r="D423" s="304"/>
      <c r="E423" s="300" t="s">
        <v>218</v>
      </c>
      <c r="F423" s="300"/>
      <c r="G423" s="300">
        <f>L199+L408</f>
        <v>0</v>
      </c>
      <c r="H423" s="300"/>
      <c r="I423" s="307" t="s">
        <v>219</v>
      </c>
      <c r="J423" s="307"/>
      <c r="K423" s="306" t="str">
        <f>IF(ISERROR(G423/C423),"",G423/C423)</f>
        <v/>
      </c>
      <c r="L423" s="306"/>
      <c r="M423" s="300" t="s">
        <v>220</v>
      </c>
      <c r="N423" s="300"/>
      <c r="O423" s="301" t="str">
        <f>IF(ISERROR(G423/G424),"",G423/G424)</f>
        <v/>
      </c>
      <c r="P423" s="301"/>
      <c r="Q423" s="302"/>
      <c r="R423" s="302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03" t="s">
        <v>221</v>
      </c>
      <c r="B424" s="303"/>
      <c r="C424" s="304">
        <f>P199+P408</f>
        <v>0</v>
      </c>
      <c r="D424" s="304"/>
      <c r="E424" s="305" t="s">
        <v>18</v>
      </c>
      <c r="F424" s="305"/>
      <c r="G424" s="300">
        <f>R199+R408</f>
        <v>0</v>
      </c>
      <c r="H424" s="300"/>
      <c r="I424" s="284" t="s">
        <v>168</v>
      </c>
      <c r="J424" s="284"/>
      <c r="K424" s="306" t="str">
        <f>IF(ISERROR(C424/G424),"",C424/G424)</f>
        <v/>
      </c>
      <c r="L424" s="306"/>
      <c r="M424" s="250" t="s">
        <v>222</v>
      </c>
      <c r="N424" s="250"/>
      <c r="O424" s="300">
        <f>W200+W409</f>
        <v>0</v>
      </c>
      <c r="P424" s="250"/>
      <c r="Q424" s="250" t="s">
        <v>223</v>
      </c>
      <c r="R424" s="250"/>
      <c r="S424" s="306" t="str">
        <f t="array" ref="S424">IF(ISERROR(O424/G424),"",O424/G424)</f>
        <v/>
      </c>
      <c r="T424" s="306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224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225</v>
      </c>
      <c r="B426" s="64"/>
      <c r="C426" s="304">
        <f>K206+K415</f>
        <v>0</v>
      </c>
      <c r="D426" s="304"/>
      <c r="E426" s="300" t="s">
        <v>226</v>
      </c>
      <c r="F426" s="300"/>
      <c r="G426" s="264" t="str">
        <f t="array" ref="G426">IF(ISERROR(C426/G423),"",C426/(G423/1000))</f>
        <v/>
      </c>
      <c r="H426" s="26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227</v>
      </c>
      <c r="B427" s="64"/>
      <c r="C427" s="304">
        <f>K207+K416</f>
        <v>0</v>
      </c>
      <c r="D427" s="304"/>
      <c r="E427" s="300" t="s">
        <v>228</v>
      </c>
      <c r="F427" s="300"/>
      <c r="G427" s="264" t="str">
        <f>IF(ISERROR(C427/G423),"",C427/(G423/1000))</f>
        <v/>
      </c>
      <c r="H427" s="26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229</v>
      </c>
      <c r="B428" s="64"/>
      <c r="C428" s="304">
        <f>K208+K417</f>
        <v>0</v>
      </c>
      <c r="D428" s="304"/>
      <c r="E428" s="300" t="s">
        <v>230</v>
      </c>
      <c r="F428" s="300"/>
      <c r="G428" s="264" t="str">
        <f>IF(ISERROR(C428/G423),"",C428/(G423/1000))</f>
        <v/>
      </c>
      <c r="H428" s="26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231</v>
      </c>
      <c r="B429" s="64"/>
      <c r="C429" s="304">
        <f>K209+K418</f>
        <v>0</v>
      </c>
      <c r="D429" s="304"/>
      <c r="E429" s="300" t="s">
        <v>232</v>
      </c>
      <c r="F429" s="300"/>
      <c r="G429" s="308" t="str">
        <f>IF(ISERROR(C429/G423),"",C429/(G423/1000))</f>
        <v/>
      </c>
      <c r="H429" s="308"/>
      <c r="I429" s="300" t="s">
        <v>233</v>
      </c>
      <c r="J429" s="300"/>
      <c r="K429" s="309" t="str">
        <f>IF(ISERROR(C428/C429),"",C428/C429)</f>
        <v/>
      </c>
      <c r="L429" s="309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234</v>
      </c>
      <c r="B430" s="64"/>
      <c r="C430" s="304">
        <f>K210+K419</f>
        <v>0</v>
      </c>
      <c r="D430" s="304"/>
      <c r="E430" s="300" t="s">
        <v>235</v>
      </c>
      <c r="F430" s="300"/>
      <c r="G430" s="308" t="str">
        <f>IF(ISERROR(C430/G423),"",C430/(G423/1000))</f>
        <v/>
      </c>
      <c r="H430" s="308"/>
      <c r="I430" s="300" t="s">
        <v>236</v>
      </c>
      <c r="J430" s="300"/>
      <c r="K430" s="309" t="str">
        <f>IF(ISERROR(C428/C430),"",C428/C430)</f>
        <v/>
      </c>
      <c r="L430" s="309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237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238</v>
      </c>
      <c r="B432" s="65"/>
      <c r="C432" s="312">
        <f>+E411+E202</f>
        <v>0</v>
      </c>
      <c r="D432" s="313"/>
      <c r="E432" s="300" t="s">
        <v>239</v>
      </c>
      <c r="F432" s="318"/>
      <c r="G432" s="314">
        <f>+G411+G202</f>
        <v>0</v>
      </c>
      <c r="H432" s="315"/>
      <c r="I432" s="300" t="s">
        <v>240</v>
      </c>
      <c r="J432" s="318"/>
      <c r="K432" s="285">
        <f>G432-C432</f>
        <v>0</v>
      </c>
      <c r="L432" s="287"/>
      <c r="M432" s="319" t="s">
        <v>241</v>
      </c>
      <c r="N432" s="319"/>
      <c r="O432" s="310" t="str">
        <f t="array" ref="O432">IF(ISERROR(K432/C432),"",K432/C432)</f>
        <v/>
      </c>
      <c r="P432" s="311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242</v>
      </c>
      <c r="B433" s="65"/>
      <c r="C433" s="312">
        <f>+E412+E203</f>
        <v>0</v>
      </c>
      <c r="D433" s="313"/>
      <c r="E433" s="300" t="s">
        <v>243</v>
      </c>
      <c r="F433" s="300"/>
      <c r="G433" s="314">
        <f>+G412+G203</f>
        <v>0</v>
      </c>
      <c r="H433" s="315"/>
      <c r="I433" s="300" t="s">
        <v>244</v>
      </c>
      <c r="J433" s="300"/>
      <c r="K433" s="285">
        <f>G433-C433</f>
        <v>0</v>
      </c>
      <c r="L433" s="287"/>
      <c r="M433" s="316" t="s">
        <v>245</v>
      </c>
      <c r="N433" s="317"/>
      <c r="O433" s="310" t="str">
        <f t="array" ref="O433">IF(ISERROR(K433/C433),"",K433/C433)</f>
        <v/>
      </c>
      <c r="P433" s="311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246</v>
      </c>
      <c r="B434" s="65"/>
      <c r="C434" s="312">
        <f>+E413+E204</f>
        <v>0</v>
      </c>
      <c r="D434" s="313"/>
      <c r="E434" s="300" t="s">
        <v>247</v>
      </c>
      <c r="F434" s="318"/>
      <c r="G434" s="314">
        <f>+G413+G204</f>
        <v>0</v>
      </c>
      <c r="H434" s="315"/>
      <c r="I434" s="300" t="s">
        <v>248</v>
      </c>
      <c r="J434" s="318"/>
      <c r="K434" s="285">
        <f>G434-C434</f>
        <v>0</v>
      </c>
      <c r="L434" s="287"/>
      <c r="M434" s="316" t="s">
        <v>249</v>
      </c>
      <c r="N434" s="317"/>
      <c r="O434" s="310" t="str">
        <f t="array" ref="O434">IF(ISERROR(K434/C434),"",K434/C434)</f>
        <v/>
      </c>
      <c r="P434" s="311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250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9" t="s">
        <v>251</v>
      </c>
      <c r="B436" s="219"/>
      <c r="C436" s="171" t="s">
        <v>252</v>
      </c>
      <c r="D436" s="171" t="s">
        <v>253</v>
      </c>
      <c r="E436" s="171" t="s">
        <v>254</v>
      </c>
      <c r="F436" s="171" t="s">
        <v>255</v>
      </c>
      <c r="G436" s="171" t="s">
        <v>256</v>
      </c>
      <c r="H436" s="172" t="s">
        <v>257</v>
      </c>
      <c r="I436" s="172" t="s">
        <v>258</v>
      </c>
      <c r="J436" s="172" t="s">
        <v>259</v>
      </c>
      <c r="K436" s="172" t="s">
        <v>260</v>
      </c>
      <c r="L436" s="172" t="s">
        <v>261</v>
      </c>
      <c r="M436" s="172" t="s">
        <v>262</v>
      </c>
      <c r="N436" s="172" t="s">
        <v>263</v>
      </c>
      <c r="O436" s="172" t="s">
        <v>264</v>
      </c>
      <c r="P436" s="187" t="s">
        <v>265</v>
      </c>
      <c r="Q436" s="172" t="s">
        <v>266</v>
      </c>
      <c r="R436" s="176" t="s">
        <v>181</v>
      </c>
      <c r="S436" s="171" t="s">
        <v>267</v>
      </c>
      <c r="T436" s="173" t="s">
        <v>268</v>
      </c>
      <c r="U436" s="171" t="s">
        <v>269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54" t="s">
        <v>270</v>
      </c>
      <c r="B437" s="254"/>
      <c r="C437" s="67">
        <f t="shared" ref="C437:C442" si="52">SUM(D437:F437)-O437-P437-G437</f>
        <v>0</v>
      </c>
      <c r="D437" s="171"/>
      <c r="E437" s="171"/>
      <c r="F437" s="171"/>
      <c r="G437" s="171"/>
      <c r="H437" s="172"/>
      <c r="I437" s="172"/>
      <c r="J437" s="83">
        <f t="shared" ref="J437:J452" si="5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54">J437-K437-L437</f>
        <v>0</v>
      </c>
      <c r="R437" s="176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54" t="s">
        <v>271</v>
      </c>
      <c r="B438" s="254"/>
      <c r="C438" s="67">
        <f t="shared" si="52"/>
        <v>0</v>
      </c>
      <c r="D438" s="171"/>
      <c r="E438" s="171"/>
      <c r="F438" s="171"/>
      <c r="G438" s="171"/>
      <c r="H438" s="172"/>
      <c r="I438" s="172"/>
      <c r="J438" s="83">
        <f t="shared" si="53"/>
        <v>0</v>
      </c>
      <c r="K438" s="67"/>
      <c r="L438" s="67"/>
      <c r="M438" s="67"/>
      <c r="N438" s="67"/>
      <c r="O438" s="67"/>
      <c r="P438" s="118"/>
      <c r="Q438" s="83">
        <f t="shared" si="54"/>
        <v>0</v>
      </c>
      <c r="R438" s="176">
        <f t="shared" ref="R438:R443" si="5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54" t="s">
        <v>272</v>
      </c>
      <c r="B439" s="254"/>
      <c r="C439" s="67">
        <f t="shared" si="52"/>
        <v>0</v>
      </c>
      <c r="D439" s="171"/>
      <c r="E439" s="171"/>
      <c r="F439" s="171"/>
      <c r="G439" s="171"/>
      <c r="H439" s="172"/>
      <c r="I439" s="172"/>
      <c r="J439" s="83">
        <f t="shared" si="53"/>
        <v>0</v>
      </c>
      <c r="K439" s="67"/>
      <c r="L439" s="67"/>
      <c r="M439" s="67"/>
      <c r="N439" s="67"/>
      <c r="O439" s="67"/>
      <c r="P439" s="118"/>
      <c r="Q439" s="83">
        <f t="shared" si="54"/>
        <v>0</v>
      </c>
      <c r="R439" s="176">
        <f t="shared" si="5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54" t="s">
        <v>273</v>
      </c>
      <c r="B440" s="254"/>
      <c r="C440" s="67">
        <f t="shared" si="52"/>
        <v>0</v>
      </c>
      <c r="D440" s="171"/>
      <c r="E440" s="171"/>
      <c r="F440" s="171"/>
      <c r="G440" s="171"/>
      <c r="H440" s="172"/>
      <c r="I440" s="172"/>
      <c r="J440" s="83">
        <f t="shared" si="53"/>
        <v>0</v>
      </c>
      <c r="K440" s="67"/>
      <c r="L440" s="67"/>
      <c r="M440" s="67"/>
      <c r="N440" s="67"/>
      <c r="O440" s="67"/>
      <c r="P440" s="118"/>
      <c r="Q440" s="83">
        <f t="shared" si="54"/>
        <v>0</v>
      </c>
      <c r="R440" s="176">
        <f t="shared" si="5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54" t="s">
        <v>274</v>
      </c>
      <c r="B441" s="254"/>
      <c r="C441" s="67">
        <f t="shared" si="52"/>
        <v>0</v>
      </c>
      <c r="D441" s="171"/>
      <c r="E441" s="171"/>
      <c r="F441" s="171"/>
      <c r="G441" s="171"/>
      <c r="H441" s="172"/>
      <c r="I441" s="172"/>
      <c r="J441" s="83">
        <f t="shared" si="53"/>
        <v>0</v>
      </c>
      <c r="K441" s="67"/>
      <c r="L441" s="67"/>
      <c r="M441" s="67"/>
      <c r="N441" s="67"/>
      <c r="O441" s="67"/>
      <c r="P441" s="118"/>
      <c r="Q441" s="83">
        <f t="shared" si="54"/>
        <v>0</v>
      </c>
      <c r="R441" s="176">
        <f t="shared" si="5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54" t="s">
        <v>275</v>
      </c>
      <c r="B442" s="254"/>
      <c r="C442" s="67">
        <f t="shared" si="52"/>
        <v>0</v>
      </c>
      <c r="D442" s="67"/>
      <c r="E442" s="67"/>
      <c r="F442" s="67"/>
      <c r="G442" s="67"/>
      <c r="H442" s="67"/>
      <c r="I442" s="67"/>
      <c r="J442" s="83">
        <f t="shared" si="53"/>
        <v>0</v>
      </c>
      <c r="K442" s="67"/>
      <c r="L442" s="67"/>
      <c r="M442" s="67"/>
      <c r="N442" s="67"/>
      <c r="O442" s="67"/>
      <c r="P442" s="67"/>
      <c r="Q442" s="83">
        <f t="shared" si="54"/>
        <v>0</v>
      </c>
      <c r="R442" s="176">
        <f t="shared" si="5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23" t="s">
        <v>276</v>
      </c>
      <c r="B443" s="324"/>
      <c r="C443" s="68">
        <f t="shared" ref="C443:C452" si="56">SUM(D443:F443)-O443-P443-G443</f>
        <v>0</v>
      </c>
      <c r="D443" s="68">
        <f>SUM(D437:D442)</f>
        <v>0</v>
      </c>
      <c r="E443" s="68">
        <f t="shared" ref="E443:P443" si="57">SUM(E437:E442)</f>
        <v>0</v>
      </c>
      <c r="F443" s="68">
        <f t="shared" si="57"/>
        <v>0</v>
      </c>
      <c r="G443" s="68">
        <f t="shared" si="57"/>
        <v>0</v>
      </c>
      <c r="H443" s="68">
        <f t="shared" si="57"/>
        <v>0</v>
      </c>
      <c r="I443" s="68">
        <f t="shared" si="57"/>
        <v>0</v>
      </c>
      <c r="J443" s="84">
        <f t="shared" si="53"/>
        <v>0</v>
      </c>
      <c r="K443" s="68">
        <f t="shared" si="57"/>
        <v>0</v>
      </c>
      <c r="L443" s="68">
        <f t="shared" si="57"/>
        <v>0</v>
      </c>
      <c r="M443" s="68">
        <f t="shared" si="57"/>
        <v>0</v>
      </c>
      <c r="N443" s="68">
        <f t="shared" si="57"/>
        <v>0</v>
      </c>
      <c r="O443" s="68">
        <f t="shared" si="57"/>
        <v>0</v>
      </c>
      <c r="P443" s="68">
        <f t="shared" si="57"/>
        <v>0</v>
      </c>
      <c r="Q443" s="83">
        <f t="shared" si="54"/>
        <v>0</v>
      </c>
      <c r="R443" s="176">
        <f t="shared" si="5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54" t="s">
        <v>277</v>
      </c>
      <c r="B444" s="254"/>
      <c r="C444" s="67">
        <f t="shared" si="56"/>
        <v>0</v>
      </c>
      <c r="D444" s="67"/>
      <c r="E444" s="67"/>
      <c r="F444" s="67"/>
      <c r="G444" s="67"/>
      <c r="H444" s="67"/>
      <c r="I444" s="67"/>
      <c r="J444" s="83">
        <f t="shared" si="53"/>
        <v>0</v>
      </c>
      <c r="K444" s="67"/>
      <c r="L444" s="67"/>
      <c r="M444" s="67"/>
      <c r="N444" s="67"/>
      <c r="O444" s="67"/>
      <c r="P444" s="67"/>
      <c r="Q444" s="83">
        <f t="shared" si="54"/>
        <v>0</v>
      </c>
      <c r="R444" s="176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54" t="s">
        <v>278</v>
      </c>
      <c r="B445" s="254"/>
      <c r="C445" s="67">
        <f t="shared" si="56"/>
        <v>0</v>
      </c>
      <c r="D445" s="67"/>
      <c r="E445" s="67"/>
      <c r="F445" s="67"/>
      <c r="G445" s="67"/>
      <c r="H445" s="67"/>
      <c r="I445" s="67"/>
      <c r="J445" s="83">
        <f t="shared" si="53"/>
        <v>0</v>
      </c>
      <c r="K445" s="67"/>
      <c r="L445" s="67"/>
      <c r="M445" s="67"/>
      <c r="N445" s="67"/>
      <c r="O445" s="67"/>
      <c r="P445" s="67"/>
      <c r="Q445" s="83">
        <f t="shared" si="54"/>
        <v>0</v>
      </c>
      <c r="R445" s="176">
        <f t="shared" ref="R445:R450" si="5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54" t="s">
        <v>279</v>
      </c>
      <c r="B446" s="254"/>
      <c r="C446" s="67">
        <f t="shared" si="56"/>
        <v>0</v>
      </c>
      <c r="D446" s="67"/>
      <c r="E446" s="67"/>
      <c r="F446" s="67"/>
      <c r="G446" s="67"/>
      <c r="H446" s="67"/>
      <c r="I446" s="67"/>
      <c r="J446" s="83">
        <f t="shared" si="53"/>
        <v>0</v>
      </c>
      <c r="K446" s="67"/>
      <c r="L446" s="67"/>
      <c r="M446" s="67"/>
      <c r="N446" s="67"/>
      <c r="P446" s="67"/>
      <c r="Q446" s="83">
        <f t="shared" si="54"/>
        <v>0</v>
      </c>
      <c r="R446" s="176">
        <f t="shared" si="5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54" t="s">
        <v>280</v>
      </c>
      <c r="B447" s="254"/>
      <c r="C447" s="67">
        <f t="shared" si="56"/>
        <v>0</v>
      </c>
      <c r="D447" s="67"/>
      <c r="E447" s="67"/>
      <c r="F447" s="67"/>
      <c r="G447" s="67"/>
      <c r="H447" s="67"/>
      <c r="I447" s="67"/>
      <c r="J447" s="83">
        <f t="shared" si="53"/>
        <v>0</v>
      </c>
      <c r="K447" s="67"/>
      <c r="L447" s="67"/>
      <c r="M447" s="67"/>
      <c r="N447" s="67"/>
      <c r="O447" s="67"/>
      <c r="P447" s="67"/>
      <c r="Q447" s="83">
        <f t="shared" si="54"/>
        <v>0</v>
      </c>
      <c r="R447" s="176">
        <f t="shared" si="5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54" t="s">
        <v>281</v>
      </c>
      <c r="B448" s="254"/>
      <c r="C448" s="67">
        <f t="shared" si="56"/>
        <v>0</v>
      </c>
      <c r="D448" s="67"/>
      <c r="E448" s="67"/>
      <c r="F448" s="67"/>
      <c r="G448" s="67"/>
      <c r="H448" s="67"/>
      <c r="I448" s="67"/>
      <c r="J448" s="83">
        <f t="shared" si="53"/>
        <v>0</v>
      </c>
      <c r="K448" s="67"/>
      <c r="L448" s="67"/>
      <c r="M448" s="110"/>
      <c r="N448" s="67"/>
      <c r="O448" s="67"/>
      <c r="P448" s="67"/>
      <c r="Q448" s="83">
        <f t="shared" si="54"/>
        <v>0</v>
      </c>
      <c r="R448" s="176">
        <f t="shared" si="5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54" t="s">
        <v>282</v>
      </c>
      <c r="B449" s="254"/>
      <c r="C449" s="67">
        <f t="shared" si="56"/>
        <v>0</v>
      </c>
      <c r="D449" s="67"/>
      <c r="E449" s="67"/>
      <c r="F449" s="67"/>
      <c r="G449" s="67"/>
      <c r="H449" s="67"/>
      <c r="I449" s="67"/>
      <c r="J449" s="83">
        <f t="shared" si="53"/>
        <v>0</v>
      </c>
      <c r="K449" s="67"/>
      <c r="L449" s="67"/>
      <c r="M449" s="67"/>
      <c r="N449" s="67"/>
      <c r="O449" s="67"/>
      <c r="P449" s="67"/>
      <c r="Q449" s="83">
        <f t="shared" si="54"/>
        <v>0</v>
      </c>
      <c r="R449" s="176">
        <f t="shared" si="5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20" t="s">
        <v>276</v>
      </c>
      <c r="B450" s="321"/>
      <c r="C450" s="69">
        <f t="shared" si="56"/>
        <v>0</v>
      </c>
      <c r="D450" s="69">
        <f t="shared" ref="D450:I450" si="59">SUM(D444:D449)</f>
        <v>0</v>
      </c>
      <c r="E450" s="69">
        <f t="shared" si="59"/>
        <v>0</v>
      </c>
      <c r="F450" s="69">
        <f t="shared" si="59"/>
        <v>0</v>
      </c>
      <c r="G450" s="69">
        <f t="shared" si="59"/>
        <v>0</v>
      </c>
      <c r="H450" s="69">
        <f t="shared" si="59"/>
        <v>0</v>
      </c>
      <c r="I450" s="69">
        <f t="shared" si="59"/>
        <v>0</v>
      </c>
      <c r="J450" s="85">
        <f t="shared" si="53"/>
        <v>0</v>
      </c>
      <c r="K450" s="69">
        <f t="shared" ref="K450:P450" si="60">SUM(K444:K449)</f>
        <v>0</v>
      </c>
      <c r="L450" s="69">
        <f t="shared" si="60"/>
        <v>0</v>
      </c>
      <c r="M450" s="69">
        <f t="shared" si="60"/>
        <v>0</v>
      </c>
      <c r="N450" s="69">
        <f t="shared" si="60"/>
        <v>0</v>
      </c>
      <c r="O450" s="69">
        <f t="shared" si="60"/>
        <v>0</v>
      </c>
      <c r="P450" s="69">
        <f t="shared" si="60"/>
        <v>0</v>
      </c>
      <c r="Q450" s="83">
        <f t="shared" si="54"/>
        <v>0</v>
      </c>
      <c r="R450" s="176">
        <f t="shared" si="5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54" t="s">
        <v>283</v>
      </c>
      <c r="B451" s="254"/>
      <c r="C451" s="67">
        <f t="shared" si="56"/>
        <v>0</v>
      </c>
      <c r="D451" s="171"/>
      <c r="E451" s="171"/>
      <c r="F451" s="171"/>
      <c r="G451" s="171"/>
      <c r="H451" s="172"/>
      <c r="I451" s="83"/>
      <c r="J451" s="83">
        <f t="shared" si="53"/>
        <v>0</v>
      </c>
      <c r="K451" s="172"/>
      <c r="L451" s="172"/>
      <c r="M451" s="172"/>
      <c r="N451" s="172"/>
      <c r="O451" s="172"/>
      <c r="P451" s="187"/>
      <c r="Q451" s="83">
        <f t="shared" si="54"/>
        <v>0</v>
      </c>
      <c r="R451" s="176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22" t="s">
        <v>284</v>
      </c>
      <c r="B452" s="322"/>
      <c r="C452" s="69">
        <f t="shared" si="5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53"/>
        <v>0</v>
      </c>
      <c r="K452" s="69">
        <f t="shared" ref="K452:P452" si="61">+K443+K450+K451</f>
        <v>0</v>
      </c>
      <c r="L452" s="69">
        <f t="shared" si="61"/>
        <v>0</v>
      </c>
      <c r="M452" s="69">
        <f t="shared" si="61"/>
        <v>0</v>
      </c>
      <c r="N452" s="69">
        <f t="shared" si="61"/>
        <v>0</v>
      </c>
      <c r="O452" s="69">
        <f t="shared" si="61"/>
        <v>0</v>
      </c>
      <c r="P452" s="69">
        <f t="shared" si="61"/>
        <v>0</v>
      </c>
      <c r="Q452" s="83">
        <f t="shared" si="54"/>
        <v>0</v>
      </c>
      <c r="R452" s="67">
        <f>R443+R450+R451</f>
        <v>0</v>
      </c>
      <c r="S452" s="123" t="str">
        <f t="array" ref="S452">IF(ISERROR(Q452/J452),"",Q452/J452)</f>
        <v/>
      </c>
      <c r="T452" s="185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285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286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31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2017-01-05T05:28:38Z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