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5" activeTab="18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2" r:id="rId18"/>
    <sheet name="19" sheetId="513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I416" i="513"/>
  <c r="K209"/>
  <c r="G208"/>
  <c r="G207"/>
  <c r="K418"/>
  <c r="G417"/>
  <c r="G416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I346"/>
  <c r="I264"/>
  <c r="I234" l="1"/>
  <c r="I251"/>
  <c r="L199" l="1"/>
  <c r="I137"/>
  <c r="I108"/>
  <c r="I57"/>
  <c r="I55"/>
  <c r="I43"/>
  <c r="I42"/>
  <c r="I25"/>
  <c r="G416" i="516"/>
  <c r="W412"/>
  <c r="X56" l="1"/>
  <c r="G417"/>
  <c r="G208"/>
  <c r="G207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I285" l="1"/>
  <c r="I265"/>
  <c r="I251"/>
  <c r="I76"/>
  <c r="I56"/>
  <c r="I43"/>
  <c r="I42"/>
  <c r="I29"/>
  <c r="X285" i="518"/>
  <c r="X265"/>
  <c r="X9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6" a="1"/>
  <c r="V286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56" a="1"/>
  <c r="V56" s="1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6" a="1"/>
  <c r="V116"/>
  <c r="V117" a="1"/>
  <c r="V117"/>
  <c r="V118" a="1"/>
  <c r="V118"/>
  <c r="V119" a="1"/>
  <c r="V119"/>
  <c r="V120" a="1"/>
  <c r="V120"/>
  <c r="V121" a="1"/>
  <c r="V121"/>
  <c r="V122" a="1"/>
  <c r="V122"/>
  <c r="V123" a="1"/>
  <c r="V123"/>
  <c r="V124" a="1"/>
  <c r="V124"/>
  <c r="V125" a="1"/>
  <c r="V125"/>
  <c r="V126" a="1"/>
  <c r="V126"/>
  <c r="V127" a="1"/>
  <c r="V127"/>
  <c r="V128" a="1"/>
  <c r="V128"/>
  <c r="V129" a="1"/>
  <c r="V129"/>
  <c r="V130" a="1"/>
  <c r="V130"/>
  <c r="V131" a="1"/>
  <c r="V131"/>
  <c r="V132" a="1"/>
  <c r="V132"/>
  <c r="V133" a="1"/>
  <c r="V133"/>
  <c r="V134" a="1"/>
  <c r="V134"/>
  <c r="V135" a="1"/>
  <c r="V135"/>
  <c r="V136" a="1"/>
  <c r="V136"/>
  <c r="V137" a="1"/>
  <c r="V137"/>
  <c r="V138" a="1"/>
  <c r="V138"/>
  <c r="V139" a="1"/>
  <c r="V139"/>
  <c r="V140" a="1"/>
  <c r="V140"/>
  <c r="V141" a="1"/>
  <c r="V141"/>
  <c r="V142" a="1"/>
  <c r="V142"/>
  <c r="V143" a="1"/>
  <c r="V143"/>
  <c r="V144" a="1"/>
  <c r="V144"/>
  <c r="V145" a="1"/>
  <c r="V145"/>
  <c r="V146" a="1"/>
  <c r="V146"/>
  <c r="V147" a="1"/>
  <c r="V147"/>
  <c r="V148" a="1"/>
  <c r="V148"/>
  <c r="V149" a="1"/>
  <c r="V149"/>
  <c r="V150" a="1"/>
  <c r="V150"/>
  <c r="V151" a="1"/>
  <c r="V151"/>
  <c r="V152" a="1"/>
  <c r="V152"/>
  <c r="V153" a="1"/>
  <c r="V153"/>
  <c r="V154" a="1"/>
  <c r="V154"/>
  <c r="V155" a="1"/>
  <c r="V155"/>
  <c r="V156" a="1"/>
  <c r="V156"/>
  <c r="V157" a="1"/>
  <c r="V157"/>
  <c r="V158" a="1"/>
  <c r="V158"/>
  <c r="V159" a="1"/>
  <c r="V159"/>
  <c r="V160" a="1"/>
  <c r="V160"/>
  <c r="V161" a="1"/>
  <c r="V161"/>
  <c r="V162" a="1"/>
  <c r="V162"/>
  <c r="V163" a="1"/>
  <c r="V163"/>
  <c r="V164" a="1"/>
  <c r="V164"/>
  <c r="V165" a="1"/>
  <c r="V165"/>
  <c r="V166" a="1"/>
  <c r="V166"/>
  <c r="V167" a="1"/>
  <c r="V167"/>
  <c r="V168" a="1"/>
  <c r="V168"/>
  <c r="V169" a="1"/>
  <c r="V169"/>
  <c r="V170" a="1"/>
  <c r="V170"/>
  <c r="V171" a="1"/>
  <c r="V171"/>
  <c r="V172" a="1"/>
  <c r="V172"/>
  <c r="V173" a="1"/>
  <c r="V173"/>
  <c r="V174" a="1"/>
  <c r="V174"/>
  <c r="V175" a="1"/>
  <c r="V175"/>
  <c r="V176" a="1"/>
  <c r="V176"/>
  <c r="V177" a="1"/>
  <c r="V177"/>
  <c r="V178" a="1"/>
  <c r="V178"/>
  <c r="V179" a="1"/>
  <c r="V179"/>
  <c r="V180" a="1"/>
  <c r="V180"/>
  <c r="V181" a="1"/>
  <c r="V181"/>
  <c r="V182" a="1"/>
  <c r="V182"/>
  <c r="V183" a="1"/>
  <c r="V183"/>
  <c r="V184" a="1"/>
  <c r="V184"/>
  <c r="V185" a="1"/>
  <c r="V185"/>
  <c r="V186" a="1"/>
  <c r="V186"/>
  <c r="V187" a="1"/>
  <c r="V187"/>
  <c r="V188" a="1"/>
  <c r="V188"/>
  <c r="V189" a="1"/>
  <c r="V189"/>
  <c r="V190" a="1"/>
  <c r="V190"/>
  <c r="V192" a="1"/>
  <c r="V192"/>
  <c r="V193" a="1"/>
  <c r="V193"/>
  <c r="V194" a="1"/>
  <c r="V194"/>
  <c r="V195" a="1"/>
  <c r="V195"/>
  <c r="V196" a="1"/>
  <c r="V196"/>
  <c r="V197" a="1"/>
  <c r="V197"/>
  <c r="V198" a="1"/>
  <c r="V198"/>
  <c r="L199"/>
  <c r="L408"/>
  <c r="I399" l="1"/>
  <c r="I285"/>
  <c r="I287"/>
  <c r="I266"/>
  <c r="I265"/>
  <c r="I252"/>
  <c r="I238"/>
  <c r="I237"/>
  <c r="I191"/>
  <c r="I190"/>
  <c r="I115"/>
  <c r="I78"/>
  <c r="I57"/>
  <c r="I55"/>
  <c r="I28"/>
  <c r="K418" i="519"/>
  <c r="G417"/>
  <c r="G416"/>
  <c r="K209"/>
  <c r="G208"/>
  <c r="G207"/>
  <c r="W27"/>
  <c r="W413"/>
  <c r="Y413"/>
  <c r="W414"/>
  <c r="Y414"/>
  <c r="W415"/>
  <c r="Y415"/>
  <c r="W416"/>
  <c r="Y416"/>
  <c r="W417"/>
  <c r="Y417"/>
  <c r="W418"/>
  <c r="Y418"/>
  <c r="W419"/>
  <c r="Y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4" a="1"/>
  <c r="V194" s="1"/>
  <c r="V195" a="1"/>
  <c r="V195" s="1"/>
  <c r="V196" a="1"/>
  <c r="V196" s="1"/>
  <c r="V197" a="1"/>
  <c r="V197" s="1"/>
  <c r="V198" a="1"/>
  <c r="V198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I199" a="1"/>
  <c r="I199" s="1"/>
  <c r="L408"/>
  <c r="I400"/>
  <c r="I324"/>
  <c r="I307"/>
  <c r="I264"/>
  <c r="I263"/>
  <c r="I236"/>
  <c r="I193"/>
  <c r="I191"/>
  <c r="I170"/>
  <c r="I115"/>
  <c r="I113"/>
  <c r="I98"/>
  <c r="I54"/>
  <c r="I49"/>
  <c r="I27"/>
  <c r="X403" i="517"/>
  <c r="X379"/>
  <c r="X322"/>
  <c r="X308"/>
  <c r="X257"/>
  <c r="X234"/>
  <c r="W403"/>
  <c r="K199" a="1"/>
  <c r="K199" s="1"/>
  <c r="L199"/>
  <c r="L408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P450" i="51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V400" s="1" a="1"/>
  <c r="V400" s="1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P326"/>
  <c r="S326" s="1"/>
  <c r="N326"/>
  <c r="L326"/>
  <c r="V326" s="1" a="1"/>
  <c r="V326" s="1"/>
  <c r="K326"/>
  <c r="R325"/>
  <c r="N325"/>
  <c r="P325" s="1"/>
  <c r="S325" s="1"/>
  <c r="L325"/>
  <c r="K325"/>
  <c r="R324"/>
  <c r="P324"/>
  <c r="N324"/>
  <c r="L324"/>
  <c r="K324"/>
  <c r="R323"/>
  <c r="N323"/>
  <c r="P323" s="1"/>
  <c r="S323" s="1"/>
  <c r="L323"/>
  <c r="K323"/>
  <c r="R322"/>
  <c r="P322"/>
  <c r="S322" s="1"/>
  <c r="N322"/>
  <c r="L322"/>
  <c r="V322" s="1" a="1"/>
  <c r="V322" s="1"/>
  <c r="K322"/>
  <c r="R321"/>
  <c r="N321"/>
  <c r="P321" s="1"/>
  <c r="S321" s="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V309" s="1" a="1"/>
  <c r="V309" s="1"/>
  <c r="K309"/>
  <c r="R308"/>
  <c r="N308"/>
  <c r="P308" s="1"/>
  <c r="S308" s="1"/>
  <c r="L308"/>
  <c r="K308"/>
  <c r="R307"/>
  <c r="P307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P170"/>
  <c r="N170"/>
  <c r="L170"/>
  <c r="V170" s="1" a="1"/>
  <c r="V170" s="1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N99"/>
  <c r="L99"/>
  <c r="V99" s="1" a="1"/>
  <c r="V99" s="1"/>
  <c r="K99"/>
  <c r="R98"/>
  <c r="P98"/>
  <c r="N98"/>
  <c r="L98"/>
  <c r="K98"/>
  <c r="V98" s="1" a="1"/>
  <c r="V98" s="1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S54" s="1"/>
  <c r="N54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V27" s="1" a="1"/>
  <c r="V27" s="1"/>
  <c r="K27"/>
  <c r="R26"/>
  <c r="P26"/>
  <c r="N26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V399" s="1" a="1"/>
  <c r="V399" s="1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P285"/>
  <c r="N285"/>
  <c r="L285"/>
  <c r="K285"/>
  <c r="V285" s="1" a="1"/>
  <c r="V285" s="1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V266" s="1" a="1"/>
  <c r="V266" s="1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V252" s="1" a="1"/>
  <c r="V252" s="1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P238"/>
  <c r="N238"/>
  <c r="L238"/>
  <c r="K238"/>
  <c r="V238" s="1" a="1"/>
  <c r="V238" s="1"/>
  <c r="R237"/>
  <c r="P237"/>
  <c r="N237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V191" s="1" a="1"/>
  <c r="V191" s="1"/>
  <c r="R190"/>
  <c r="P190"/>
  <c r="N190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V115" s="1" a="1"/>
  <c r="V115" s="1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P98"/>
  <c r="N98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N57"/>
  <c r="P57" s="1"/>
  <c r="L57"/>
  <c r="K57"/>
  <c r="V57" s="1" a="1"/>
  <c r="V57" s="1"/>
  <c r="R56"/>
  <c r="N56"/>
  <c r="P56" s="1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S49" s="1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S41" s="1"/>
  <c r="L41"/>
  <c r="K41"/>
  <c r="R40"/>
  <c r="N40"/>
  <c r="P40" s="1"/>
  <c r="L40"/>
  <c r="K40"/>
  <c r="R39"/>
  <c r="N39"/>
  <c r="P39" s="1"/>
  <c r="S39" s="1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S33" s="1"/>
  <c r="L33"/>
  <c r="K33"/>
  <c r="R32"/>
  <c r="N32"/>
  <c r="P32" s="1"/>
  <c r="L32"/>
  <c r="K32"/>
  <c r="R31"/>
  <c r="N31"/>
  <c r="P31" s="1"/>
  <c r="S31" s="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6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P348"/>
  <c r="N348"/>
  <c r="L348"/>
  <c r="V348" s="1" a="1"/>
  <c r="V348" s="1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N286"/>
  <c r="P286" s="1"/>
  <c r="S286" s="1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P251"/>
  <c r="N251"/>
  <c r="L251"/>
  <c r="K251"/>
  <c r="V251" s="1" a="1"/>
  <c r="V251" s="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P238"/>
  <c r="N238"/>
  <c r="L238"/>
  <c r="K238"/>
  <c r="R237"/>
  <c r="N237"/>
  <c r="P237" s="1"/>
  <c r="S237" s="1"/>
  <c r="L237"/>
  <c r="K237"/>
  <c r="R236"/>
  <c r="N236"/>
  <c r="P236" s="1"/>
  <c r="S236" s="1"/>
  <c r="L236"/>
  <c r="K236"/>
  <c r="R235"/>
  <c r="P235"/>
  <c r="S235" s="1"/>
  <c r="N235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N139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L105"/>
  <c r="K105"/>
  <c r="R104"/>
  <c r="N104"/>
  <c r="P104" s="1"/>
  <c r="L104"/>
  <c r="K104"/>
  <c r="R103"/>
  <c r="N103"/>
  <c r="P103" s="1"/>
  <c r="S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L97"/>
  <c r="K97"/>
  <c r="R96"/>
  <c r="N96"/>
  <c r="P96" s="1"/>
  <c r="L96"/>
  <c r="K96"/>
  <c r="R95"/>
  <c r="N95"/>
  <c r="P95" s="1"/>
  <c r="S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L90"/>
  <c r="K90"/>
  <c r="R89"/>
  <c r="N89"/>
  <c r="P89" s="1"/>
  <c r="L89"/>
  <c r="K89"/>
  <c r="R88"/>
  <c r="N88"/>
  <c r="P88" s="1"/>
  <c r="L88"/>
  <c r="K88"/>
  <c r="R87"/>
  <c r="N87"/>
  <c r="P87" s="1"/>
  <c r="S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S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P75"/>
  <c r="S75" s="1"/>
  <c r="N75"/>
  <c r="L75"/>
  <c r="V75" s="1" a="1"/>
  <c r="V75" s="1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S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S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L58"/>
  <c r="K58"/>
  <c r="R57"/>
  <c r="N57"/>
  <c r="P57" s="1"/>
  <c r="L57"/>
  <c r="K57"/>
  <c r="R56"/>
  <c r="P56"/>
  <c r="N56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V29" s="1" a="1"/>
  <c r="V29" s="1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N23"/>
  <c r="P23" s="1"/>
  <c r="S23" s="1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I452" l="1"/>
  <c r="P452"/>
  <c r="K452"/>
  <c r="AA417"/>
  <c r="AA416"/>
  <c r="AA207"/>
  <c r="K434"/>
  <c r="O434" s="1" a="1"/>
  <c r="O434" s="1"/>
  <c r="AA418"/>
  <c r="AA412"/>
  <c r="AA419"/>
  <c r="S348"/>
  <c r="S285"/>
  <c r="S265"/>
  <c r="S251"/>
  <c r="S234"/>
  <c r="S238"/>
  <c r="AA208"/>
  <c r="AA206"/>
  <c r="AA209"/>
  <c r="AA203"/>
  <c r="S139"/>
  <c r="S76"/>
  <c r="S56"/>
  <c r="S42"/>
  <c r="S43"/>
  <c r="V265" a="1"/>
  <c r="V265" s="1"/>
  <c r="V282" a="1"/>
  <c r="V282" s="1"/>
  <c r="V285" a="1"/>
  <c r="V285" s="1"/>
  <c r="V287" a="1"/>
  <c r="V287" s="1"/>
  <c r="V291" a="1"/>
  <c r="V291" s="1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267" a="1"/>
  <c r="V267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P408"/>
  <c r="V231" a="1"/>
  <c r="V231" s="1"/>
  <c r="V232" a="1"/>
  <c r="V232" s="1"/>
  <c r="K433"/>
  <c r="O433" s="1" a="1"/>
  <c r="O433" s="1"/>
  <c r="K432"/>
  <c r="O432" s="1" a="1"/>
  <c r="O432" s="1"/>
  <c r="V139" a="1"/>
  <c r="V139" s="1"/>
  <c r="V43" a="1"/>
  <c r="V43" s="1"/>
  <c r="V31" a="1"/>
  <c r="V31" s="1"/>
  <c r="V35" a="1"/>
  <c r="V35" s="1"/>
  <c r="V42" a="1"/>
  <c r="V42" s="1"/>
  <c r="V45" a="1"/>
  <c r="V45" s="1"/>
  <c r="V53" a="1"/>
  <c r="V53" s="1"/>
  <c r="V56" a="1"/>
  <c r="V56" s="1"/>
  <c r="V99" a="1"/>
  <c r="V99" s="1"/>
  <c r="V115" a="1"/>
  <c r="V115" s="1"/>
  <c r="V79" a="1"/>
  <c r="V79" s="1"/>
  <c r="S80"/>
  <c r="S81"/>
  <c r="S88"/>
  <c r="S89"/>
  <c r="V95" a="1"/>
  <c r="V95" s="1"/>
  <c r="S96"/>
  <c r="S97"/>
  <c r="S104"/>
  <c r="S105"/>
  <c r="V111" a="1"/>
  <c r="V111" s="1"/>
  <c r="S112"/>
  <c r="S113"/>
  <c r="V119" a="1"/>
  <c r="V119" s="1"/>
  <c r="S120"/>
  <c r="S121"/>
  <c r="V127" a="1"/>
  <c r="V127" s="1"/>
  <c r="S128"/>
  <c r="S129"/>
  <c r="V135" a="1"/>
  <c r="V135" s="1"/>
  <c r="S136"/>
  <c r="S137"/>
  <c r="S57"/>
  <c r="V63" a="1"/>
  <c r="V63" s="1"/>
  <c r="S64"/>
  <c r="S65"/>
  <c r="V71" a="1"/>
  <c r="V71" s="1"/>
  <c r="S72"/>
  <c r="S73"/>
  <c r="S58"/>
  <c r="S62"/>
  <c r="S66"/>
  <c r="S70"/>
  <c r="V73" a="1"/>
  <c r="V73" s="1"/>
  <c r="S74"/>
  <c r="V77" a="1"/>
  <c r="V77" s="1"/>
  <c r="S78"/>
  <c r="S82"/>
  <c r="S86"/>
  <c r="V89" a="1"/>
  <c r="V89" s="1"/>
  <c r="S90"/>
  <c r="V93" a="1"/>
  <c r="V93" s="1"/>
  <c r="S94"/>
  <c r="V97" a="1"/>
  <c r="V97" s="1"/>
  <c r="S98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58" a="1"/>
  <c r="V58" s="1"/>
  <c r="V62" a="1"/>
  <c r="V62" s="1"/>
  <c r="V64" a="1"/>
  <c r="V64" s="1"/>
  <c r="V70" a="1"/>
  <c r="V70" s="1"/>
  <c r="R199"/>
  <c r="G424" s="1"/>
  <c r="V54" a="1"/>
  <c r="V54" s="1"/>
  <c r="V44" a="1"/>
  <c r="V44" s="1"/>
  <c r="V50" a="1"/>
  <c r="V50" s="1"/>
  <c r="V52" a="1"/>
  <c r="V52" s="1"/>
  <c r="V30" a="1"/>
  <c r="V30" s="1"/>
  <c r="V32" a="1"/>
  <c r="V32" s="1"/>
  <c r="V34" a="1"/>
  <c r="V34" s="1"/>
  <c r="V36" a="1"/>
  <c r="V36" s="1"/>
  <c r="K199" a="1"/>
  <c r="K199" s="1"/>
  <c r="C423" s="1"/>
  <c r="V26" a="1"/>
  <c r="V26" s="1"/>
  <c r="V28" a="1"/>
  <c r="V28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37" i="518" a="1"/>
  <c r="V237" s="1"/>
  <c r="K434"/>
  <c r="O434" s="1" a="1"/>
  <c r="O434" s="1"/>
  <c r="I452"/>
  <c r="L452"/>
  <c r="K452"/>
  <c r="AA417"/>
  <c r="AA415"/>
  <c r="AA418"/>
  <c r="AA412"/>
  <c r="AA419"/>
  <c r="S399"/>
  <c r="S378"/>
  <c r="S287"/>
  <c r="S285"/>
  <c r="S265"/>
  <c r="S266"/>
  <c r="S252"/>
  <c r="S238"/>
  <c r="S237"/>
  <c r="AA208"/>
  <c r="AA206"/>
  <c r="AA209"/>
  <c r="AA203"/>
  <c r="S169"/>
  <c r="S194"/>
  <c r="S190"/>
  <c r="S191"/>
  <c r="S115"/>
  <c r="S78"/>
  <c r="S98"/>
  <c r="S57"/>
  <c r="S55"/>
  <c r="S28"/>
  <c r="V404" a="1"/>
  <c r="V404" s="1"/>
  <c r="V407" a="1"/>
  <c r="V407" s="1"/>
  <c r="K408" a="1"/>
  <c r="K408" s="1"/>
  <c r="R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S56"/>
  <c r="V33" a="1"/>
  <c r="V33" s="1"/>
  <c r="S34"/>
  <c r="S35"/>
  <c r="V41" a="1"/>
  <c r="V41" s="1"/>
  <c r="S42"/>
  <c r="S43"/>
  <c r="S50"/>
  <c r="S51"/>
  <c r="S32"/>
  <c r="S36"/>
  <c r="S40"/>
  <c r="S44"/>
  <c r="S48"/>
  <c r="S52"/>
  <c r="V28" a="1"/>
  <c r="V28" s="1"/>
  <c r="V31" a="1"/>
  <c r="V31" s="1"/>
  <c r="V35" a="1"/>
  <c r="V35" s="1"/>
  <c r="V43" a="1"/>
  <c r="V43" s="1"/>
  <c r="V51" a="1"/>
  <c r="V51" s="1"/>
  <c r="V54" a="1"/>
  <c r="V54" s="1"/>
  <c r="R199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199" a="1"/>
  <c r="K199" s="1"/>
  <c r="V26" a="1"/>
  <c r="V2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P408"/>
  <c r="K434" i="519"/>
  <c r="O434" s="1" a="1"/>
  <c r="O434" s="1"/>
  <c r="AA417"/>
  <c r="AA415"/>
  <c r="L452"/>
  <c r="K452"/>
  <c r="AA418"/>
  <c r="AA412"/>
  <c r="AA419"/>
  <c r="S378"/>
  <c r="S400"/>
  <c r="S324"/>
  <c r="S307"/>
  <c r="S264"/>
  <c r="S263"/>
  <c r="S236"/>
  <c r="S237"/>
  <c r="AA208"/>
  <c r="AA206"/>
  <c r="AA209"/>
  <c r="AA204"/>
  <c r="S170"/>
  <c r="S169"/>
  <c r="S191"/>
  <c r="S193"/>
  <c r="S115"/>
  <c r="S113"/>
  <c r="S99"/>
  <c r="S98"/>
  <c r="S49"/>
  <c r="S27"/>
  <c r="S26"/>
  <c r="V378" a="1"/>
  <c r="V378" s="1"/>
  <c r="V324" a="1"/>
  <c r="V324" s="1"/>
  <c r="V263" a="1"/>
  <c r="V263" s="1"/>
  <c r="V236" a="1"/>
  <c r="V236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25" a="1"/>
  <c r="V325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08" a="1"/>
  <c r="V308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3" a="1"/>
  <c r="V323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6" a="1"/>
  <c r="V306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34" a="1"/>
  <c r="V234" s="1"/>
  <c r="V235" a="1"/>
  <c r="V235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26" a="1"/>
  <c r="V26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14" a="1"/>
  <c r="V114" s="1"/>
  <c r="V100" a="1"/>
  <c r="V100" s="1"/>
  <c r="V102" a="1"/>
  <c r="V102" s="1"/>
  <c r="V106" a="1"/>
  <c r="V106" s="1"/>
  <c r="V112" a="1"/>
  <c r="V112" s="1"/>
  <c r="R199"/>
  <c r="G424" s="1"/>
  <c r="K199" a="1"/>
  <c r="K199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K434" i="517"/>
  <c r="O434" s="1" a="1"/>
  <c r="O434" s="1"/>
  <c r="K452"/>
  <c r="AA418"/>
  <c r="AA412"/>
  <c r="AA419"/>
  <c r="S379"/>
  <c r="S402"/>
  <c r="S403"/>
  <c r="S322"/>
  <c r="S308"/>
  <c r="S258"/>
  <c r="S257"/>
  <c r="S234"/>
  <c r="S235"/>
  <c r="AA208"/>
  <c r="AA206"/>
  <c r="AA209"/>
  <c r="AA203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V6" i="518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O409" l="1" a="1"/>
  <c r="O409" s="1"/>
  <c r="O409" i="518" a="1"/>
  <c r="O409" s="1"/>
  <c r="C423"/>
  <c r="G424"/>
  <c r="C423" i="519"/>
  <c r="V199" a="1"/>
  <c r="V199" s="1"/>
  <c r="G424" i="517"/>
  <c r="C423"/>
  <c r="O409" a="1"/>
  <c r="O409" s="1"/>
  <c r="O409" i="526" a="1"/>
  <c r="O409" s="1"/>
  <c r="G424"/>
  <c r="O409" i="527" a="1"/>
  <c r="O409" s="1"/>
  <c r="C424" i="526"/>
  <c r="C423" i="527"/>
  <c r="C423" i="524"/>
  <c r="S408" i="525" a="1"/>
  <c r="S408" s="1"/>
  <c r="O200"/>
  <c r="S199" a="1"/>
  <c r="S199" s="1"/>
  <c r="K424"/>
  <c r="G424" i="524"/>
  <c r="C424"/>
  <c r="K424" s="1"/>
  <c r="O409" a="1"/>
  <c r="O409" s="1"/>
  <c r="G424" i="521"/>
  <c r="O409" a="1"/>
  <c r="O409" s="1"/>
  <c r="C423"/>
  <c r="G424" i="520"/>
  <c r="O409" a="1"/>
  <c r="O409" s="1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9"/>
  <c r="K424" s="1"/>
  <c r="O200"/>
  <c r="G423"/>
  <c r="S211" a="1"/>
  <c r="S211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8"/>
  <c r="K424" s="1"/>
  <c r="O200"/>
  <c r="G423"/>
  <c r="S211" a="1"/>
  <c r="S211" s="1"/>
  <c r="M207" a="1"/>
  <c r="M207" s="1"/>
  <c r="M206" a="1"/>
  <c r="M206" s="1"/>
  <c r="V199"/>
  <c r="M209" a="1"/>
  <c r="M209" s="1"/>
  <c r="O424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24" i="518" l="1" a="1"/>
  <c r="S424" s="1"/>
  <c r="K424" i="526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K423"/>
  <c r="G426" a="1"/>
  <c r="G426" s="1"/>
  <c r="G430"/>
  <c r="G427"/>
  <c r="G429" i="518"/>
  <c r="O423"/>
  <c r="K423"/>
  <c r="G426" a="1"/>
  <c r="G426" s="1"/>
  <c r="G430"/>
  <c r="G427"/>
  <c r="G429" i="517"/>
  <c r="O423"/>
  <c r="K423"/>
  <c r="G426" a="1"/>
  <c r="G426" s="1"/>
  <c r="G430"/>
  <c r="G427"/>
  <c r="G429" i="516"/>
  <c r="O423"/>
  <c r="K423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51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G434"/>
  <c r="C434"/>
  <c r="G433"/>
  <c r="C433"/>
  <c r="G432"/>
  <c r="C432"/>
  <c r="C430"/>
  <c r="C429"/>
  <c r="U419"/>
  <c r="Y419" s="1"/>
  <c r="Y419" i="486" s="1"/>
  <c r="S419" i="513"/>
  <c r="W419" s="1"/>
  <c r="W419" i="486" s="1"/>
  <c r="Y418" i="513"/>
  <c r="W418"/>
  <c r="Y417"/>
  <c r="W417"/>
  <c r="Y416"/>
  <c r="W416"/>
  <c r="AA416" s="1"/>
  <c r="K416"/>
  <c r="Y415"/>
  <c r="W415"/>
  <c r="AA415" s="1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V254" s="1" a="1"/>
  <c r="V254" s="1"/>
  <c r="K254"/>
  <c r="R253"/>
  <c r="P253"/>
  <c r="S253" s="1"/>
  <c r="N253"/>
  <c r="L253"/>
  <c r="V253" s="1" a="1"/>
  <c r="V253" s="1"/>
  <c r="K253"/>
  <c r="R252"/>
  <c r="N252"/>
  <c r="P252" s="1"/>
  <c r="S252" s="1"/>
  <c r="L252"/>
  <c r="K252"/>
  <c r="R251"/>
  <c r="P251"/>
  <c r="N251"/>
  <c r="L251"/>
  <c r="V251" s="1" a="1"/>
  <c r="V251" s="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L234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Y210" i="486" s="1"/>
  <c r="S210" i="513"/>
  <c r="W210" s="1"/>
  <c r="W210" i="486" s="1"/>
  <c r="Y209" i="513"/>
  <c r="W209"/>
  <c r="Y208"/>
  <c r="W208"/>
  <c r="Y207"/>
  <c r="W207"/>
  <c r="K207"/>
  <c r="C427" s="1"/>
  <c r="Y206"/>
  <c r="W206"/>
  <c r="AA206" s="1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P136"/>
  <c r="S136" s="1"/>
  <c r="N136"/>
  <c r="L136"/>
  <c r="K136"/>
  <c r="R135"/>
  <c r="N135"/>
  <c r="P135" s="1"/>
  <c r="S135" s="1"/>
  <c r="L135"/>
  <c r="K135"/>
  <c r="R134"/>
  <c r="P134"/>
  <c r="S134" s="1"/>
  <c r="N134"/>
  <c r="L134"/>
  <c r="K134"/>
  <c r="R133"/>
  <c r="N133"/>
  <c r="P133" s="1"/>
  <c r="S133" s="1"/>
  <c r="L133"/>
  <c r="K133"/>
  <c r="R132"/>
  <c r="P132"/>
  <c r="S132" s="1"/>
  <c r="N132"/>
  <c r="L132"/>
  <c r="K132"/>
  <c r="R131"/>
  <c r="N131"/>
  <c r="P131" s="1"/>
  <c r="S131" s="1"/>
  <c r="L131"/>
  <c r="K131"/>
  <c r="R130"/>
  <c r="P130"/>
  <c r="S130" s="1"/>
  <c r="N130"/>
  <c r="L130"/>
  <c r="K130"/>
  <c r="R129"/>
  <c r="N129"/>
  <c r="P129" s="1"/>
  <c r="S129" s="1"/>
  <c r="L129"/>
  <c r="K129"/>
  <c r="R128"/>
  <c r="P128"/>
  <c r="S128" s="1"/>
  <c r="N128"/>
  <c r="L128"/>
  <c r="K128"/>
  <c r="R127"/>
  <c r="N127"/>
  <c r="P127" s="1"/>
  <c r="S127" s="1"/>
  <c r="L127"/>
  <c r="K127"/>
  <c r="R126"/>
  <c r="P126"/>
  <c r="S126" s="1"/>
  <c r="N126"/>
  <c r="L126"/>
  <c r="K126"/>
  <c r="R125"/>
  <c r="N125"/>
  <c r="P125" s="1"/>
  <c r="S125" s="1"/>
  <c r="L125"/>
  <c r="K125"/>
  <c r="R124"/>
  <c r="P124"/>
  <c r="S124" s="1"/>
  <c r="N124"/>
  <c r="L124"/>
  <c r="K124"/>
  <c r="R123"/>
  <c r="N123"/>
  <c r="P123" s="1"/>
  <c r="S123" s="1"/>
  <c r="L123"/>
  <c r="K123"/>
  <c r="R122"/>
  <c r="P122"/>
  <c r="S122" s="1"/>
  <c r="N122"/>
  <c r="L122"/>
  <c r="K122"/>
  <c r="R121"/>
  <c r="N121"/>
  <c r="P121" s="1"/>
  <c r="S121" s="1"/>
  <c r="L121"/>
  <c r="K121"/>
  <c r="R120"/>
  <c r="P120"/>
  <c r="S120" s="1"/>
  <c r="N120"/>
  <c r="L120"/>
  <c r="K120"/>
  <c r="R119"/>
  <c r="N119"/>
  <c r="P119" s="1"/>
  <c r="S119" s="1"/>
  <c r="L119"/>
  <c r="K119"/>
  <c r="R118"/>
  <c r="P118"/>
  <c r="S118" s="1"/>
  <c r="N118"/>
  <c r="L118"/>
  <c r="K118"/>
  <c r="R117"/>
  <c r="N117"/>
  <c r="P117" s="1"/>
  <c r="S117" s="1"/>
  <c r="L117"/>
  <c r="K117"/>
  <c r="R116"/>
  <c r="P116"/>
  <c r="S116" s="1"/>
  <c r="N116"/>
  <c r="L116"/>
  <c r="K116"/>
  <c r="R115"/>
  <c r="N115"/>
  <c r="P115" s="1"/>
  <c r="S115" s="1"/>
  <c r="L115"/>
  <c r="K115"/>
  <c r="R114"/>
  <c r="P114"/>
  <c r="S114" s="1"/>
  <c r="N114"/>
  <c r="L114"/>
  <c r="K114"/>
  <c r="R113"/>
  <c r="N113"/>
  <c r="P113" s="1"/>
  <c r="S113" s="1"/>
  <c r="L113"/>
  <c r="K113"/>
  <c r="R112"/>
  <c r="P112"/>
  <c r="S112" s="1"/>
  <c r="N112"/>
  <c r="L112"/>
  <c r="K112"/>
  <c r="R111"/>
  <c r="N111"/>
  <c r="P111" s="1"/>
  <c r="S111" s="1"/>
  <c r="L111"/>
  <c r="K111"/>
  <c r="R110"/>
  <c r="P110"/>
  <c r="S110" s="1"/>
  <c r="N110"/>
  <c r="L110"/>
  <c r="K110"/>
  <c r="R109"/>
  <c r="N109"/>
  <c r="P109" s="1"/>
  <c r="S109" s="1"/>
  <c r="L109"/>
  <c r="K109"/>
  <c r="R108"/>
  <c r="P108"/>
  <c r="N108"/>
  <c r="L108"/>
  <c r="K108"/>
  <c r="V108" s="1" a="1"/>
  <c r="V108" s="1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P80"/>
  <c r="N80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N57"/>
  <c r="L57"/>
  <c r="K57"/>
  <c r="R56"/>
  <c r="P56"/>
  <c r="S56" s="1"/>
  <c r="N56"/>
  <c r="L56"/>
  <c r="K56"/>
  <c r="R55"/>
  <c r="P55"/>
  <c r="N55"/>
  <c r="L55"/>
  <c r="V55" s="1" a="1"/>
  <c r="V55" s="1"/>
  <c r="K55"/>
  <c r="R54"/>
  <c r="P54"/>
  <c r="S54" s="1"/>
  <c r="N54"/>
  <c r="L54"/>
  <c r="K54"/>
  <c r="R53"/>
  <c r="N53"/>
  <c r="P53" s="1"/>
  <c r="S53" s="1"/>
  <c r="L53"/>
  <c r="K53"/>
  <c r="R52"/>
  <c r="P52"/>
  <c r="S52" s="1"/>
  <c r="N52"/>
  <c r="L52"/>
  <c r="V52" s="1" a="1"/>
  <c r="V52" s="1"/>
  <c r="K52"/>
  <c r="R51"/>
  <c r="N51"/>
  <c r="P51" s="1"/>
  <c r="S51" s="1"/>
  <c r="L51"/>
  <c r="K51"/>
  <c r="R50"/>
  <c r="P50"/>
  <c r="S50" s="1"/>
  <c r="N50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V43" s="1" a="1"/>
  <c r="V43" s="1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P26"/>
  <c r="N26"/>
  <c r="L26"/>
  <c r="V26" s="1" a="1"/>
  <c r="V26" s="1"/>
  <c r="K26"/>
  <c r="R25"/>
  <c r="N25"/>
  <c r="P25" s="1"/>
  <c r="L25"/>
  <c r="K25"/>
  <c r="R24"/>
  <c r="N24"/>
  <c r="P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AA208" i="513" l="1"/>
  <c r="AA207"/>
  <c r="AA205"/>
  <c r="AA417"/>
  <c r="AA414"/>
  <c r="I452"/>
  <c r="E452"/>
  <c r="AA418"/>
  <c r="AA413"/>
  <c r="AA419"/>
  <c r="S346"/>
  <c r="S311"/>
  <c r="S264"/>
  <c r="S251"/>
  <c r="S234"/>
  <c r="K434"/>
  <c r="O434" s="1" a="1"/>
  <c r="O434" s="1"/>
  <c r="AA209"/>
  <c r="AA203"/>
  <c r="S137"/>
  <c r="S80"/>
  <c r="S108"/>
  <c r="S101"/>
  <c r="S57"/>
  <c r="S55"/>
  <c r="S43"/>
  <c r="S42"/>
  <c r="S26"/>
  <c r="S25"/>
  <c r="L199" i="512"/>
  <c r="M208" s="1" a="1"/>
  <c r="M208" s="1"/>
  <c r="S27"/>
  <c r="V311" i="513" a="1"/>
  <c r="V311" s="1"/>
  <c r="V309" a="1"/>
  <c r="V309" s="1"/>
  <c r="V234" a="1"/>
  <c r="V23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K408" a="1"/>
  <c r="K408" s="1"/>
  <c r="K408" i="486" s="1"/>
  <c r="V265" i="513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61" a="1"/>
  <c r="V261" s="1"/>
  <c r="V262" a="1"/>
  <c r="V262" s="1"/>
  <c r="V252" a="1"/>
  <c r="V252" s="1"/>
  <c r="V259" a="1"/>
  <c r="V259" s="1"/>
  <c r="V260" a="1"/>
  <c r="V260" s="1"/>
  <c r="V263" a="1"/>
  <c r="V263" s="1"/>
  <c r="P408"/>
  <c r="P408" i="486" s="1"/>
  <c r="V250" i="513" a="1"/>
  <c r="V250" s="1"/>
  <c r="R408"/>
  <c r="R408" i="486" s="1"/>
  <c r="V235" i="513" a="1"/>
  <c r="V235" s="1"/>
  <c r="V236" a="1"/>
  <c r="V236" s="1"/>
  <c r="V239" a="1"/>
  <c r="V239" s="1"/>
  <c r="V242" a="1"/>
  <c r="V242" s="1"/>
  <c r="V243" a="1"/>
  <c r="V243" s="1"/>
  <c r="V246" a="1"/>
  <c r="V246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V25" a="1"/>
  <c r="V25" s="1"/>
  <c r="V27" a="1"/>
  <c r="V27" s="1"/>
  <c r="V31" a="1"/>
  <c r="V31" s="1"/>
  <c r="V35" a="1"/>
  <c r="V35" s="1"/>
  <c r="V42" a="1"/>
  <c r="V42" s="1"/>
  <c r="V45" a="1"/>
  <c r="V45" s="1"/>
  <c r="V50" a="1"/>
  <c r="V50" s="1"/>
  <c r="V54" a="1"/>
  <c r="V54" s="1"/>
  <c r="S24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51" a="1"/>
  <c r="V51" s="1"/>
  <c r="V53" a="1"/>
  <c r="V53" s="1"/>
  <c r="R199"/>
  <c r="V44" a="1"/>
  <c r="V44" s="1"/>
  <c r="K199" a="1"/>
  <c r="K199" s="1"/>
  <c r="V28" a="1"/>
  <c r="V28" s="1"/>
  <c r="V30" a="1"/>
  <c r="V30" s="1"/>
  <c r="V32" a="1"/>
  <c r="V32" s="1"/>
  <c r="V34" a="1"/>
  <c r="V34" s="1"/>
  <c r="V36" a="1"/>
  <c r="V3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L199" i="51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6"/>
  <c r="V6" i="513" a="1"/>
  <c r="V6" s="1"/>
  <c r="P199"/>
  <c r="P199" i="486" s="1"/>
  <c r="S6" i="513"/>
  <c r="S199" s="1" a="1"/>
  <c r="S199" s="1"/>
  <c r="W200"/>
  <c r="AA210"/>
  <c r="L408"/>
  <c r="L408" i="486" s="1"/>
  <c r="V215" i="513" a="1"/>
  <c r="V215" s="1"/>
  <c r="S215"/>
  <c r="S408" s="1" a="1"/>
  <c r="S408" s="1"/>
  <c r="W409"/>
  <c r="I426" a="1"/>
  <c r="I426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S6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G424" i="513" l="1"/>
  <c r="V199" i="512"/>
  <c r="M207" a="1"/>
  <c r="M207" s="1"/>
  <c r="S199" a="1"/>
  <c r="S199" s="1"/>
  <c r="M209" a="1"/>
  <c r="M209" s="1"/>
  <c r="M206" a="1"/>
  <c r="M206" s="1"/>
  <c r="C423" i="513"/>
  <c r="O409" a="1"/>
  <c r="O409" s="1"/>
  <c r="R199" i="486"/>
  <c r="K199"/>
  <c r="S450" i="51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51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K423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K293"/>
  <c r="R292"/>
  <c r="P292"/>
  <c r="N292"/>
  <c r="L292"/>
  <c r="K292"/>
  <c r="R291"/>
  <c r="P291"/>
  <c r="N291"/>
  <c r="L291"/>
  <c r="K291"/>
  <c r="R290"/>
  <c r="P290"/>
  <c r="N290"/>
  <c r="L290"/>
  <c r="K290"/>
  <c r="R289"/>
  <c r="P289"/>
  <c r="N289"/>
  <c r="L289"/>
  <c r="K289"/>
  <c r="R288"/>
  <c r="P288"/>
  <c r="N288"/>
  <c r="L288"/>
  <c r="K288"/>
  <c r="R287"/>
  <c r="P287"/>
  <c r="N287"/>
  <c r="L287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K279"/>
  <c r="R278"/>
  <c r="P278"/>
  <c r="N278"/>
  <c r="L278"/>
  <c r="K278"/>
  <c r="R277"/>
  <c r="P277"/>
  <c r="N277"/>
  <c r="L277"/>
  <c r="K277"/>
  <c r="R276"/>
  <c r="P276"/>
  <c r="N276"/>
  <c r="L276"/>
  <c r="K276"/>
  <c r="R275"/>
  <c r="P275"/>
  <c r="N275"/>
  <c r="L275"/>
  <c r="K275"/>
  <c r="R274"/>
  <c r="P274"/>
  <c r="N274"/>
  <c r="L274"/>
  <c r="K274"/>
  <c r="R273"/>
  <c r="P273"/>
  <c r="N273"/>
  <c r="L273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N261"/>
  <c r="L261"/>
  <c r="K261"/>
  <c r="R260"/>
  <c r="P260"/>
  <c r="N260"/>
  <c r="L260"/>
  <c r="K260"/>
  <c r="R259"/>
  <c r="P259"/>
  <c r="N259"/>
  <c r="L259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N251"/>
  <c r="L25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K235"/>
  <c r="R234"/>
  <c r="P234"/>
  <c r="N234"/>
  <c r="L234"/>
  <c r="K234"/>
  <c r="R233"/>
  <c r="P233"/>
  <c r="N233"/>
  <c r="L233"/>
  <c r="K233"/>
  <c r="R232"/>
  <c r="P232"/>
  <c r="N232"/>
  <c r="L232"/>
  <c r="K232"/>
  <c r="R231"/>
  <c r="P231"/>
  <c r="N231"/>
  <c r="L231"/>
  <c r="K231"/>
  <c r="R230"/>
  <c r="P230"/>
  <c r="N230"/>
  <c r="L230"/>
  <c r="K230"/>
  <c r="R229"/>
  <c r="P229"/>
  <c r="N229"/>
  <c r="L229"/>
  <c r="K229"/>
  <c r="R228"/>
  <c r="P228"/>
  <c r="N228"/>
  <c r="L228"/>
  <c r="K228"/>
  <c r="R227"/>
  <c r="P227"/>
  <c r="N227"/>
  <c r="L227"/>
  <c r="K227"/>
  <c r="R226"/>
  <c r="P226"/>
  <c r="N226"/>
  <c r="L226"/>
  <c r="K226"/>
  <c r="R225"/>
  <c r="P225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N221"/>
  <c r="L221"/>
  <c r="K221"/>
  <c r="R220"/>
  <c r="P220"/>
  <c r="N220"/>
  <c r="L220"/>
  <c r="K220"/>
  <c r="R219"/>
  <c r="P219"/>
  <c r="N219"/>
  <c r="L219"/>
  <c r="K219"/>
  <c r="R218"/>
  <c r="P218"/>
  <c r="N218"/>
  <c r="L218"/>
  <c r="K218"/>
  <c r="R217"/>
  <c r="P217"/>
  <c r="N217"/>
  <c r="L217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V217" l="1" a="1"/>
  <c r="V217" s="1"/>
  <c r="S219"/>
  <c r="V221" a="1"/>
  <c r="V221" s="1"/>
  <c r="S221"/>
  <c r="S225"/>
  <c r="V227" a="1"/>
  <c r="V227" s="1"/>
  <c r="S227"/>
  <c r="S229"/>
  <c r="V231" a="1"/>
  <c r="V231" s="1"/>
  <c r="S231"/>
  <c r="S233"/>
  <c r="V235" a="1"/>
  <c r="V235" s="1"/>
  <c r="V239" a="1"/>
  <c r="V239" s="1"/>
  <c r="V243" a="1"/>
  <c r="V243" s="1"/>
  <c r="V251" a="1"/>
  <c r="V251" s="1"/>
  <c r="V259" a="1"/>
  <c r="V259" s="1"/>
  <c r="S261"/>
  <c r="V267" a="1"/>
  <c r="V267" s="1"/>
  <c r="V273" a="1"/>
  <c r="V273" s="1"/>
  <c r="S273"/>
  <c r="S275"/>
  <c r="S277"/>
  <c r="V279" a="1"/>
  <c r="V279" s="1"/>
  <c r="V283" a="1"/>
  <c r="V283" s="1"/>
  <c r="V287" a="1"/>
  <c r="V287" s="1"/>
  <c r="S289"/>
  <c r="V291" a="1"/>
  <c r="V291" s="1"/>
  <c r="V293" a="1"/>
  <c r="V293" s="1"/>
  <c r="V299" a="1"/>
  <c r="V299" s="1"/>
  <c r="V303" a="1"/>
  <c r="V303" s="1"/>
  <c r="S251"/>
  <c r="V263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208" i="486"/>
  <c r="G417" i="521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M211" l="1"/>
  <c r="M208" a="1"/>
  <c r="M208" s="1"/>
  <c r="K417"/>
  <c r="G420" s="1"/>
  <c r="M420" l="1"/>
  <c r="C428"/>
  <c r="M417" a="1"/>
  <c r="M417" s="1"/>
  <c r="G428" l="1"/>
  <c r="K430"/>
  <c r="K429"/>
  <c r="C452" i="51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S440" l="1" a="1"/>
  <c r="S440" s="1"/>
  <c r="R440"/>
  <c r="S448" a="1"/>
  <c r="S448" s="1"/>
  <c r="R448"/>
  <c r="S451" a="1"/>
  <c r="S451" s="1"/>
  <c r="R451"/>
  <c r="S449" a="1"/>
  <c r="S449" s="1"/>
  <c r="R449"/>
  <c r="R446"/>
  <c r="S446" a="1"/>
  <c r="S446" s="1"/>
  <c r="S445" a="1"/>
  <c r="S445" s="1"/>
  <c r="R445"/>
  <c r="S447" a="1"/>
  <c r="S447" s="1"/>
  <c r="R447"/>
  <c r="R438"/>
  <c r="S438" a="1"/>
  <c r="S438" s="1"/>
  <c r="S444" a="1"/>
  <c r="S444" s="1"/>
  <c r="R444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C452" i="518" l="1"/>
  <c r="J452" s="1"/>
  <c r="Q452" s="1"/>
  <c r="S452" s="1" a="1"/>
  <c r="S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43"/>
  <c r="J443" s="1"/>
  <c r="Q443" s="1"/>
  <c r="T439" l="1" a="1"/>
  <c r="T439" s="1"/>
  <c r="U445" a="1"/>
  <c r="U445" s="1"/>
  <c r="T447" a="1"/>
  <c r="T447" s="1"/>
  <c r="T445" a="1"/>
  <c r="T445" s="1"/>
  <c r="R444"/>
  <c r="S444" a="1"/>
  <c r="S444" s="1"/>
  <c r="R440"/>
  <c r="S440" a="1"/>
  <c r="S440" s="1"/>
  <c r="S443" a="1"/>
  <c r="S443" s="1"/>
  <c r="R443"/>
  <c r="R447"/>
  <c r="S447" a="1"/>
  <c r="S447" s="1"/>
  <c r="S439" a="1"/>
  <c r="S439" s="1"/>
  <c r="R439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37"/>
  <c r="Q437" s="1"/>
  <c r="J448"/>
  <c r="Q448" s="1"/>
  <c r="T451" a="1"/>
  <c r="T451" s="1"/>
  <c r="U443" a="1"/>
  <c r="U443" s="1"/>
  <c r="T443" a="1"/>
  <c r="T443" s="1"/>
  <c r="T437" a="1"/>
  <c r="T437" s="1"/>
  <c r="T450" a="1"/>
  <c r="T450" s="1"/>
  <c r="U450" a="1"/>
  <c r="U450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U452" a="1"/>
  <c r="U452" s="1"/>
  <c r="T452" a="1"/>
  <c r="T452" s="1"/>
  <c r="J449"/>
  <c r="Q449" s="1"/>
  <c r="R449" l="1"/>
  <c r="S449" a="1"/>
  <c r="S449" s="1"/>
  <c r="R437"/>
  <c r="S437" a="1"/>
  <c r="S437" s="1"/>
  <c r="R441"/>
  <c r="S441" a="1"/>
  <c r="S441" s="1"/>
  <c r="R448"/>
  <c r="S448" a="1"/>
  <c r="S448" s="1"/>
  <c r="R451"/>
  <c r="S451" a="1"/>
  <c r="S451" s="1"/>
  <c r="R452"/>
  <c r="S423" s="1"/>
  <c r="K208"/>
  <c r="G211" s="1"/>
  <c r="M211" l="1"/>
  <c r="M208" a="1"/>
  <c r="M208" s="1"/>
  <c r="K417"/>
  <c r="M420" s="1"/>
  <c r="G420" l="1"/>
  <c r="C428"/>
  <c r="M417" a="1"/>
  <c r="M417" s="1"/>
  <c r="K429" l="1"/>
  <c r="K430"/>
  <c r="G428"/>
  <c r="C452" i="51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T437" s="1" a="1"/>
  <c r="T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7"/>
  <c r="Q447" s="1"/>
  <c r="J438"/>
  <c r="Q438" s="1"/>
  <c r="T451" a="1"/>
  <c r="T451" s="1"/>
  <c r="T445" a="1"/>
  <c r="T445" s="1"/>
  <c r="T443" a="1"/>
  <c r="T443" s="1"/>
  <c r="U437" a="1"/>
  <c r="U437" s="1"/>
  <c r="T450" a="1"/>
  <c r="T450" s="1"/>
  <c r="T444" a="1"/>
  <c r="T444" s="1"/>
  <c r="T438" a="1"/>
  <c r="T438" s="1"/>
  <c r="S447" l="1" a="1"/>
  <c r="S447" s="1"/>
  <c r="R447"/>
  <c r="R444"/>
  <c r="S444" a="1"/>
  <c r="S444" s="1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38"/>
  <c r="S438" a="1"/>
  <c r="S438" s="1"/>
  <c r="R440"/>
  <c r="S440" a="1"/>
  <c r="S440" s="1"/>
  <c r="R448"/>
  <c r="S448" a="1"/>
  <c r="S448" s="1"/>
  <c r="S451" a="1"/>
  <c r="S451" s="1"/>
  <c r="R451"/>
  <c r="S449" a="1"/>
  <c r="S449" s="1"/>
  <c r="R449"/>
  <c r="R446"/>
  <c r="S446" a="1"/>
  <c r="S446" s="1"/>
  <c r="S445" a="1"/>
  <c r="S445" s="1"/>
  <c r="R445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K417" i="513" l="1"/>
  <c r="G420" s="1"/>
  <c r="I417" i="486"/>
  <c r="K417" s="1"/>
  <c r="M420" l="1"/>
  <c r="G420"/>
  <c r="M417" a="1"/>
  <c r="M417" s="1"/>
  <c r="M417" i="513" a="1"/>
  <c r="M417" s="1"/>
  <c r="M420"/>
  <c r="K208"/>
  <c r="G211" s="1"/>
  <c r="I208" i="486"/>
  <c r="K208" s="1"/>
  <c r="G211" l="1"/>
  <c r="C428"/>
  <c r="M208" a="1"/>
  <c r="M208" s="1"/>
  <c r="M211"/>
  <c r="M211" i="513"/>
  <c r="C428"/>
  <c r="M208" a="1"/>
  <c r="M208" s="1"/>
  <c r="G428" l="1"/>
  <c r="K430"/>
  <c r="K429"/>
  <c r="K430" i="486"/>
  <c r="G428"/>
  <c r="K429"/>
  <c r="C452" i="513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T451" s="1" a="1"/>
  <c r="T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45"/>
  <c r="Q445" s="1"/>
  <c r="J450"/>
  <c r="Q450" s="1"/>
  <c r="J446"/>
  <c r="Q446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9"/>
  <c r="Q439" s="1"/>
  <c r="J442"/>
  <c r="Q442" s="1"/>
  <c r="J438"/>
  <c r="Q438" s="1"/>
  <c r="U451" a="1"/>
  <c r="U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R442" l="1"/>
  <c r="S442" a="1"/>
  <c r="S442" s="1"/>
  <c r="R440"/>
  <c r="S440" a="1"/>
  <c r="S440" s="1"/>
  <c r="R448"/>
  <c r="S448" a="1"/>
  <c r="S448" s="1"/>
  <c r="S451" a="1"/>
  <c r="S451" s="1"/>
  <c r="R451"/>
  <c r="R449"/>
  <c r="S449" a="1"/>
  <c r="S449" s="1"/>
  <c r="R450"/>
  <c r="S450" a="1"/>
  <c r="S450" s="1"/>
  <c r="S447" a="1"/>
  <c r="S447" s="1"/>
  <c r="R447"/>
  <c r="R438"/>
  <c r="S438" a="1"/>
  <c r="S438" s="1"/>
  <c r="R439"/>
  <c r="S439" a="1"/>
  <c r="S439" s="1"/>
  <c r="R444"/>
  <c r="S444" a="1"/>
  <c r="S444" s="1"/>
  <c r="S437" a="1"/>
  <c r="S437" s="1"/>
  <c r="R437"/>
  <c r="S441" a="1"/>
  <c r="S441" s="1"/>
  <c r="R441"/>
  <c r="R446"/>
  <c r="S446" a="1"/>
  <c r="S446" s="1"/>
  <c r="R445"/>
  <c r="S445" a="1"/>
  <c r="S445" s="1"/>
  <c r="R452"/>
  <c r="S423" s="1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162.8kg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>144kg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人，跟进机手培训新工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人，卫生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231kg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220kg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卫生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喷码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262kg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<sst xmlns="http://schemas.openxmlformats.org/spreadsheetml/2006/main" count="44177" uniqueCount="335">
  <si>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</si>
  <si>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</si>
  <si>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</si>
  <si>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</si>
  <si>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</si>
  <si>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</si>
  <si>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</si>
  <si>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</si>
  <si>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</si>
  <si>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</si>
  <si>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</si>
  <si>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</si>
  <si>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</si>
  <si>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</si>
  <si>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</si>
  <si>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</si>
  <si>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</si>
  <si>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</si>
  <si>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</si>
  <si>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</si>
  <si>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</si>
  <si>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</si>
  <si>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</si>
  <si>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</si>
  <si>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</si>
  <si>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</si>
  <si>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</si>
  <si>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</si>
  <si>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</si>
  <si>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</si>
  <si>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</si>
  <si>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</si>
  <si>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</si>
  <si>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</si>
  <si>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</si>
  <si>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</si>
  <si>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</si>
  <si>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</si>
  <si>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</si>
  <si>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</si>
  <si>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</si>
  <si>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</si>
  <si>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</si>
  <si>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</si>
  <si>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</si>
  <si>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</si>
  <si>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</si>
  <si>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</si>
  <si>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</si>
  <si>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</si>
  <si>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</si>
  <si>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</si>
  <si>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</si>
  <si>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</si>
  <si>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</si>
  <si>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</si>
  <si>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</si>
  <si>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</si>
  <si>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</si>
  <si>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</si>
  <si>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</si>
  <si>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</si>
  <si>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</si>
  <si>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</si>
  <si>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</si>
  <si>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</si>
  <si>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</si>
  <si>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</si>
  <si>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</si>
  <si>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</si>
  <si>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</si>
  <si>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</si>
  <si>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</si>
  <si>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</si>
  <si>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</si>
  <si>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</si>
  <si>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</si>
  <si>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</si>
  <si>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</si>
  <si>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</si>
  <si>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</si>
  <si>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</si>
  <si>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</si>
  <si>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</si>
  <si>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</si>
  <si>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</si>
  <si>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</si>
  <si>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</si>
  <si>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</si>
  <si>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</si>
  <si>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</si>
  <si>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</si>
  <si>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</si>
  <si>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</si>
  <si>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</si>
  <si>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</si>
  <si>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</si>
  <si>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</si>
  <si>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</si>
  <si>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</si>
  <si>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</si>
  <si>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</si>
  <si>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</si>
  <si>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</si>
  <si>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</si>
  <si>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</si>
  <si>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</si>
  <si>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</si>
  <si>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</si>
  <si>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</si>
  <si>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</si>
  <si>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</si>
  <si>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</si>
  <si>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</si>
  <si>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</si>
  <si>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</si>
  <si>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</si>
  <si>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</si>
  <si>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</si>
  <si>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</si>
  <si>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</si>
  <si>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</si>
  <si>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</si>
  <si>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</si>
  <si>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</si>
  <si>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</si>
  <si>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</si>
  <si>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</si>
  <si>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</si>
  <si>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</si>
  <si>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</si>
  <si>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</si>
  <si>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</si>
  <si>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</si>
  <si>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</si>
  <si>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</si>
  <si>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</si>
  <si>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</si>
  <si>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</si>
  <si>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</si>
  <si>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</si>
  <si>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</si>
  <si>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</si>
  <si>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</si>
  <si>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</si>
  <si>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</si>
  <si>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</si>
  <si>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</si>
  <si>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</si>
  <si>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</si>
  <si>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</si>
  <si>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</si>
  <si>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</si>
  <si>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</si>
  <si>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</si>
  <si>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</si>
  <si>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</si>
  <si>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</si>
  <si>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</si>
  <si>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</si>
  <si>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</si>
  <si>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</si>
  <si>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</si>
  <si>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</si>
  <si>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</si>
  <si>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</si>
  <si>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</si>
  <si>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</si>
  <si>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</si>
  <si>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</si>
  <si>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</si>
  <si>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</si>
  <si>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</si>
  <si>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</si>
  <si>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</si>
  <si>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</si>
  <si>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</si>
  <si>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</si>
  <si>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</si>
  <si>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</si>
  <si>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</si>
  <si>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</si>
  <si>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</si>
  <si>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</si>
  <si>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</si>
  <si>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</si>
  <si>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</si>
  <si>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</si>
  <si>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</si>
  <si>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</si>
  <si>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</si>
  <si>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</si>
  <si>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</si>
  <si>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</si>
  <si>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</si>
  <si>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</si>
  <si>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</si>
  <si>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</si>
  <si>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</si>
  <si>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</si>
  <si>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</si>
  <si>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</si>
  <si>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</si>
  <si>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</si>
  <si>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</si>
  <si>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</si>
  <si>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</si>
  <si>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</si>
  <si>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</si>
  <si>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</si>
  <si>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</si>
  <si>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</si>
  <si>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</si>
  <si>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</si>
  <si>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</si>
  <si>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</si>
  <si>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</si>
  <si>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</si>
  <si>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</si>
  <si>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</si>
  <si>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</si>
  <si>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</si>
  <si>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</si>
  <si>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</si>
  <si>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</si>
  <si>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</si>
  <si>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</si>
  <si>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</si>
  <si>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</si>
  <si>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</si>
  <si>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</si>
  <si>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</si>
  <si>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</si>
  <si>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</si>
  <si>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</si>
  <si>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</si>
  <si>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</si>
  <si>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</si>
  <si>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</si>
  <si>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</si>
  <si>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</si>
  <si>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</si>
  <si>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</si>
  <si>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</si>
  <si>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</si>
  <si>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</si>
  <si>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</si>
  <si>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</si>
  <si>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</si>
  <si>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</si>
  <si>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</si>
  <si>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</si>
  <si>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</si>
  <si>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</si>
  <si>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</si>
  <si>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</si>
  <si>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</si>
  <si>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</si>
  <si>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</si>
  <si>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</si>
  <si>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</si>
  <si>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</si>
  <si>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</si>
  <si>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</si>
  <si>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</si>
  <si>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</si>
  <si>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</si>
  <si>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</si>
  <si>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</si>
  <si>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</si>
  <si>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</si>
  <si>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</si>
  <si>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</si>
  <si>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</si>
  <si>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</si>
  <si>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</si>
  <si>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</si>
  <si>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</si>
  <si>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</si>
  <si>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</si>
  <si>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</si>
  <si>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</si>
  <si>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</si>
  <si>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</si>
  <si>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</si>
  <si>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</si>
  <si>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</si>
  <si>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</si>
  <si>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</si>
  <si>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</si>
  <si>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</si>
  <si>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</si>
  <si>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</si>
  <si>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</si>
  <si>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</si>
  <si>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</si>
  <si>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</si>
  <si>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</si>
  <si>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</si>
  <si>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</si>
  <si>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</si>
  <si>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</si>
  <si>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</si>
  <si>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</si>
  <si>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</si>
  <si>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</si>
  <si>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</si>
  <si>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</si>
  <si>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</si>
  <si>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</si>
  <si>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</si>
  <si>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</si>
  <si>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</si>
  <si>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</si>
  <si>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</si>
  <si>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</si>
  <si>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</si>
  <si>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</si>
  <si>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</si>
  <si>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</si>
  <si>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</si>
  <si>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</si>
  <si>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</si>
  <si>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</si>
  <si>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</si>
  <si>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</si>
  <si>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</si>
  <si>
    <t>1537/1567</t>
    <phoneticPr fontId="26" type="noConversion"/>
  </si>
  <si>
    <t>1571/1598</t>
    <phoneticPr fontId="26" type="noConversion"/>
  </si>
  <si>
    <t>1568/1593</t>
    <phoneticPr fontId="26" type="noConversion"/>
  </si>
  <si>
    <t>3002/3004</t>
    <phoneticPr fontId="26" type="noConversion"/>
  </si>
  <si>
    <t>1594/1622</t>
    <phoneticPr fontId="26" type="noConversion"/>
  </si>
  <si>
    <t>1596/1622</t>
    <phoneticPr fontId="26" type="noConversion"/>
  </si>
  <si>
    <t>1597/1638</t>
    <phoneticPr fontId="26" type="noConversion"/>
  </si>
  <si>
    <t>5001/5003</t>
    <phoneticPr fontId="26" type="noConversion"/>
  </si>
</sst>
</file>

<file path=xl/styles.xml><?xml version="1.0" encoding="utf-8"?>
<styleSheet xmlns="http://schemas.openxmlformats.org/spreadsheetml/2006/main">
  <numFmts count="12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  <numFmt numFmtId="187" formatCode="0.0;_怲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6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7" fontId="6" fillId="0" borderId="2" xfId="0" applyNumberFormat="1" applyFont="1" applyFill="1" applyBorder="1" applyAlignment="1">
      <alignment horizontal="center" vertical="center"/>
    </xf>
    <xf numFmtId="187" fontId="6" fillId="3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56" t="s">
        <v>46</v>
      </c>
      <c r="D20" s="256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56" t="s">
        <v>51</v>
      </c>
      <c r="D25" s="256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56" t="s">
        <v>51</v>
      </c>
      <c r="D26" s="256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56" t="s">
        <v>316</v>
      </c>
      <c r="D75" s="256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56" t="s">
        <v>317</v>
      </c>
      <c r="D78" s="256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56" t="s">
        <v>318</v>
      </c>
      <c r="D99" s="256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56" t="s">
        <v>112</v>
      </c>
      <c r="D101" s="256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67" t="s">
        <v>168</v>
      </c>
      <c r="D187" s="268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67" t="s">
        <v>168</v>
      </c>
      <c r="D190" s="268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56" t="s">
        <v>46</v>
      </c>
      <c r="D229" s="256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56" t="s">
        <v>51</v>
      </c>
      <c r="D235" s="256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56" t="s">
        <v>51</v>
      </c>
      <c r="D236" s="256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56" t="s">
        <v>77</v>
      </c>
      <c r="D267" s="256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67" t="s">
        <v>90</v>
      </c>
      <c r="D283" s="268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56" t="s">
        <v>91</v>
      </c>
      <c r="D284" s="256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56" t="s">
        <v>93</v>
      </c>
      <c r="D285" s="256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56" t="s">
        <v>95</v>
      </c>
      <c r="D286" s="256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56" t="s">
        <v>93</v>
      </c>
      <c r="D287" s="256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56" t="s">
        <v>110</v>
      </c>
      <c r="D307" s="256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56" t="s">
        <v>110</v>
      </c>
      <c r="D308" s="256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56" t="s">
        <v>112</v>
      </c>
      <c r="D309" s="256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56" t="s">
        <v>112</v>
      </c>
      <c r="D310" s="256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69" t="s">
        <v>121</v>
      </c>
      <c r="D322" s="269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69" t="s">
        <v>121</v>
      </c>
      <c r="D323" s="269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69" t="s">
        <v>121</v>
      </c>
      <c r="D324" s="269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70" t="s">
        <v>168</v>
      </c>
      <c r="D396" s="271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70" t="s">
        <v>168</v>
      </c>
      <c r="D397" s="271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67" t="s">
        <v>168</v>
      </c>
      <c r="D398" s="268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67" t="s">
        <v>168</v>
      </c>
      <c r="D399" s="268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67" t="s">
        <v>313</v>
      </c>
      <c r="D14" s="268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56" t="s">
        <v>81</v>
      </c>
      <c r="D63" s="256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256" t="s">
        <v>98</v>
      </c>
      <c r="D82" s="256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56" t="s">
        <v>119</v>
      </c>
      <c r="D111" s="256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56" t="s">
        <v>134</v>
      </c>
      <c r="D138" s="256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67" t="s">
        <v>137</v>
      </c>
      <c r="D139" s="268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67" t="s">
        <v>137</v>
      </c>
      <c r="D140" s="268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0.69420565465705353</v>
      </c>
      <c r="P200" s="282"/>
      <c r="Q200" s="282"/>
      <c r="R200" s="283"/>
      <c r="S200" s="44"/>
      <c r="T200" s="45"/>
      <c r="U200" s="45"/>
      <c r="V200" s="45"/>
      <c r="W200" s="284">
        <f>SUM(W199:AC199)</f>
        <v>16.333333333333336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110.5</v>
      </c>
      <c r="F202" s="287"/>
      <c r="G202" s="287">
        <v>110.5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2033.7</v>
      </c>
      <c r="F203" s="287"/>
      <c r="G203" s="287">
        <v>2484.6999999999998</v>
      </c>
      <c r="H203" s="287"/>
      <c r="I203" s="287">
        <f>G203-E203</f>
        <v>450.99999999999977</v>
      </c>
      <c r="J203" s="287"/>
      <c r="K203" s="289">
        <f t="array" ref="K203">IF(ISERROR(I203/E203),"",I203/E203)</f>
        <v>0.22176328858730382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18</v>
      </c>
      <c r="T203" s="292"/>
      <c r="U203" s="292">
        <v>21</v>
      </c>
      <c r="V203" s="292"/>
      <c r="W203" s="291">
        <f>S203*8</f>
        <v>144</v>
      </c>
      <c r="X203" s="291"/>
      <c r="Y203" s="291">
        <f>U203*8</f>
        <v>168</v>
      </c>
      <c r="Z203" s="291"/>
      <c r="AA203" s="291">
        <f t="shared" ref="AA203:AA210" si="28">Y203-W203</f>
        <v>24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1917</v>
      </c>
      <c r="F204" s="287"/>
      <c r="G204" s="287">
        <v>1917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7</v>
      </c>
      <c r="V204" s="292"/>
      <c r="W204" s="291">
        <f t="shared" ref="W204:W210" si="29">S204*8</f>
        <v>32</v>
      </c>
      <c r="X204" s="291"/>
      <c r="Y204" s="291">
        <f t="shared" ref="Y204:Y210" si="30">U204*8</f>
        <v>56</v>
      </c>
      <c r="Z204" s="291"/>
      <c r="AA204" s="291">
        <f t="shared" si="28"/>
        <v>24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9"/>
        <v>6</v>
      </c>
      <c r="X205" s="291"/>
      <c r="Y205" s="291">
        <f t="shared" si="30"/>
        <v>0</v>
      </c>
      <c r="Z205" s="291"/>
      <c r="AA205" s="291">
        <f t="shared" si="28"/>
        <v>-6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149579</v>
      </c>
      <c r="H206" s="294"/>
      <c r="I206" s="293">
        <v>149482</v>
      </c>
      <c r="J206" s="294"/>
      <c r="K206" s="297">
        <f>G206-I206</f>
        <v>97</v>
      </c>
      <c r="L206" s="297"/>
      <c r="M206" s="298">
        <f t="array" ref="M206">IF(ISERROR(K206/L199),"",K206/(L199/1000))</f>
        <v>7.5314219464393197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9"/>
        <v>6</v>
      </c>
      <c r="X206" s="291"/>
      <c r="Y206" s="291">
        <f t="shared" si="30"/>
        <v>8</v>
      </c>
      <c r="Z206" s="291"/>
      <c r="AA206" s="291">
        <f t="shared" si="28"/>
        <v>2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28578.9*120+44879.9*60</f>
        <v>6122262</v>
      </c>
      <c r="H207" s="294"/>
      <c r="I207" s="293">
        <f>28572.4*120+44873.3*60</f>
        <v>6121086</v>
      </c>
      <c r="J207" s="294"/>
      <c r="K207" s="297">
        <f>G207-I207</f>
        <v>1176</v>
      </c>
      <c r="L207" s="297"/>
      <c r="M207" s="298">
        <f t="array" ref="M207">IF(ISERROR(K207/L199),"",K207/(L199/1000))</f>
        <v>91.308785659924126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9"/>
        <v>12</v>
      </c>
      <c r="X207" s="291"/>
      <c r="Y207" s="291">
        <f t="shared" si="30"/>
        <v>8</v>
      </c>
      <c r="Z207" s="291"/>
      <c r="AA207" s="291">
        <f t="shared" si="28"/>
        <v>-4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+I208+19</f>
        <v>26851</v>
      </c>
      <c r="H208" s="294"/>
      <c r="I208" s="293">
        <v>26832</v>
      </c>
      <c r="J208" s="294"/>
      <c r="K208" s="297">
        <f>G208-I208</f>
        <v>19</v>
      </c>
      <c r="L208" s="297"/>
      <c r="M208" s="301">
        <f t="array" ref="M208">IF(ISERROR(K208/L199),"",K208/(L199/1000))</f>
        <v>1.4752269791994543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9"/>
        <v>8</v>
      </c>
      <c r="X208" s="291"/>
      <c r="Y208" s="291">
        <f t="shared" si="30"/>
        <v>8</v>
      </c>
      <c r="Z208" s="291"/>
      <c r="AA208" s="291">
        <f t="shared" si="28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3.38+2.4/2</f>
        <v>4.58</v>
      </c>
      <c r="L209" s="300"/>
      <c r="M209" s="302">
        <f t="array" ref="M209">IF(ISERROR((K209+K210)/L199),"",((K209+K210)*1000)/(L199/1000))</f>
        <v>355.60734551228956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10</v>
      </c>
      <c r="V209" s="292"/>
      <c r="W209" s="291">
        <f t="shared" si="29"/>
        <v>24</v>
      </c>
      <c r="X209" s="291"/>
      <c r="Y209" s="291">
        <f t="shared" si="30"/>
        <v>80</v>
      </c>
      <c r="Z209" s="291"/>
      <c r="AA209" s="291">
        <f t="shared" si="28"/>
        <v>56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29</v>
      </c>
      <c r="T210" s="292"/>
      <c r="U210" s="292">
        <f>SUM(U203:V209)</f>
        <v>41</v>
      </c>
      <c r="V210" s="292"/>
      <c r="W210" s="291">
        <f t="shared" si="29"/>
        <v>232</v>
      </c>
      <c r="X210" s="291"/>
      <c r="Y210" s="291">
        <f t="shared" si="30"/>
        <v>328</v>
      </c>
      <c r="Z210" s="291"/>
      <c r="AA210" s="291">
        <f t="shared" si="28"/>
        <v>96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4.1484716157205241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39.266384146341473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67" t="s">
        <v>313</v>
      </c>
      <c r="D223" s="268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256" t="s">
        <v>53</v>
      </c>
      <c r="D241" s="256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256" t="s">
        <v>81</v>
      </c>
      <c r="D272" s="256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256" t="s">
        <v>98</v>
      </c>
      <c r="D291" s="256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67" t="s">
        <v>296</v>
      </c>
      <c r="D312" s="268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56" t="s">
        <v>119</v>
      </c>
      <c r="D320" s="256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56" t="s">
        <v>134</v>
      </c>
      <c r="D346" s="256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56" t="s">
        <v>134</v>
      </c>
      <c r="D347" s="256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0.80943176896023061</v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171.5</v>
      </c>
      <c r="F411" s="287"/>
      <c r="G411" s="287">
        <v>171.5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2970.7</v>
      </c>
      <c r="F412" s="287"/>
      <c r="G412" s="287">
        <v>3357.7</v>
      </c>
      <c r="H412" s="287"/>
      <c r="I412" s="287">
        <f>G412-E412</f>
        <v>387</v>
      </c>
      <c r="J412" s="287"/>
      <c r="K412" s="289">
        <f t="array" ref="K412">IF(ISERROR(I412/E412),"",I412/E412)</f>
        <v>0.13027232638772007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19</v>
      </c>
      <c r="T412" s="292"/>
      <c r="U412" s="292">
        <v>20</v>
      </c>
      <c r="V412" s="292"/>
      <c r="W412" s="291">
        <f>S412*11.5</f>
        <v>218.5</v>
      </c>
      <c r="X412" s="291"/>
      <c r="Y412" s="291">
        <f>U412*11.5</f>
        <v>230</v>
      </c>
      <c r="Z412" s="291"/>
      <c r="AA412" s="291">
        <f t="shared" ref="AA412:AA419" si="59">Y412-W412</f>
        <v>11.5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483</v>
      </c>
      <c r="F413" s="287"/>
      <c r="G413" s="287">
        <v>483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5</v>
      </c>
      <c r="V413" s="292"/>
      <c r="W413" s="291">
        <f t="shared" ref="W413:W419" si="60">S413*11.5</f>
        <v>46</v>
      </c>
      <c r="X413" s="291"/>
      <c r="Y413" s="291">
        <f t="shared" ref="Y413:Y419" si="61">U413*11.5</f>
        <v>57.5</v>
      </c>
      <c r="Z413" s="291"/>
      <c r="AA413" s="291">
        <f t="shared" si="59"/>
        <v>11.5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8.625</v>
      </c>
      <c r="X414" s="291"/>
      <c r="Y414" s="291">
        <f t="shared" si="61"/>
        <v>0</v>
      </c>
      <c r="Z414" s="291"/>
      <c r="AA414" s="291">
        <f t="shared" si="59"/>
        <v>-8.625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149747</v>
      </c>
      <c r="H415" s="332"/>
      <c r="I415" s="333">
        <v>149579</v>
      </c>
      <c r="J415" s="334"/>
      <c r="K415" s="297">
        <f>G415-I415</f>
        <v>168</v>
      </c>
      <c r="L415" s="297"/>
      <c r="M415" s="298">
        <f t="array" ref="M415">IF(ISERROR(K415/L408),"",K415/(L408/1000))</f>
        <v>9.2599536877379744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8.625</v>
      </c>
      <c r="X415" s="291"/>
      <c r="Y415" s="291">
        <f t="shared" si="61"/>
        <v>11.5</v>
      </c>
      <c r="Z415" s="291"/>
      <c r="AA415" s="291">
        <f t="shared" si="59"/>
        <v>2.875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44888.2*60+28587.1*120</f>
        <v>6123744</v>
      </c>
      <c r="H416" s="331"/>
      <c r="I416" s="330">
        <v>6122262</v>
      </c>
      <c r="J416" s="331"/>
      <c r="K416" s="297">
        <f>G416-I416</f>
        <v>1482</v>
      </c>
      <c r="L416" s="297"/>
      <c r="M416" s="298">
        <f t="array" ref="M416">IF(ISERROR(K416/L408),"",K416/(L408/1000))</f>
        <v>81.686020031117124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17.25</v>
      </c>
      <c r="X416" s="291"/>
      <c r="Y416" s="291">
        <f t="shared" si="61"/>
        <v>11.5</v>
      </c>
      <c r="Z416" s="291"/>
      <c r="AA416" s="291">
        <f t="shared" si="59"/>
        <v>-5.75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+I417+16</f>
        <v>26867</v>
      </c>
      <c r="H417" s="332"/>
      <c r="I417" s="335">
        <v>26851</v>
      </c>
      <c r="J417" s="336"/>
      <c r="K417" s="297">
        <f>G417-I417</f>
        <v>16</v>
      </c>
      <c r="L417" s="297"/>
      <c r="M417" s="301">
        <f t="array" ref="M417">IF(ISERROR(K417/L408),"",K417/(L408/1000))</f>
        <v>0.88190035121314037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11.5</v>
      </c>
      <c r="X417" s="291"/>
      <c r="Y417" s="291">
        <f t="shared" si="61"/>
        <v>11.5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2.4+2.4/2</f>
        <v>3.5999999999999996</v>
      </c>
      <c r="L418" s="309"/>
      <c r="M418" s="302">
        <f t="array" ref="M418">IF(ISERROR((K418+K419)/L408),"",((K418+K419)*1000)/(L408/1000))</f>
        <v>198.42757902295656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7</v>
      </c>
      <c r="V418" s="292"/>
      <c r="W418" s="291">
        <f t="shared" si="60"/>
        <v>34.5</v>
      </c>
      <c r="X418" s="291"/>
      <c r="Y418" s="291">
        <f t="shared" si="61"/>
        <v>80.5</v>
      </c>
      <c r="Z418" s="291"/>
      <c r="AA418" s="291">
        <f t="shared" si="59"/>
        <v>46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30</v>
      </c>
      <c r="T419" s="292"/>
      <c r="U419" s="292">
        <f>SUM(U412:V418)</f>
        <v>35</v>
      </c>
      <c r="V419" s="292"/>
      <c r="W419" s="291">
        <f t="shared" si="60"/>
        <v>345</v>
      </c>
      <c r="X419" s="291"/>
      <c r="Y419" s="291">
        <f t="shared" si="61"/>
        <v>402.5</v>
      </c>
      <c r="Z419" s="291"/>
      <c r="AA419" s="291">
        <f t="shared" si="59"/>
        <v>57.5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4.4444444444444446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45.074880331262939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32271.840000000004</v>
      </c>
      <c r="D423" s="345"/>
      <c r="E423" s="341" t="s">
        <v>226</v>
      </c>
      <c r="F423" s="341"/>
      <c r="G423" s="341">
        <f>L199+L408</f>
        <v>31022.013333333336</v>
      </c>
      <c r="H423" s="341"/>
      <c r="I423" s="348" t="s">
        <v>227</v>
      </c>
      <c r="J423" s="348"/>
      <c r="K423" s="347">
        <f>IF(ISERROR(G423/C423),"",G423/C423)</f>
        <v>0.96127191177612847</v>
      </c>
      <c r="L423" s="347"/>
      <c r="M423" s="341" t="s">
        <v>228</v>
      </c>
      <c r="N423" s="341"/>
      <c r="O423" s="342">
        <f>IF(ISERROR(G423/G424),"",G423/G424)</f>
        <v>42.264323342415992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554.83081343942581</v>
      </c>
      <c r="D424" s="345"/>
      <c r="E424" s="346" t="s">
        <v>18</v>
      </c>
      <c r="F424" s="346"/>
      <c r="G424" s="341">
        <f>R199+R408</f>
        <v>734</v>
      </c>
      <c r="H424" s="341"/>
      <c r="I424" s="321" t="s">
        <v>176</v>
      </c>
      <c r="J424" s="321"/>
      <c r="K424" s="347">
        <f>IF(ISERROR(C424/G424),"",C424/G424)</f>
        <v>0.75590029078940846</v>
      </c>
      <c r="L424" s="347"/>
      <c r="M424" s="287" t="s">
        <v>230</v>
      </c>
      <c r="N424" s="287"/>
      <c r="O424" s="341">
        <f>W200+W409</f>
        <v>16.333333333333336</v>
      </c>
      <c r="P424" s="287"/>
      <c r="Q424" s="287" t="s">
        <v>231</v>
      </c>
      <c r="R424" s="287"/>
      <c r="S424" s="347">
        <f t="array" ref="S424">IF(ISERROR(O424/G424),"",O424/G424)</f>
        <v>2.2252497729336969E-2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265</v>
      </c>
      <c r="D426" s="345"/>
      <c r="E426" s="341" t="s">
        <v>234</v>
      </c>
      <c r="F426" s="341"/>
      <c r="G426" s="301">
        <f t="array" ref="G426">IF(ISERROR(C426/G423),"",C426/(G423/1000))</f>
        <v>8.5423211302425663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2658</v>
      </c>
      <c r="D427" s="345"/>
      <c r="E427" s="341" t="s">
        <v>236</v>
      </c>
      <c r="F427" s="341"/>
      <c r="G427" s="301">
        <f>IF(ISERROR(C427/G423),"",C427/(G423/1000))</f>
        <v>85.681092695036767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35</v>
      </c>
      <c r="D428" s="345"/>
      <c r="E428" s="341" t="s">
        <v>238</v>
      </c>
      <c r="F428" s="341"/>
      <c r="G428" s="301">
        <f>IF(ISERROR(C428/G423),"",C428/(G423/1000))</f>
        <v>1.1282310926735466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8.18</v>
      </c>
      <c r="D429" s="345"/>
      <c r="E429" s="341" t="s">
        <v>240</v>
      </c>
      <c r="F429" s="341"/>
      <c r="G429" s="349">
        <f>IF(ISERROR(C429/G423),"",C429/(G423/1000))</f>
        <v>0.26368372394484602</v>
      </c>
      <c r="H429" s="349"/>
      <c r="I429" s="341" t="s">
        <v>241</v>
      </c>
      <c r="J429" s="341"/>
      <c r="K429" s="350">
        <f>IF(ISERROR(C428/C429),"",C428/C429)</f>
        <v>4.2787286063569683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282</v>
      </c>
      <c r="D432" s="354"/>
      <c r="E432" s="341" t="s">
        <v>247</v>
      </c>
      <c r="F432" s="359"/>
      <c r="G432" s="355">
        <f>+G411+G202</f>
        <v>282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5004.3999999999996</v>
      </c>
      <c r="D433" s="354"/>
      <c r="E433" s="341" t="s">
        <v>251</v>
      </c>
      <c r="F433" s="341"/>
      <c r="G433" s="355">
        <f>+G412+G203</f>
        <v>5842.4</v>
      </c>
      <c r="H433" s="356"/>
      <c r="I433" s="341" t="s">
        <v>252</v>
      </c>
      <c r="J433" s="341"/>
      <c r="K433" s="323">
        <f>G433-C433</f>
        <v>838</v>
      </c>
      <c r="L433" s="325"/>
      <c r="M433" s="357" t="s">
        <v>253</v>
      </c>
      <c r="N433" s="358"/>
      <c r="O433" s="351">
        <f t="array" ref="O433">IF(ISERROR(K433/C433),"",K433/C433)</f>
        <v>0.16745264167532573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2400</v>
      </c>
      <c r="D434" s="354"/>
      <c r="E434" s="341" t="s">
        <v>255</v>
      </c>
      <c r="F434" s="359"/>
      <c r="G434" s="355">
        <f>+G413+G204</f>
        <v>2400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4</v>
      </c>
      <c r="I450" s="69">
        <f t="shared" si="69"/>
        <v>0</v>
      </c>
      <c r="J450" s="85">
        <f t="shared" si="63"/>
        <v>36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2</v>
      </c>
      <c r="P450" s="69">
        <f t="shared" si="70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256" t="s">
        <v>53</v>
      </c>
      <c r="D30" s="256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256" t="s">
        <v>53</v>
      </c>
      <c r="D32" s="256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56" t="s">
        <v>81</v>
      </c>
      <c r="D62" s="256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56" t="s">
        <v>81</v>
      </c>
      <c r="D63" s="256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67" t="s">
        <v>296</v>
      </c>
      <c r="D103" s="268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67" t="s">
        <v>296</v>
      </c>
      <c r="D104" s="268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56" t="s">
        <v>119</v>
      </c>
      <c r="D111" s="256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56" t="s">
        <v>139</v>
      </c>
      <c r="D141" s="256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0.69941581348958948</v>
      </c>
      <c r="P200" s="282"/>
      <c r="Q200" s="282"/>
      <c r="R200" s="283"/>
      <c r="S200" s="44"/>
      <c r="T200" s="45"/>
      <c r="U200" s="45"/>
      <c r="V200" s="45"/>
      <c r="W200" s="284">
        <f>SUM(W199:AC199)</f>
        <v>4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179</v>
      </c>
      <c r="F202" s="287"/>
      <c r="G202" s="287">
        <v>179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3824.4</v>
      </c>
      <c r="F203" s="287"/>
      <c r="G203" s="287">
        <v>4149.3999999999996</v>
      </c>
      <c r="H203" s="287"/>
      <c r="I203" s="287">
        <f>G203-E203</f>
        <v>324.99999999999955</v>
      </c>
      <c r="J203" s="287"/>
      <c r="K203" s="289">
        <f t="array" ref="K203">IF(ISERROR(I203/E203),"",I203/E203)</f>
        <v>8.4980650559564774E-2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19</v>
      </c>
      <c r="T203" s="292"/>
      <c r="U203" s="292">
        <v>18</v>
      </c>
      <c r="V203" s="292"/>
      <c r="W203" s="291">
        <f t="shared" ref="W203:W210" si="28">S203*11</f>
        <v>209</v>
      </c>
      <c r="X203" s="291"/>
      <c r="Y203" s="291">
        <f t="shared" ref="Y203:Y210" si="29">U203*11</f>
        <v>198</v>
      </c>
      <c r="Z203" s="291"/>
      <c r="AA203" s="291">
        <f t="shared" ref="AA203:AA210" si="30">Y203-W203</f>
        <v>-11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720</v>
      </c>
      <c r="F204" s="287"/>
      <c r="G204" s="287">
        <v>720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7</v>
      </c>
      <c r="V204" s="292"/>
      <c r="W204" s="291">
        <f t="shared" si="28"/>
        <v>44</v>
      </c>
      <c r="X204" s="291"/>
      <c r="Y204" s="291">
        <f t="shared" si="29"/>
        <v>77</v>
      </c>
      <c r="Z204" s="291"/>
      <c r="AA204" s="291">
        <f t="shared" si="30"/>
        <v>33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1</v>
      </c>
      <c r="V205" s="292"/>
      <c r="W205" s="291">
        <f t="shared" si="28"/>
        <v>8.25</v>
      </c>
      <c r="X205" s="291"/>
      <c r="Y205" s="291">
        <f t="shared" si="29"/>
        <v>11</v>
      </c>
      <c r="Z205" s="291"/>
      <c r="AA205" s="291">
        <f t="shared" si="30"/>
        <v>2.75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149859</v>
      </c>
      <c r="H206" s="294"/>
      <c r="I206" s="333">
        <v>149747</v>
      </c>
      <c r="J206" s="334"/>
      <c r="K206" s="297">
        <f>G206-I206</f>
        <v>112</v>
      </c>
      <c r="L206" s="297"/>
      <c r="M206" s="298">
        <f t="array" ref="M206">IF(ISERROR(K206/L199),"",K206/(L199/1000))</f>
        <v>5.2971946939766488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28596.2*120+44896.9*60</f>
        <v>6125358</v>
      </c>
      <c r="H207" s="294"/>
      <c r="I207" s="333">
        <v>6123744</v>
      </c>
      <c r="J207" s="334"/>
      <c r="K207" s="297">
        <f>G207-I207</f>
        <v>1614</v>
      </c>
      <c r="L207" s="297"/>
      <c r="M207" s="298">
        <f t="array" ref="M207">IF(ISERROR(K207/L199),"",K207/(L199/1000))</f>
        <v>76.336359250699203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+I208+17</f>
        <v>26884</v>
      </c>
      <c r="H208" s="294"/>
      <c r="I208" s="293">
        <v>26867</v>
      </c>
      <c r="J208" s="294"/>
      <c r="K208" s="297">
        <f>G208-I208</f>
        <v>17</v>
      </c>
      <c r="L208" s="297"/>
      <c r="M208" s="301">
        <f t="array" ref="M208">IF(ISERROR(K208/L199),"",K208/(L199/1000))</f>
        <v>0.80403848033574132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2.4+2.56</f>
        <v>4.96</v>
      </c>
      <c r="L209" s="300"/>
      <c r="M209" s="302">
        <f t="array" ref="M209">IF(ISERROR((K209+K210)/L199),"",((K209+K210)*1000)/(L199/1000))</f>
        <v>234.59005073325159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14</v>
      </c>
      <c r="V209" s="292"/>
      <c r="W209" s="291">
        <f t="shared" si="28"/>
        <v>33</v>
      </c>
      <c r="X209" s="291"/>
      <c r="Y209" s="291">
        <f t="shared" si="29"/>
        <v>154</v>
      </c>
      <c r="Z209" s="291"/>
      <c r="AA209" s="291">
        <f t="shared" si="30"/>
        <v>121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30</v>
      </c>
      <c r="T210" s="292"/>
      <c r="U210" s="292">
        <f>SUM(U203:V209)</f>
        <v>43</v>
      </c>
      <c r="V210" s="292"/>
      <c r="W210" s="291">
        <f t="shared" si="28"/>
        <v>330</v>
      </c>
      <c r="X210" s="291"/>
      <c r="Y210" s="291">
        <f t="shared" si="29"/>
        <v>473</v>
      </c>
      <c r="Z210" s="291"/>
      <c r="AA210" s="291">
        <f t="shared" si="30"/>
        <v>143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3.4274193548387095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44.700352360817476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256" t="s">
        <v>53</v>
      </c>
      <c r="D239" s="256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256" t="s">
        <v>53</v>
      </c>
      <c r="D240" s="256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67" t="s">
        <v>304</v>
      </c>
      <c r="D247" s="268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67" t="s">
        <v>304</v>
      </c>
      <c r="D249" s="268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256" t="s">
        <v>81</v>
      </c>
      <c r="D271" s="256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67" t="s">
        <v>296</v>
      </c>
      <c r="D313" s="268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67" t="s">
        <v>296</v>
      </c>
      <c r="D314" s="268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56" t="s">
        <v>119</v>
      </c>
      <c r="D320" s="256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56" t="s">
        <v>119</v>
      </c>
      <c r="D321" s="256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56" t="s">
        <v>139</v>
      </c>
      <c r="D350" s="256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0.95981149625607365</v>
      </c>
      <c r="P409" s="282"/>
      <c r="Q409" s="282"/>
      <c r="R409" s="283"/>
      <c r="S409" s="44"/>
      <c r="T409" s="45"/>
      <c r="U409" s="45"/>
      <c r="V409" s="45"/>
      <c r="W409" s="284">
        <f>SUM(W408:AC408)</f>
        <v>2.6666666666666665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181.5</v>
      </c>
      <c r="F411" s="287"/>
      <c r="G411" s="287">
        <v>181.5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4549.5</v>
      </c>
      <c r="F412" s="287"/>
      <c r="G412" s="287">
        <v>4890.5</v>
      </c>
      <c r="H412" s="287"/>
      <c r="I412" s="287">
        <f>G412-E412</f>
        <v>341</v>
      </c>
      <c r="J412" s="287"/>
      <c r="K412" s="289">
        <f t="array" ref="K412">IF(ISERROR(I412/E412),"",I412/E412)</f>
        <v>7.4953291570502248E-2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21</v>
      </c>
      <c r="T412" s="292"/>
      <c r="U412" s="292">
        <v>23</v>
      </c>
      <c r="V412" s="292"/>
      <c r="W412" s="291">
        <f>S412*11.5</f>
        <v>241.5</v>
      </c>
      <c r="X412" s="291"/>
      <c r="Y412" s="291">
        <f>U412*11.5</f>
        <v>264.5</v>
      </c>
      <c r="Z412" s="291"/>
      <c r="AA412" s="291">
        <f t="shared" ref="AA412:AA419" si="59">Y412-W412</f>
        <v>23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927</v>
      </c>
      <c r="F413" s="287"/>
      <c r="G413" s="287">
        <v>927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5</v>
      </c>
      <c r="V413" s="292"/>
      <c r="W413" s="291">
        <f t="shared" ref="W413:W419" si="60">S413*11.5</f>
        <v>46</v>
      </c>
      <c r="X413" s="291"/>
      <c r="Y413" s="291">
        <f t="shared" ref="Y413:Y419" si="61">U413*11.5</f>
        <v>57.5</v>
      </c>
      <c r="Z413" s="291"/>
      <c r="AA413" s="291">
        <f t="shared" si="59"/>
        <v>11.5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8.625</v>
      </c>
      <c r="X414" s="291"/>
      <c r="Y414" s="291">
        <f t="shared" si="61"/>
        <v>0</v>
      </c>
      <c r="Z414" s="291"/>
      <c r="AA414" s="291">
        <f t="shared" si="59"/>
        <v>-8.625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149985</v>
      </c>
      <c r="H415" s="332"/>
      <c r="I415" s="333">
        <v>149859</v>
      </c>
      <c r="J415" s="334"/>
      <c r="K415" s="297">
        <f>G415-I415</f>
        <v>126</v>
      </c>
      <c r="L415" s="297"/>
      <c r="M415" s="298">
        <f t="array" ref="M415">IF(ISERROR(K415/L408),"",K415/(L408/1000))</f>
        <v>4.6934471283180992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8.625</v>
      </c>
      <c r="X415" s="291"/>
      <c r="Y415" s="291">
        <f t="shared" si="61"/>
        <v>11.5</v>
      </c>
      <c r="Z415" s="291"/>
      <c r="AA415" s="291">
        <f t="shared" si="59"/>
        <v>2.875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28605.2*120+44905.4*60</f>
        <v>6126948</v>
      </c>
      <c r="H416" s="331"/>
      <c r="I416" s="330">
        <v>6125358</v>
      </c>
      <c r="J416" s="331"/>
      <c r="K416" s="297">
        <f>G416-I416</f>
        <v>1590</v>
      </c>
      <c r="L416" s="297"/>
      <c r="M416" s="298">
        <f t="array" ref="M416">IF(ISERROR(K416/L408),"",K416/(L408/1000))</f>
        <v>59.226832809728393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17.25</v>
      </c>
      <c r="X416" s="291"/>
      <c r="Y416" s="291">
        <f t="shared" si="61"/>
        <v>11.5</v>
      </c>
      <c r="Z416" s="291"/>
      <c r="AA416" s="291">
        <f t="shared" si="59"/>
        <v>-5.75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+I417+18</f>
        <v>26902</v>
      </c>
      <c r="H417" s="332"/>
      <c r="I417" s="335">
        <v>26884</v>
      </c>
      <c r="J417" s="336"/>
      <c r="K417" s="297">
        <f>G417-I417</f>
        <v>18</v>
      </c>
      <c r="L417" s="297"/>
      <c r="M417" s="301">
        <f t="array" ref="M417">IF(ISERROR(K417/L408),"",K417/(L408/1000))</f>
        <v>0.67049244690258558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11.5</v>
      </c>
      <c r="X417" s="291"/>
      <c r="Y417" s="291">
        <f t="shared" si="61"/>
        <v>11.5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2.56/2+2.56</f>
        <v>3.84</v>
      </c>
      <c r="L418" s="309"/>
      <c r="M418" s="302">
        <f t="array" ref="M418">IF(ISERROR((K418+K419)/L408),"",((K418+K419)*1000)/(L408/1000))</f>
        <v>143.0383886725516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5</v>
      </c>
      <c r="V418" s="292"/>
      <c r="W418" s="291">
        <f t="shared" si="60"/>
        <v>34.5</v>
      </c>
      <c r="X418" s="291"/>
      <c r="Y418" s="291">
        <f t="shared" si="61"/>
        <v>57.5</v>
      </c>
      <c r="Z418" s="291"/>
      <c r="AA418" s="291">
        <f t="shared" si="59"/>
        <v>23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32</v>
      </c>
      <c r="T419" s="292"/>
      <c r="U419" s="292">
        <f>SUM(U412:V418)</f>
        <v>36</v>
      </c>
      <c r="V419" s="292"/>
      <c r="W419" s="291">
        <f t="shared" si="60"/>
        <v>368</v>
      </c>
      <c r="X419" s="291"/>
      <c r="Y419" s="291">
        <f t="shared" si="61"/>
        <v>414</v>
      </c>
      <c r="Z419" s="291"/>
      <c r="AA419" s="291">
        <f t="shared" si="59"/>
        <v>46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4.6875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64.845265700483097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49308.781000000003</v>
      </c>
      <c r="D423" s="345"/>
      <c r="E423" s="341" t="s">
        <v>226</v>
      </c>
      <c r="F423" s="341"/>
      <c r="G423" s="341">
        <f>L199+L408</f>
        <v>47989.206666666665</v>
      </c>
      <c r="H423" s="341"/>
      <c r="I423" s="348" t="s">
        <v>227</v>
      </c>
      <c r="J423" s="348"/>
      <c r="K423" s="347">
        <f>IF(ISERROR(G423/C423),"",G423/C423)</f>
        <v>0.97323855291954309</v>
      </c>
      <c r="L423" s="347"/>
      <c r="M423" s="341" t="s">
        <v>228</v>
      </c>
      <c r="N423" s="341"/>
      <c r="O423" s="342">
        <f>IF(ISERROR(G423/G424),"",G423/G424)</f>
        <v>54.151666290528844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727.41779003358545</v>
      </c>
      <c r="D424" s="345"/>
      <c r="E424" s="346" t="s">
        <v>18</v>
      </c>
      <c r="F424" s="346"/>
      <c r="G424" s="341">
        <f>R199+R408</f>
        <v>886.2</v>
      </c>
      <c r="H424" s="341"/>
      <c r="I424" s="321" t="s">
        <v>176</v>
      </c>
      <c r="J424" s="321"/>
      <c r="K424" s="347">
        <f>IF(ISERROR(C424/G424),"",C424/G424)</f>
        <v>0.82082801854387877</v>
      </c>
      <c r="L424" s="347"/>
      <c r="M424" s="287" t="s">
        <v>230</v>
      </c>
      <c r="N424" s="287"/>
      <c r="O424" s="341">
        <f>W200+W409</f>
        <v>6.6666666666666661</v>
      </c>
      <c r="P424" s="287"/>
      <c r="Q424" s="287" t="s">
        <v>231</v>
      </c>
      <c r="R424" s="287"/>
      <c r="S424" s="347">
        <f t="array" ref="S424">IF(ISERROR(O424/G424),"",O424/G424)</f>
        <v>7.5227563379222139E-3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238</v>
      </c>
      <c r="D426" s="345"/>
      <c r="E426" s="341" t="s">
        <v>234</v>
      </c>
      <c r="F426" s="341"/>
      <c r="G426" s="301">
        <f t="array" ref="G426">IF(ISERROR(C426/G423),"",C426/(G423/1000))</f>
        <v>4.9594485204381371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3204</v>
      </c>
      <c r="D427" s="345"/>
      <c r="E427" s="341" t="s">
        <v>236</v>
      </c>
      <c r="F427" s="341"/>
      <c r="G427" s="301">
        <f>IF(ISERROR(C427/G423),"",C427/(G423/1000))</f>
        <v>66.765012854973918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35</v>
      </c>
      <c r="D428" s="345"/>
      <c r="E428" s="341" t="s">
        <v>238</v>
      </c>
      <c r="F428" s="341"/>
      <c r="G428" s="301">
        <f>IF(ISERROR(C428/G423),"",C428/(G423/1000))</f>
        <v>0.72933066477031427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8.8000000000000007</v>
      </c>
      <c r="D429" s="345"/>
      <c r="E429" s="341" t="s">
        <v>240</v>
      </c>
      <c r="F429" s="341"/>
      <c r="G429" s="349">
        <f>IF(ISERROR(C429/G423),"",C429/(G423/1000))</f>
        <v>0.18337456714225048</v>
      </c>
      <c r="H429" s="349"/>
      <c r="I429" s="341" t="s">
        <v>241</v>
      </c>
      <c r="J429" s="341"/>
      <c r="K429" s="350">
        <f>IF(ISERROR(C428/C429),"",C428/C429)</f>
        <v>3.9772727272727271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360.5</v>
      </c>
      <c r="D432" s="354"/>
      <c r="E432" s="341" t="s">
        <v>247</v>
      </c>
      <c r="F432" s="359"/>
      <c r="G432" s="355">
        <f>+G411+G202</f>
        <v>360.5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8373.9</v>
      </c>
      <c r="D433" s="354"/>
      <c r="E433" s="341" t="s">
        <v>251</v>
      </c>
      <c r="F433" s="341"/>
      <c r="G433" s="355">
        <f>+G412+G203</f>
        <v>9039.9</v>
      </c>
      <c r="H433" s="356"/>
      <c r="I433" s="341" t="s">
        <v>252</v>
      </c>
      <c r="J433" s="341"/>
      <c r="K433" s="323">
        <f>G433-C433</f>
        <v>666</v>
      </c>
      <c r="L433" s="325"/>
      <c r="M433" s="357" t="s">
        <v>253</v>
      </c>
      <c r="N433" s="358"/>
      <c r="O433" s="351">
        <f t="array" ref="O433">IF(ISERROR(K433/C433),"",K433/C433)</f>
        <v>7.9532834163293098E-2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1647</v>
      </c>
      <c r="D434" s="354"/>
      <c r="E434" s="341" t="s">
        <v>255</v>
      </c>
      <c r="F434" s="359"/>
      <c r="G434" s="355">
        <f>+G413+G204</f>
        <v>1647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256" t="s">
        <v>53</v>
      </c>
      <c r="D31" s="256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256" t="s">
        <v>56</v>
      </c>
      <c r="D34" s="256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67" t="s">
        <v>304</v>
      </c>
      <c r="D39" s="268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67" t="s">
        <v>304</v>
      </c>
      <c r="D40" s="268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56" t="s">
        <v>81</v>
      </c>
      <c r="D62" s="256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67" t="s">
        <v>296</v>
      </c>
      <c r="D105" s="268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256" t="s">
        <v>119</v>
      </c>
      <c r="D112" s="256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56" t="s">
        <v>139</v>
      </c>
      <c r="D141" s="256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0.86623405646946927</v>
      </c>
      <c r="P200" s="282"/>
      <c r="Q200" s="282"/>
      <c r="R200" s="283"/>
      <c r="S200" s="44"/>
      <c r="T200" s="45"/>
      <c r="U200" s="45"/>
      <c r="V200" s="45"/>
      <c r="W200" s="284">
        <f>SUM(W199:AC199)</f>
        <v>4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188.5</v>
      </c>
      <c r="F202" s="287"/>
      <c r="G202" s="287">
        <v>188.5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4399.5</v>
      </c>
      <c r="F203" s="287"/>
      <c r="G203" s="287">
        <v>4940.5</v>
      </c>
      <c r="H203" s="287"/>
      <c r="I203" s="287">
        <f>G203-E203</f>
        <v>541</v>
      </c>
      <c r="J203" s="287"/>
      <c r="K203" s="289">
        <f t="array" ref="K203">IF(ISERROR(I203/E203),"",I203/E203)</f>
        <v>0.12296851914990339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23</v>
      </c>
      <c r="T203" s="292"/>
      <c r="U203" s="292">
        <v>26</v>
      </c>
      <c r="V203" s="292"/>
      <c r="W203" s="291">
        <f t="shared" ref="W203:W210" si="28">S203*11</f>
        <v>253</v>
      </c>
      <c r="X203" s="291"/>
      <c r="Y203" s="291">
        <f t="shared" ref="Y203:Y210" si="29">U203*11</f>
        <v>286</v>
      </c>
      <c r="Z203" s="291"/>
      <c r="AA203" s="291">
        <f t="shared" ref="AA203:AA210" si="30">Y203-W203</f>
        <v>33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942</v>
      </c>
      <c r="F204" s="287"/>
      <c r="G204" s="287">
        <v>942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5</v>
      </c>
      <c r="T204" s="292"/>
      <c r="U204" s="292">
        <v>6</v>
      </c>
      <c r="V204" s="292"/>
      <c r="W204" s="291">
        <f t="shared" si="28"/>
        <v>55</v>
      </c>
      <c r="X204" s="291"/>
      <c r="Y204" s="291">
        <f t="shared" si="29"/>
        <v>66</v>
      </c>
      <c r="Z204" s="291"/>
      <c r="AA204" s="291">
        <f t="shared" si="30"/>
        <v>11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1</v>
      </c>
      <c r="V205" s="292"/>
      <c r="W205" s="291">
        <f t="shared" si="28"/>
        <v>8.25</v>
      </c>
      <c r="X205" s="291"/>
      <c r="Y205" s="291">
        <f t="shared" si="29"/>
        <v>11</v>
      </c>
      <c r="Z205" s="291"/>
      <c r="AA205" s="291">
        <f t="shared" si="30"/>
        <v>2.75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150101</v>
      </c>
      <c r="H206" s="294"/>
      <c r="I206" s="333">
        <v>149985</v>
      </c>
      <c r="J206" s="334"/>
      <c r="K206" s="297">
        <f>G206-I206</f>
        <v>116</v>
      </c>
      <c r="L206" s="297"/>
      <c r="M206" s="298">
        <f t="array" ref="M206">IF(ISERROR(K206/L199),"",K206/(L199/1000))</f>
        <v>4.2978975018878325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28614.9*120+44914.8*60</f>
        <v>6128676</v>
      </c>
      <c r="H207" s="294"/>
      <c r="I207" s="333">
        <v>6126948</v>
      </c>
      <c r="J207" s="334"/>
      <c r="K207" s="297">
        <f>G207-I207</f>
        <v>1728</v>
      </c>
      <c r="L207" s="297"/>
      <c r="M207" s="298">
        <f t="array" ref="M207">IF(ISERROR(K207/L199),"",K207/(L199/1000))</f>
        <v>64.023852441915295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+I208+18</f>
        <v>26920</v>
      </c>
      <c r="H208" s="294"/>
      <c r="I208" s="293">
        <v>26902</v>
      </c>
      <c r="J208" s="294"/>
      <c r="K208" s="297">
        <f>G208-I208</f>
        <v>18</v>
      </c>
      <c r="L208" s="297"/>
      <c r="M208" s="301">
        <f t="array" ref="M208">IF(ISERROR(K208/L199),"",K208/(L199/1000))</f>
        <v>0.66691512960328436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2.56+2.4/2</f>
        <v>3.76</v>
      </c>
      <c r="L209" s="300"/>
      <c r="M209" s="302">
        <f t="array" ref="M209">IF(ISERROR((K209+K210)/L199),"",((K209+K210)*1000)/(L199/1000))</f>
        <v>139.31116040601941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3</v>
      </c>
      <c r="V209" s="292"/>
      <c r="W209" s="291">
        <f t="shared" si="28"/>
        <v>33</v>
      </c>
      <c r="X209" s="291"/>
      <c r="Y209" s="291">
        <f t="shared" si="29"/>
        <v>33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35</v>
      </c>
      <c r="T210" s="292"/>
      <c r="U210" s="292">
        <f>SUM(U203:V209)</f>
        <v>39</v>
      </c>
      <c r="V210" s="292"/>
      <c r="W210" s="291">
        <f t="shared" si="28"/>
        <v>385</v>
      </c>
      <c r="X210" s="291"/>
      <c r="Y210" s="291">
        <f t="shared" si="29"/>
        <v>429</v>
      </c>
      <c r="Z210" s="291"/>
      <c r="AA210" s="291">
        <f t="shared" si="30"/>
        <v>44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4.7872340425531918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62.91361538461539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256" t="s">
        <v>56</v>
      </c>
      <c r="D243" s="256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256" t="s">
        <v>56</v>
      </c>
      <c r="D244" s="256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67" t="s">
        <v>301</v>
      </c>
      <c r="D270" s="268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67" t="s">
        <v>114</v>
      </c>
      <c r="D315" s="268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67" t="s">
        <v>114</v>
      </c>
      <c r="D316" s="268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56" t="s">
        <v>119</v>
      </c>
      <c r="D321" s="256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56" t="s">
        <v>139</v>
      </c>
      <c r="D350" s="256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0.86139818606904439</v>
      </c>
      <c r="P409" s="282"/>
      <c r="Q409" s="282"/>
      <c r="R409" s="283"/>
      <c r="S409" s="44"/>
      <c r="T409" s="45"/>
      <c r="U409" s="45"/>
      <c r="V409" s="45"/>
      <c r="W409" s="284">
        <f>SUM(W408:AC408)</f>
        <v>6.5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159.5</v>
      </c>
      <c r="F411" s="287"/>
      <c r="G411" s="287">
        <v>159.5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3516.6</v>
      </c>
      <c r="F412" s="287"/>
      <c r="G412" s="287">
        <v>3776.2</v>
      </c>
      <c r="H412" s="287"/>
      <c r="I412" s="287">
        <f>G412-E412</f>
        <v>259.59999999999991</v>
      </c>
      <c r="J412" s="287"/>
      <c r="K412" s="289">
        <f t="array" ref="K412">IF(ISERROR(I412/E412),"",I412/E412)</f>
        <v>7.38213046692828E-2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24</v>
      </c>
      <c r="T412" s="292"/>
      <c r="U412" s="292">
        <v>28</v>
      </c>
      <c r="V412" s="292"/>
      <c r="W412" s="291">
        <f>S412*11</f>
        <v>264</v>
      </c>
      <c r="X412" s="291"/>
      <c r="Y412" s="291">
        <f>U412*11</f>
        <v>308</v>
      </c>
      <c r="Z412" s="291"/>
      <c r="AA412" s="291">
        <f t="shared" ref="AA412:AA419" si="59">Y412-W412</f>
        <v>44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1605</v>
      </c>
      <c r="F413" s="287"/>
      <c r="G413" s="287">
        <v>1605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4</v>
      </c>
      <c r="V413" s="292"/>
      <c r="W413" s="291">
        <f t="shared" ref="W413:W419" si="60">S413*11</f>
        <v>44</v>
      </c>
      <c r="X413" s="291"/>
      <c r="Y413" s="291">
        <f t="shared" ref="Y413:Y419" si="61">U413*11</f>
        <v>44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1</v>
      </c>
      <c r="V414" s="292"/>
      <c r="W414" s="291">
        <f t="shared" si="60"/>
        <v>8.25</v>
      </c>
      <c r="X414" s="291"/>
      <c r="Y414" s="291">
        <f t="shared" si="61"/>
        <v>11</v>
      </c>
      <c r="Z414" s="291"/>
      <c r="AA414" s="291">
        <f t="shared" si="59"/>
        <v>2.75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150216</v>
      </c>
      <c r="H415" s="332"/>
      <c r="I415" s="333">
        <v>150101</v>
      </c>
      <c r="J415" s="334"/>
      <c r="K415" s="297">
        <f>G415-I415</f>
        <v>115</v>
      </c>
      <c r="L415" s="297"/>
      <c r="M415" s="298">
        <f t="array" ref="M415">IF(ISERROR(K415/L408),"",K415/(L408/1000))</f>
        <v>4.8261790754165599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8.25</v>
      </c>
      <c r="X415" s="291"/>
      <c r="Y415" s="291">
        <f t="shared" si="61"/>
        <v>11</v>
      </c>
      <c r="Z415" s="291"/>
      <c r="AA415" s="291">
        <f t="shared" si="59"/>
        <v>2.75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44923.5*60+28623.2*120</f>
        <v>6130194</v>
      </c>
      <c r="H416" s="331"/>
      <c r="I416" s="330">
        <v>6128676</v>
      </c>
      <c r="J416" s="331"/>
      <c r="K416" s="297">
        <f>G416-I416</f>
        <v>1518</v>
      </c>
      <c r="L416" s="297"/>
      <c r="M416" s="298">
        <f t="array" ref="M416">IF(ISERROR(K416/L408),"",K416/(L408/1000))</f>
        <v>63.705563795498591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2</v>
      </c>
      <c r="V416" s="292"/>
      <c r="W416" s="291">
        <f t="shared" si="60"/>
        <v>16.5</v>
      </c>
      <c r="X416" s="291"/>
      <c r="Y416" s="291">
        <f t="shared" si="61"/>
        <v>22</v>
      </c>
      <c r="Z416" s="291"/>
      <c r="AA416" s="291">
        <f t="shared" si="59"/>
        <v>5.5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+I417+15</f>
        <v>26935</v>
      </c>
      <c r="H417" s="332"/>
      <c r="I417" s="335">
        <v>26920</v>
      </c>
      <c r="J417" s="336"/>
      <c r="K417" s="297">
        <f>G417-I417</f>
        <v>15</v>
      </c>
      <c r="L417" s="297"/>
      <c r="M417" s="301">
        <f t="array" ref="M417">IF(ISERROR(K417/L408),"",K417/(L408/1000))</f>
        <v>0.62950161853259479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</v>
      </c>
      <c r="X417" s="291"/>
      <c r="Y417" s="291">
        <f t="shared" si="61"/>
        <v>11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2.4/2+2.24</f>
        <v>3.4400000000000004</v>
      </c>
      <c r="L418" s="309"/>
      <c r="M418" s="302">
        <f t="array" ref="M418">IF(ISERROR((K418+K419)/L408),"",((K418+K419)*1000)/(L408/1000))</f>
        <v>144.36570451680842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2</v>
      </c>
      <c r="V418" s="292"/>
      <c r="W418" s="291">
        <f t="shared" si="60"/>
        <v>33</v>
      </c>
      <c r="X418" s="291"/>
      <c r="Y418" s="291">
        <f t="shared" si="61"/>
        <v>22</v>
      </c>
      <c r="Z418" s="291"/>
      <c r="AA418" s="291">
        <f t="shared" si="59"/>
        <v>-11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35</v>
      </c>
      <c r="T419" s="292"/>
      <c r="U419" s="292">
        <f>SUM(U412:V418)</f>
        <v>39</v>
      </c>
      <c r="V419" s="292"/>
      <c r="W419" s="291">
        <f t="shared" si="60"/>
        <v>385</v>
      </c>
      <c r="X419" s="291"/>
      <c r="Y419" s="291">
        <f t="shared" si="61"/>
        <v>429</v>
      </c>
      <c r="Z419" s="291"/>
      <c r="AA419" s="291">
        <f t="shared" si="59"/>
        <v>44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4.3604651162790695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55.543995337995341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52594.243999999992</v>
      </c>
      <c r="D423" s="345"/>
      <c r="E423" s="341" t="s">
        <v>226</v>
      </c>
      <c r="F423" s="341"/>
      <c r="G423" s="341">
        <f>L199+L408</f>
        <v>50818.315000000002</v>
      </c>
      <c r="H423" s="341"/>
      <c r="I423" s="348" t="s">
        <v>227</v>
      </c>
      <c r="J423" s="348"/>
      <c r="K423" s="347">
        <f>IF(ISERROR(G423/C423),"",G423/C423)</f>
        <v>0.96623339618685289</v>
      </c>
      <c r="L423" s="347"/>
      <c r="M423" s="341" t="s">
        <v>228</v>
      </c>
      <c r="N423" s="341"/>
      <c r="O423" s="342">
        <f>IF(ISERROR(G423/G424),"",G423/G424)</f>
        <v>60.534026206075048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725.26430637554904</v>
      </c>
      <c r="D424" s="345"/>
      <c r="E424" s="346" t="s">
        <v>18</v>
      </c>
      <c r="F424" s="346"/>
      <c r="G424" s="341">
        <f>R199+R408</f>
        <v>839.5</v>
      </c>
      <c r="H424" s="341"/>
      <c r="I424" s="321" t="s">
        <v>176</v>
      </c>
      <c r="J424" s="321"/>
      <c r="K424" s="347">
        <f>IF(ISERROR(C424/G424),"",C424/G424)</f>
        <v>0.86392412909535321</v>
      </c>
      <c r="L424" s="347"/>
      <c r="M424" s="287" t="s">
        <v>230</v>
      </c>
      <c r="N424" s="287"/>
      <c r="O424" s="341">
        <f>W200+W409</f>
        <v>10.5</v>
      </c>
      <c r="P424" s="287"/>
      <c r="Q424" s="287" t="s">
        <v>231</v>
      </c>
      <c r="R424" s="287"/>
      <c r="S424" s="347">
        <f t="array" ref="S424">IF(ISERROR(O424/G424),"",O424/G424)</f>
        <v>1.2507444907683145E-2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231</v>
      </c>
      <c r="D426" s="345"/>
      <c r="E426" s="341" t="s">
        <v>234</v>
      </c>
      <c r="F426" s="341"/>
      <c r="G426" s="301">
        <f t="array" ref="G426">IF(ISERROR(C426/G423),"",C426/(G423/1000))</f>
        <v>4.5456052606230646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3246</v>
      </c>
      <c r="D427" s="345"/>
      <c r="E427" s="341" t="s">
        <v>236</v>
      </c>
      <c r="F427" s="341"/>
      <c r="G427" s="301">
        <f>IF(ISERROR(C427/G423),"",C427/(G423/1000))</f>
        <v>63.874608986937083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33</v>
      </c>
      <c r="D428" s="345"/>
      <c r="E428" s="341" t="s">
        <v>238</v>
      </c>
      <c r="F428" s="341"/>
      <c r="G428" s="301">
        <f>IF(ISERROR(C428/G423),"",C428/(G423/1000))</f>
        <v>0.64937218008900921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7.2</v>
      </c>
      <c r="D429" s="345"/>
      <c r="E429" s="341" t="s">
        <v>240</v>
      </c>
      <c r="F429" s="341"/>
      <c r="G429" s="349">
        <f>IF(ISERROR(C429/G423),"",C429/(G423/1000))</f>
        <v>0.14168120292851111</v>
      </c>
      <c r="H429" s="349"/>
      <c r="I429" s="341" t="s">
        <v>241</v>
      </c>
      <c r="J429" s="341"/>
      <c r="K429" s="350">
        <f>IF(ISERROR(C428/C429),"",C428/C429)</f>
        <v>4.583333333333333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348</v>
      </c>
      <c r="D432" s="354"/>
      <c r="E432" s="341" t="s">
        <v>247</v>
      </c>
      <c r="F432" s="359"/>
      <c r="G432" s="355">
        <f>+G411+G202</f>
        <v>348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7916.1</v>
      </c>
      <c r="D433" s="354"/>
      <c r="E433" s="341" t="s">
        <v>251</v>
      </c>
      <c r="F433" s="341"/>
      <c r="G433" s="355">
        <f>+G412+G203</f>
        <v>8716.7000000000007</v>
      </c>
      <c r="H433" s="356"/>
      <c r="I433" s="341" t="s">
        <v>252</v>
      </c>
      <c r="J433" s="341"/>
      <c r="K433" s="323">
        <f>G433-C433</f>
        <v>800.60000000000036</v>
      </c>
      <c r="L433" s="325"/>
      <c r="M433" s="357" t="s">
        <v>253</v>
      </c>
      <c r="N433" s="358"/>
      <c r="O433" s="351">
        <f t="array" ref="O433">IF(ISERROR(K433/C433),"",K433/C433)</f>
        <v>0.10113566023673277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2547</v>
      </c>
      <c r="D434" s="354"/>
      <c r="E434" s="341" t="s">
        <v>255</v>
      </c>
      <c r="F434" s="359"/>
      <c r="G434" s="355">
        <f>+G413+G204</f>
        <v>2547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256" t="s">
        <v>56</v>
      </c>
      <c r="D33" s="256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256" t="s">
        <v>56</v>
      </c>
      <c r="D35" s="256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67" t="s">
        <v>68</v>
      </c>
      <c r="D46" s="268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267" t="s">
        <v>301</v>
      </c>
      <c r="D61" s="268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256" t="s">
        <v>316</v>
      </c>
      <c r="D74" s="256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256" t="s">
        <v>316</v>
      </c>
      <c r="D75" s="256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256" t="s">
        <v>317</v>
      </c>
      <c r="D76" s="256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256" t="s">
        <v>317</v>
      </c>
      <c r="D77" s="256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256" t="s">
        <v>317</v>
      </c>
      <c r="D78" s="256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256" t="s">
        <v>98</v>
      </c>
      <c r="D79" s="256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256" t="s">
        <v>98</v>
      </c>
      <c r="D80" s="256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256" t="s">
        <v>98</v>
      </c>
      <c r="D81" s="256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256" t="s">
        <v>98</v>
      </c>
      <c r="D82" s="256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256" t="s">
        <v>98</v>
      </c>
      <c r="D83" s="256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256" t="s">
        <v>100</v>
      </c>
      <c r="D84" s="256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256" t="s">
        <v>100</v>
      </c>
      <c r="D85" s="256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256" t="s">
        <v>100</v>
      </c>
      <c r="D86" s="256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256" t="s">
        <v>100</v>
      </c>
      <c r="D87" s="256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256" t="s">
        <v>106</v>
      </c>
      <c r="D88" s="256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256" t="s">
        <v>106</v>
      </c>
      <c r="D89" s="256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256" t="s">
        <v>106</v>
      </c>
      <c r="D90" s="256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256" t="s">
        <v>106</v>
      </c>
      <c r="D91" s="256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256" t="s">
        <v>107</v>
      </c>
      <c r="D92" s="256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256" t="s">
        <v>107</v>
      </c>
      <c r="D93" s="256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256" t="s">
        <v>107</v>
      </c>
      <c r="D94" s="256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256" t="s">
        <v>107</v>
      </c>
      <c r="D95" s="256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256" t="s">
        <v>107</v>
      </c>
      <c r="D96" s="256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267" t="s">
        <v>109</v>
      </c>
      <c r="D97" s="268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256" t="s">
        <v>318</v>
      </c>
      <c r="D98" s="256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256" t="s">
        <v>318</v>
      </c>
      <c r="D99" s="256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256" t="s">
        <v>112</v>
      </c>
      <c r="D100" s="256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256" t="s">
        <v>112</v>
      </c>
      <c r="D101" s="256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256" t="s">
        <v>112</v>
      </c>
      <c r="D102" s="256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267" t="s">
        <v>296</v>
      </c>
      <c r="D103" s="268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267" t="s">
        <v>296</v>
      </c>
      <c r="D104" s="268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267" t="s">
        <v>296</v>
      </c>
      <c r="D105" s="268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267" t="s">
        <v>114</v>
      </c>
      <c r="D106" s="268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56" t="s">
        <v>139</v>
      </c>
      <c r="D141" s="256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56" t="s">
        <v>312</v>
      </c>
      <c r="D194" s="256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>G194*M194</f>
        <v>3029.4</v>
      </c>
      <c r="L194" s="164">
        <f>I194*M194</f>
        <v>2625.48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10.804444444444444</v>
      </c>
      <c r="Q194" s="164">
        <v>11</v>
      </c>
      <c r="R194" s="19">
        <f>Q194*U194</f>
        <v>55</v>
      </c>
      <c r="S194" s="164">
        <f>R194-P194</f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0.74958620233148388</v>
      </c>
      <c r="P200" s="282"/>
      <c r="Q200" s="282"/>
      <c r="R200" s="283"/>
      <c r="S200" s="44"/>
      <c r="T200" s="45"/>
      <c r="U200" s="45"/>
      <c r="V200" s="45"/>
      <c r="W200" s="284">
        <f>SUM(W199:AC199)</f>
        <v>2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88</v>
      </c>
      <c r="F202" s="287"/>
      <c r="G202" s="287">
        <v>88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3511.5</v>
      </c>
      <c r="F203" s="287"/>
      <c r="G203" s="287">
        <v>3851.5</v>
      </c>
      <c r="H203" s="287"/>
      <c r="I203" s="287">
        <f>G203-E203</f>
        <v>340</v>
      </c>
      <c r="J203" s="287"/>
      <c r="K203" s="289">
        <f t="array" ref="K203">IF(ISERROR(I203/E203),"",I203/E203)</f>
        <v>9.6824718781147665E-2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17</v>
      </c>
      <c r="T203" s="292"/>
      <c r="U203" s="292">
        <v>21</v>
      </c>
      <c r="V203" s="292"/>
      <c r="W203" s="291">
        <f t="shared" ref="W203:W210" si="28">S203*11</f>
        <v>187</v>
      </c>
      <c r="X203" s="291"/>
      <c r="Y203" s="291">
        <f t="shared" ref="Y203:Y210" si="29">U203*11</f>
        <v>231</v>
      </c>
      <c r="Z203" s="291"/>
      <c r="AA203" s="291">
        <f t="shared" ref="AA203:AA210" si="30">Y203-W203</f>
        <v>44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1483</v>
      </c>
      <c r="F204" s="287"/>
      <c r="G204" s="287">
        <v>1483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5</v>
      </c>
      <c r="T204" s="292"/>
      <c r="U204" s="292">
        <v>7</v>
      </c>
      <c r="V204" s="292"/>
      <c r="W204" s="291">
        <f t="shared" si="28"/>
        <v>55</v>
      </c>
      <c r="X204" s="291"/>
      <c r="Y204" s="291">
        <f t="shared" si="29"/>
        <v>77</v>
      </c>
      <c r="Z204" s="291"/>
      <c r="AA204" s="291">
        <f t="shared" si="30"/>
        <v>22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1</v>
      </c>
      <c r="V205" s="292"/>
      <c r="W205" s="291">
        <f t="shared" si="28"/>
        <v>8.25</v>
      </c>
      <c r="X205" s="291"/>
      <c r="Y205" s="291">
        <f t="shared" si="29"/>
        <v>11</v>
      </c>
      <c r="Z205" s="291"/>
      <c r="AA205" s="291">
        <f t="shared" si="30"/>
        <v>2.75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150306</v>
      </c>
      <c r="H206" s="294"/>
      <c r="I206" s="333">
        <v>150216</v>
      </c>
      <c r="J206" s="334"/>
      <c r="K206" s="297">
        <f>G206-I206</f>
        <v>90</v>
      </c>
      <c r="L206" s="297"/>
      <c r="M206" s="298">
        <f t="array" ref="M206">IF(ISERROR(K206/L199),"",K206/(L199/1000))</f>
        <v>3.8869905019227646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28630*120+44932.5*60</f>
        <v>6131550</v>
      </c>
      <c r="H207" s="294"/>
      <c r="I207" s="333">
        <v>6130194</v>
      </c>
      <c r="J207" s="334"/>
      <c r="K207" s="297">
        <f>G207-I207</f>
        <v>1356</v>
      </c>
      <c r="L207" s="297"/>
      <c r="M207" s="298">
        <f t="array" ref="M207">IF(ISERROR(K207/L199),"",K207/(L199/1000))</f>
        <v>58.563990228969651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+I208+13</f>
        <v>26948</v>
      </c>
      <c r="H208" s="294"/>
      <c r="I208" s="293">
        <v>26935</v>
      </c>
      <c r="J208" s="294"/>
      <c r="K208" s="297">
        <f>G208-I208</f>
        <v>13</v>
      </c>
      <c r="L208" s="297"/>
      <c r="M208" s="301">
        <f t="array" ref="M208">IF(ISERROR(K208/L199),"",K208/(L199/1000))</f>
        <v>0.56145418361106603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2.08+1.26/2</f>
        <v>2.71</v>
      </c>
      <c r="L209" s="300"/>
      <c r="M209" s="302">
        <f t="array" ref="M209">IF(ISERROR((K209+K210)/L199),"",((K209+K210)*1000)/(L199/1000))</f>
        <v>117.04160289122991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9</v>
      </c>
      <c r="V209" s="292"/>
      <c r="W209" s="291">
        <f t="shared" si="28"/>
        <v>33</v>
      </c>
      <c r="X209" s="291"/>
      <c r="Y209" s="291">
        <f t="shared" si="29"/>
        <v>99</v>
      </c>
      <c r="Z209" s="291"/>
      <c r="AA209" s="291">
        <f t="shared" si="30"/>
        <v>66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29</v>
      </c>
      <c r="T210" s="292"/>
      <c r="U210" s="292">
        <f>SUM(U203:V209)</f>
        <v>41</v>
      </c>
      <c r="V210" s="292"/>
      <c r="W210" s="291">
        <f t="shared" si="28"/>
        <v>319</v>
      </c>
      <c r="X210" s="291"/>
      <c r="Y210" s="291">
        <f t="shared" si="29"/>
        <v>451</v>
      </c>
      <c r="Z210" s="291"/>
      <c r="AA210" s="291">
        <f t="shared" si="30"/>
        <v>132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4.7970479704797047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51.339600886917957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256" t="s">
        <v>56</v>
      </c>
      <c r="D242" s="256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256" t="s">
        <v>56</v>
      </c>
      <c r="D245" s="256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67" t="s">
        <v>68</v>
      </c>
      <c r="D255" s="268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67" t="s">
        <v>68</v>
      </c>
      <c r="D256" s="268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256" t="s">
        <v>316</v>
      </c>
      <c r="D283" s="256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256" t="s">
        <v>98</v>
      </c>
      <c r="D288" s="256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56" t="s">
        <v>139</v>
      </c>
      <c r="D350" s="256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96"/>
      <c r="H400" s="196"/>
      <c r="I400" s="196"/>
      <c r="J400" s="196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96"/>
      <c r="H401" s="196"/>
      <c r="I401" s="196"/>
      <c r="J401" s="196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96"/>
      <c r="H402" s="196"/>
      <c r="I402" s="196"/>
      <c r="J402" s="196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56" t="s">
        <v>312</v>
      </c>
      <c r="D403" s="256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>G403*M403</f>
        <v>3029.4</v>
      </c>
      <c r="L403" s="164">
        <f>I403*M403</f>
        <v>2872.32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11.820246913580245</v>
      </c>
      <c r="Q403" s="164">
        <v>11.5</v>
      </c>
      <c r="R403" s="19">
        <f>Q403*U403</f>
        <v>69</v>
      </c>
      <c r="S403" s="164">
        <f>R403-P403</f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96"/>
      <c r="H404" s="196"/>
      <c r="I404" s="196"/>
      <c r="J404" s="196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0.8246545006911008</v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72</v>
      </c>
      <c r="F411" s="287"/>
      <c r="G411" s="287">
        <v>72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3922.2</v>
      </c>
      <c r="F412" s="287"/>
      <c r="G412" s="287">
        <v>4142.2</v>
      </c>
      <c r="H412" s="287"/>
      <c r="I412" s="287">
        <f>G412-E412</f>
        <v>220</v>
      </c>
      <c r="J412" s="287"/>
      <c r="K412" s="289">
        <f t="array" ref="K412">IF(ISERROR(I412/E412),"",I412/E412)</f>
        <v>5.6090969353934018E-2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17</v>
      </c>
      <c r="T412" s="292"/>
      <c r="U412" s="292">
        <v>22</v>
      </c>
      <c r="V412" s="292"/>
      <c r="W412" s="291">
        <f>S412*11.5</f>
        <v>195.5</v>
      </c>
      <c r="X412" s="291"/>
      <c r="Y412" s="291">
        <f>U412*11.5</f>
        <v>253</v>
      </c>
      <c r="Z412" s="291"/>
      <c r="AA412" s="291">
        <f t="shared" ref="AA412:AA419" si="59">Y412-W412</f>
        <v>57.5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663</v>
      </c>
      <c r="F413" s="287"/>
      <c r="G413" s="287">
        <v>663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5</v>
      </c>
      <c r="T413" s="292"/>
      <c r="U413" s="292">
        <v>5</v>
      </c>
      <c r="V413" s="292"/>
      <c r="W413" s="291">
        <f t="shared" ref="W413:W419" si="60">S413*11.5</f>
        <v>57.5</v>
      </c>
      <c r="X413" s="291"/>
      <c r="Y413" s="291">
        <f t="shared" ref="Y413:Y419" si="61">U413*11.5</f>
        <v>57.5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2</v>
      </c>
      <c r="V414" s="292"/>
      <c r="W414" s="291">
        <f t="shared" si="60"/>
        <v>8.625</v>
      </c>
      <c r="X414" s="291"/>
      <c r="Y414" s="291">
        <f t="shared" si="61"/>
        <v>23</v>
      </c>
      <c r="Z414" s="291"/>
      <c r="AA414" s="291">
        <f t="shared" si="59"/>
        <v>14.375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150386</v>
      </c>
      <c r="H415" s="332"/>
      <c r="I415" s="333">
        <v>150306</v>
      </c>
      <c r="J415" s="334"/>
      <c r="K415" s="297">
        <f>G415-I415</f>
        <v>80</v>
      </c>
      <c r="L415" s="297"/>
      <c r="M415" s="298">
        <f t="array" ref="M415">IF(ISERROR(K415/L408),"",K415/(L408/1000))</f>
        <v>3.747197338954575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8.625</v>
      </c>
      <c r="X415" s="291"/>
      <c r="Y415" s="291">
        <f t="shared" si="61"/>
        <v>11.5</v>
      </c>
      <c r="Z415" s="291"/>
      <c r="AA415" s="291">
        <f t="shared" si="59"/>
        <v>2.875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28637.6*120+44944*60</f>
        <v>6133152</v>
      </c>
      <c r="H416" s="331"/>
      <c r="I416" s="330">
        <v>6131550</v>
      </c>
      <c r="J416" s="331"/>
      <c r="K416" s="297">
        <f>G416-I416</f>
        <v>1602</v>
      </c>
      <c r="L416" s="297"/>
      <c r="M416" s="298">
        <f t="array" ref="M416">IF(ISERROR(K416/L408),"",K416/(L408/1000))</f>
        <v>75.03762671256537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17.25</v>
      </c>
      <c r="X416" s="291"/>
      <c r="Y416" s="291">
        <f t="shared" si="61"/>
        <v>11.5</v>
      </c>
      <c r="Z416" s="291"/>
      <c r="AA416" s="291">
        <f t="shared" si="59"/>
        <v>-5.75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+I417+14</f>
        <v>26962</v>
      </c>
      <c r="H417" s="332"/>
      <c r="I417" s="335">
        <v>26948</v>
      </c>
      <c r="J417" s="336"/>
      <c r="K417" s="297">
        <f>G417-I417</f>
        <v>14</v>
      </c>
      <c r="L417" s="297"/>
      <c r="M417" s="301">
        <f t="array" ref="M417">IF(ISERROR(K417/L408),"",K417/(L408/1000))</f>
        <v>0.65575953431705059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11.5</v>
      </c>
      <c r="X417" s="291"/>
      <c r="Y417" s="291">
        <f t="shared" si="61"/>
        <v>11.5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1.26/2+2.24</f>
        <v>2.87</v>
      </c>
      <c r="L418" s="309"/>
      <c r="M418" s="302">
        <f t="array" ref="M418">IF(ISERROR((K418+K419)/L408),"",((K418+K419)*1000)/(L408/1000))</f>
        <v>134.43070453499539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5</v>
      </c>
      <c r="V418" s="292"/>
      <c r="W418" s="291">
        <f t="shared" si="60"/>
        <v>34.5</v>
      </c>
      <c r="X418" s="291"/>
      <c r="Y418" s="291">
        <f t="shared" si="61"/>
        <v>57.5</v>
      </c>
      <c r="Z418" s="291"/>
      <c r="AA418" s="291">
        <f t="shared" si="59"/>
        <v>23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29</v>
      </c>
      <c r="T419" s="292"/>
      <c r="U419" s="292">
        <f>SUM(U412:V418)</f>
        <v>37</v>
      </c>
      <c r="V419" s="292"/>
      <c r="W419" s="291">
        <f t="shared" si="60"/>
        <v>333.5</v>
      </c>
      <c r="X419" s="291"/>
      <c r="Y419" s="291">
        <f t="shared" si="61"/>
        <v>425.5</v>
      </c>
      <c r="Z419" s="291"/>
      <c r="AA419" s="291">
        <f t="shared" si="59"/>
        <v>92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4.8780487804878048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50.174592915897264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45942.070000000007</v>
      </c>
      <c r="D423" s="345"/>
      <c r="E423" s="341" t="s">
        <v>226</v>
      </c>
      <c r="F423" s="341"/>
      <c r="G423" s="341">
        <f>L199+L408</f>
        <v>44503.44928571429</v>
      </c>
      <c r="H423" s="341"/>
      <c r="I423" s="348" t="s">
        <v>227</v>
      </c>
      <c r="J423" s="348"/>
      <c r="K423" s="347">
        <f>IF(ISERROR(G423/C423),"",G423/C423)</f>
        <v>0.96868620168212449</v>
      </c>
      <c r="L423" s="347"/>
      <c r="M423" s="341" t="s">
        <v>228</v>
      </c>
      <c r="N423" s="341"/>
      <c r="O423" s="342">
        <f>IF(ISERROR(G423/G424),"",G423/G424)</f>
        <v>56.764603680758022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615.3007164242224</v>
      </c>
      <c r="D424" s="345"/>
      <c r="E424" s="346" t="s">
        <v>18</v>
      </c>
      <c r="F424" s="346"/>
      <c r="G424" s="341">
        <f>R199+R408</f>
        <v>784</v>
      </c>
      <c r="H424" s="341"/>
      <c r="I424" s="321" t="s">
        <v>176</v>
      </c>
      <c r="J424" s="321"/>
      <c r="K424" s="347">
        <f>IF(ISERROR(C424/G424),"",C424/G424)</f>
        <v>0.78482234237783466</v>
      </c>
      <c r="L424" s="347"/>
      <c r="M424" s="287" t="s">
        <v>230</v>
      </c>
      <c r="N424" s="287"/>
      <c r="O424" s="341">
        <f>W200+W409</f>
        <v>2</v>
      </c>
      <c r="P424" s="287"/>
      <c r="Q424" s="287" t="s">
        <v>231</v>
      </c>
      <c r="R424" s="287"/>
      <c r="S424" s="347">
        <f t="array" ref="S424">IF(ISERROR(O424/G424),"",O424/G424)</f>
        <v>2.5510204081632651E-3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170</v>
      </c>
      <c r="D426" s="345"/>
      <c r="E426" s="341" t="s">
        <v>234</v>
      </c>
      <c r="F426" s="341"/>
      <c r="G426" s="301">
        <f t="array" ref="G426">IF(ISERROR(C426/G423),"",C426/(G423/1000))</f>
        <v>3.8199286286461036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2958</v>
      </c>
      <c r="D427" s="345"/>
      <c r="E427" s="341" t="s">
        <v>236</v>
      </c>
      <c r="F427" s="341"/>
      <c r="G427" s="301">
        <f>IF(ISERROR(C427/G423),"",C427/(G423/1000))</f>
        <v>66.466758138442202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27</v>
      </c>
      <c r="D428" s="345"/>
      <c r="E428" s="341" t="s">
        <v>238</v>
      </c>
      <c r="F428" s="341"/>
      <c r="G428" s="301">
        <f>IF(ISERROR(C428/G423),"",C428/(G423/1000))</f>
        <v>0.60669454690261648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5.58</v>
      </c>
      <c r="D429" s="345"/>
      <c r="E429" s="341" t="s">
        <v>240</v>
      </c>
      <c r="F429" s="341"/>
      <c r="G429" s="349">
        <f>IF(ISERROR(C429/G423),"",C429/(G423/1000))</f>
        <v>0.1253835396932074</v>
      </c>
      <c r="H429" s="349"/>
      <c r="I429" s="341" t="s">
        <v>241</v>
      </c>
      <c r="J429" s="341"/>
      <c r="K429" s="350">
        <f>IF(ISERROR(C428/C429),"",C428/C429)</f>
        <v>4.838709677419355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160</v>
      </c>
      <c r="D432" s="354"/>
      <c r="E432" s="341" t="s">
        <v>247</v>
      </c>
      <c r="F432" s="359"/>
      <c r="G432" s="355">
        <f>+G411+G202</f>
        <v>160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7433.7</v>
      </c>
      <c r="D433" s="354"/>
      <c r="E433" s="341" t="s">
        <v>251</v>
      </c>
      <c r="F433" s="341"/>
      <c r="G433" s="355">
        <f>+G412+G203</f>
        <v>7993.7</v>
      </c>
      <c r="H433" s="356"/>
      <c r="I433" s="341" t="s">
        <v>252</v>
      </c>
      <c r="J433" s="341"/>
      <c r="K433" s="323">
        <f>G433-C433</f>
        <v>560</v>
      </c>
      <c r="L433" s="325"/>
      <c r="M433" s="357" t="s">
        <v>253</v>
      </c>
      <c r="N433" s="358"/>
      <c r="O433" s="351">
        <f t="array" ref="O433">IF(ISERROR(K433/C433),"",K433/C433)</f>
        <v>7.5332606911766686E-2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2146</v>
      </c>
      <c r="D434" s="354"/>
      <c r="E434" s="341" t="s">
        <v>255</v>
      </c>
      <c r="F434" s="359"/>
      <c r="G434" s="355">
        <f>+G413+G204</f>
        <v>2146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410" activePane="bottomRight" state="frozen"/>
      <selection pane="topRight" activeCell="F1" sqref="F1"/>
      <selection pane="bottomLeft" activeCell="A25" sqref="A25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256" t="s">
        <v>51</v>
      </c>
      <c r="D25" s="256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56" t="s">
        <v>56</v>
      </c>
      <c r="D36" s="256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67" t="s">
        <v>68</v>
      </c>
      <c r="D47" s="268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267" t="s">
        <v>68</v>
      </c>
      <c r="D48" s="268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256" t="s">
        <v>98</v>
      </c>
      <c r="D79" s="256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56" t="s">
        <v>121</v>
      </c>
      <c r="D113" s="256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256" t="s">
        <v>312</v>
      </c>
      <c r="D193" s="256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56" t="s">
        <v>312</v>
      </c>
      <c r="D194" s="256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>G194*M194</f>
        <v>3366</v>
      </c>
      <c r="L194" s="164">
        <f>I194*M194</f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13.251604938271603</v>
      </c>
      <c r="Q194" s="164">
        <v>11</v>
      </c>
      <c r="R194" s="19">
        <f>Q194*U194</f>
        <v>55</v>
      </c>
      <c r="S194" s="164">
        <f>R194-P194</f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0.6846913805163668</v>
      </c>
      <c r="P200" s="282"/>
      <c r="Q200" s="282"/>
      <c r="R200" s="283"/>
      <c r="S200" s="44"/>
      <c r="T200" s="45"/>
      <c r="U200" s="45"/>
      <c r="V200" s="45"/>
      <c r="W200" s="284">
        <f>SUM(W199:AC199)</f>
        <v>2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77</v>
      </c>
      <c r="F202" s="287"/>
      <c r="G202" s="287">
        <v>77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4078.4</v>
      </c>
      <c r="F203" s="287"/>
      <c r="G203" s="287">
        <v>4248.3999999999996</v>
      </c>
      <c r="H203" s="287"/>
      <c r="I203" s="287">
        <f>G203-E203</f>
        <v>169.99999999999955</v>
      </c>
      <c r="J203" s="287"/>
      <c r="K203" s="289">
        <f t="array" ref="K203">IF(ISERROR(I203/E203),"",I203/E203)</f>
        <v>4.1683012946253317E-2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20</v>
      </c>
      <c r="T203" s="292"/>
      <c r="U203" s="292">
        <v>23</v>
      </c>
      <c r="V203" s="292"/>
      <c r="W203" s="291">
        <f t="shared" ref="W203:W210" si="28">S203*11</f>
        <v>220</v>
      </c>
      <c r="X203" s="291"/>
      <c r="Y203" s="291">
        <f t="shared" ref="Y203:Y210" si="29">U203*11</f>
        <v>253</v>
      </c>
      <c r="Z203" s="291"/>
      <c r="AA203" s="291">
        <f t="shared" ref="AA203:AA210" si="30">Y203-W203</f>
        <v>33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570</v>
      </c>
      <c r="F204" s="287"/>
      <c r="G204" s="287">
        <v>570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7</v>
      </c>
      <c r="V204" s="292"/>
      <c r="W204" s="291">
        <f t="shared" si="28"/>
        <v>44</v>
      </c>
      <c r="X204" s="291"/>
      <c r="Y204" s="291">
        <f t="shared" si="29"/>
        <v>77</v>
      </c>
      <c r="Z204" s="291"/>
      <c r="AA204" s="291">
        <f t="shared" si="30"/>
        <v>33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150508</v>
      </c>
      <c r="H206" s="294"/>
      <c r="I206" s="333">
        <v>150386</v>
      </c>
      <c r="J206" s="334"/>
      <c r="K206" s="297">
        <f>G206-I206</f>
        <v>122</v>
      </c>
      <c r="L206" s="297"/>
      <c r="M206" s="298">
        <f t="array" ref="M206">IF(ISERROR(K206/L199),"",K206/(L199/1000))</f>
        <v>5.5706770518698532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28646.7*120+44951.9*60</f>
        <v>6134718</v>
      </c>
      <c r="H207" s="294"/>
      <c r="I207" s="333">
        <v>6133152</v>
      </c>
      <c r="J207" s="334"/>
      <c r="K207" s="297">
        <f>G207-I207</f>
        <v>1566</v>
      </c>
      <c r="L207" s="297"/>
      <c r="M207" s="298">
        <f t="array" ref="M207">IF(ISERROR(K207/L199),"",K207/(L199/1000))</f>
        <v>71.505575928099915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+I208+17</f>
        <v>26979</v>
      </c>
      <c r="H208" s="294"/>
      <c r="I208" s="293">
        <v>26962</v>
      </c>
      <c r="J208" s="294"/>
      <c r="K208" s="297">
        <f>G208-I208</f>
        <v>17</v>
      </c>
      <c r="L208" s="297"/>
      <c r="M208" s="301">
        <f t="array" ref="M208">IF(ISERROR(K208/L199),"",K208/(L199/1000))</f>
        <v>0.77624188427694674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2.4+2.4/2</f>
        <v>3.5999999999999996</v>
      </c>
      <c r="L209" s="300"/>
      <c r="M209" s="302">
        <f t="array" ref="M209">IF(ISERROR((K209+K210)/L199),"",((K209+K210)*1000)/(L199/1000))</f>
        <v>164.38063431747105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f>2+5+1+1+2</f>
        <v>11</v>
      </c>
      <c r="V209" s="292"/>
      <c r="W209" s="291">
        <f t="shared" si="28"/>
        <v>33</v>
      </c>
      <c r="X209" s="291"/>
      <c r="Y209" s="291">
        <f t="shared" si="29"/>
        <v>121</v>
      </c>
      <c r="Z209" s="291"/>
      <c r="AA209" s="291">
        <f t="shared" si="30"/>
        <v>88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31</v>
      </c>
      <c r="T210" s="292"/>
      <c r="U210" s="292">
        <f>SUM(U203:V209)</f>
        <v>44</v>
      </c>
      <c r="V210" s="292"/>
      <c r="W210" s="291">
        <f t="shared" si="28"/>
        <v>341</v>
      </c>
      <c r="X210" s="291"/>
      <c r="Y210" s="291">
        <f t="shared" si="29"/>
        <v>484</v>
      </c>
      <c r="Z210" s="291"/>
      <c r="AA210" s="291">
        <f t="shared" si="30"/>
        <v>143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4.7222222222222223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45.248739669421489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56" t="s">
        <v>51</v>
      </c>
      <c r="D234" s="256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256" t="s">
        <v>51</v>
      </c>
      <c r="D235" s="256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267" t="s">
        <v>68</v>
      </c>
      <c r="D257" s="268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267" t="s">
        <v>68</v>
      </c>
      <c r="D258" s="268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218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256" t="s">
        <v>318</v>
      </c>
      <c r="D308" s="256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219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219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219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256" t="s">
        <v>121</v>
      </c>
      <c r="D322" s="256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220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220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220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220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220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203"/>
      <c r="H400" s="203"/>
      <c r="I400" s="203"/>
      <c r="J400" s="203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203"/>
      <c r="H401" s="203"/>
      <c r="I401" s="203"/>
      <c r="J401" s="203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256" t="s">
        <v>312</v>
      </c>
      <c r="D402" s="256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>G402*M402</f>
        <v>3029.4</v>
      </c>
      <c r="L402" s="164">
        <f>I402*M402</f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>N402*I402+O402*U402</f>
        <v>13.119753086419752</v>
      </c>
      <c r="Q402" s="164">
        <v>10</v>
      </c>
      <c r="R402" s="19">
        <f>Q402*U402</f>
        <v>50</v>
      </c>
      <c r="S402" s="164">
        <f>R402-P402</f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56" t="s">
        <v>312</v>
      </c>
      <c r="D403" s="256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>G403*M403</f>
        <v>370.26000000000005</v>
      </c>
      <c r="L403" s="164">
        <f>I403*M403</f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1.5237037037037038</v>
      </c>
      <c r="Q403" s="164">
        <v>1.5</v>
      </c>
      <c r="R403" s="19">
        <f>Q403*U403</f>
        <v>7.5</v>
      </c>
      <c r="S403" s="164">
        <f>R403-P403</f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0.80080616416770589</v>
      </c>
      <c r="P409" s="282"/>
      <c r="Q409" s="282"/>
      <c r="R409" s="283"/>
      <c r="S409" s="44"/>
      <c r="T409" s="45"/>
      <c r="U409" s="45"/>
      <c r="V409" s="45"/>
      <c r="W409" s="284">
        <f>SUM(W408:AC408)</f>
        <v>10.166666666666668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128.5</v>
      </c>
      <c r="F411" s="287"/>
      <c r="G411" s="287">
        <v>128.5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5284.8</v>
      </c>
      <c r="F412" s="287"/>
      <c r="G412" s="287">
        <v>57274.8</v>
      </c>
      <c r="H412" s="287"/>
      <c r="I412" s="287">
        <f>G412-E412</f>
        <v>51990</v>
      </c>
      <c r="J412" s="287"/>
      <c r="K412" s="289">
        <f t="array" ref="K412">IF(ISERROR(I412/E412),"",I412/E412)</f>
        <v>9.8376475930971843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21</v>
      </c>
      <c r="T412" s="292"/>
      <c r="U412" s="292">
        <v>23</v>
      </c>
      <c r="V412" s="292"/>
      <c r="W412" s="291">
        <f>S412*11.5</f>
        <v>241.5</v>
      </c>
      <c r="X412" s="291"/>
      <c r="Y412" s="291">
        <f>U412*11.5</f>
        <v>264.5</v>
      </c>
      <c r="Z412" s="291"/>
      <c r="AA412" s="291">
        <f t="shared" ref="AA412:AA419" si="59">Y412-W412</f>
        <v>23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93</v>
      </c>
      <c r="F413" s="287"/>
      <c r="G413" s="287">
        <v>93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4</v>
      </c>
      <c r="V413" s="292"/>
      <c r="W413" s="291">
        <f t="shared" ref="W413:W419" si="60">S413*11.5</f>
        <v>46</v>
      </c>
      <c r="X413" s="291"/>
      <c r="Y413" s="291">
        <f t="shared" ref="Y413:Y419" si="61">U413*11.5</f>
        <v>46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4</v>
      </c>
      <c r="V414" s="292"/>
      <c r="W414" s="291">
        <f t="shared" si="60"/>
        <v>8.625</v>
      </c>
      <c r="X414" s="291"/>
      <c r="Y414" s="291">
        <f t="shared" si="61"/>
        <v>46</v>
      </c>
      <c r="Z414" s="291"/>
      <c r="AA414" s="291">
        <f t="shared" si="59"/>
        <v>37.375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293">
        <v>150618</v>
      </c>
      <c r="H415" s="294"/>
      <c r="I415" s="333">
        <v>150508</v>
      </c>
      <c r="J415" s="334"/>
      <c r="K415" s="297">
        <f>G415-I415</f>
        <v>110</v>
      </c>
      <c r="L415" s="297"/>
      <c r="M415" s="298">
        <f t="array" ref="M415">IF(ISERROR(K415/L408),"",K415/(L408/1000))</f>
        <v>3.8625264177995979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8.625</v>
      </c>
      <c r="X415" s="291"/>
      <c r="Y415" s="291">
        <f t="shared" si="61"/>
        <v>11.5</v>
      </c>
      <c r="Z415" s="291"/>
      <c r="AA415" s="291">
        <f t="shared" si="59"/>
        <v>2.875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v>6136338</v>
      </c>
      <c r="H416" s="331"/>
      <c r="I416" s="330">
        <v>6134718</v>
      </c>
      <c r="J416" s="331"/>
      <c r="K416" s="297">
        <f>G416-I416</f>
        <v>1620</v>
      </c>
      <c r="L416" s="297"/>
      <c r="M416" s="298">
        <f t="array" ref="M416">IF(ISERROR(K416/L408),"",K416/(L408/1000))</f>
        <v>56.884479971230441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17.25</v>
      </c>
      <c r="X416" s="291"/>
      <c r="Y416" s="291">
        <f t="shared" si="61"/>
        <v>11.5</v>
      </c>
      <c r="Z416" s="291"/>
      <c r="AA416" s="291">
        <f t="shared" si="59"/>
        <v>-5.75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293">
        <f>+I417+17</f>
        <v>26996</v>
      </c>
      <c r="H417" s="294"/>
      <c r="I417" s="335">
        <v>26979</v>
      </c>
      <c r="J417" s="336"/>
      <c r="K417" s="297">
        <f>G417-I417</f>
        <v>17</v>
      </c>
      <c r="L417" s="297"/>
      <c r="M417" s="301">
        <f t="array" ref="M417">IF(ISERROR(K417/L408),"",K417/(L408/1000))</f>
        <v>0.59693590093266513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11.5</v>
      </c>
      <c r="X417" s="291"/>
      <c r="Y417" s="291">
        <f t="shared" si="61"/>
        <v>11.5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2.4+2.4/2</f>
        <v>3.5999999999999996</v>
      </c>
      <c r="L418" s="309"/>
      <c r="M418" s="302">
        <f t="array" ref="M418">IF(ISERROR((K418+K419)/L408),"",((K418+K419)*1000)/(L408/1000))</f>
        <v>126.40995549162318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4</v>
      </c>
      <c r="V418" s="292"/>
      <c r="W418" s="291">
        <f t="shared" si="60"/>
        <v>34.5</v>
      </c>
      <c r="X418" s="291"/>
      <c r="Y418" s="291">
        <f t="shared" si="61"/>
        <v>46</v>
      </c>
      <c r="Z418" s="291"/>
      <c r="AA418" s="291">
        <f t="shared" si="59"/>
        <v>11.5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32</v>
      </c>
      <c r="T419" s="292"/>
      <c r="U419" s="292">
        <f>SUM(U412:V418)</f>
        <v>38</v>
      </c>
      <c r="V419" s="292"/>
      <c r="W419" s="291">
        <f t="shared" si="60"/>
        <v>368</v>
      </c>
      <c r="X419" s="291"/>
      <c r="Y419" s="291">
        <f t="shared" si="61"/>
        <v>437</v>
      </c>
      <c r="Z419" s="291"/>
      <c r="AA419" s="291">
        <f t="shared" si="59"/>
        <v>69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4.7222222222222223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65.1688091969053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51618.098899999997</v>
      </c>
      <c r="D423" s="345"/>
      <c r="E423" s="341" t="s">
        <v>226</v>
      </c>
      <c r="F423" s="341"/>
      <c r="G423" s="341">
        <f>L199+L408</f>
        <v>50379.159619047612</v>
      </c>
      <c r="H423" s="341"/>
      <c r="I423" s="348" t="s">
        <v>227</v>
      </c>
      <c r="J423" s="348"/>
      <c r="K423" s="347">
        <f>IF(ISERROR(G423/C423),"",G423/C423)</f>
        <v>0.97599796762463897</v>
      </c>
      <c r="L423" s="347"/>
      <c r="M423" s="341" t="s">
        <v>228</v>
      </c>
      <c r="N423" s="341"/>
      <c r="O423" s="342">
        <f>IF(ISERROR(G423/G424),"",G423/G424)</f>
        <v>65.898181319879157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565.7703990456755</v>
      </c>
      <c r="D424" s="345"/>
      <c r="E424" s="346" t="s">
        <v>18</v>
      </c>
      <c r="F424" s="346"/>
      <c r="G424" s="341">
        <f>R199+R408</f>
        <v>764.5</v>
      </c>
      <c r="H424" s="341"/>
      <c r="I424" s="321" t="s">
        <v>176</v>
      </c>
      <c r="J424" s="321"/>
      <c r="K424" s="347">
        <f>IF(ISERROR(C424/G424),"",C424/G424)</f>
        <v>0.74005284374843106</v>
      </c>
      <c r="L424" s="347"/>
      <c r="M424" s="287" t="s">
        <v>230</v>
      </c>
      <c r="N424" s="287"/>
      <c r="O424" s="341">
        <f>W200+W409</f>
        <v>12.166666666666668</v>
      </c>
      <c r="P424" s="287"/>
      <c r="Q424" s="287" t="s">
        <v>231</v>
      </c>
      <c r="R424" s="287"/>
      <c r="S424" s="347">
        <f t="array" ref="S424">IF(ISERROR(O424/G424),"",O424/G424)</f>
        <v>1.591454109439721E-2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232</v>
      </c>
      <c r="D426" s="345"/>
      <c r="E426" s="341" t="s">
        <v>234</v>
      </c>
      <c r="F426" s="341"/>
      <c r="G426" s="301">
        <f t="array" ref="G426">IF(ISERROR(C426/G423),"",C426/(G423/1000))</f>
        <v>4.6050788015186388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3186</v>
      </c>
      <c r="D427" s="345"/>
      <c r="E427" s="341" t="s">
        <v>236</v>
      </c>
      <c r="F427" s="341"/>
      <c r="G427" s="301">
        <f>IF(ISERROR(C427/G423),"",C427/(G423/1000))</f>
        <v>63.240435610510275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34</v>
      </c>
      <c r="D428" s="345"/>
      <c r="E428" s="341" t="s">
        <v>238</v>
      </c>
      <c r="F428" s="341"/>
      <c r="G428" s="301">
        <f>IF(ISERROR(C428/G423),"",C428/(G423/1000))</f>
        <v>0.67488223815359372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7.1999999999999993</v>
      </c>
      <c r="D429" s="345"/>
      <c r="E429" s="341" t="s">
        <v>240</v>
      </c>
      <c r="F429" s="341"/>
      <c r="G429" s="349">
        <f>IF(ISERROR(C429/G423),"",C429/(G423/1000))</f>
        <v>0.14291623866781983</v>
      </c>
      <c r="H429" s="349"/>
      <c r="I429" s="341" t="s">
        <v>241</v>
      </c>
      <c r="J429" s="341"/>
      <c r="K429" s="350">
        <f>IF(ISERROR(C428/C429),"",C428/C429)</f>
        <v>4.7222222222222223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205.5</v>
      </c>
      <c r="D432" s="354"/>
      <c r="E432" s="341" t="s">
        <v>247</v>
      </c>
      <c r="F432" s="359"/>
      <c r="G432" s="355">
        <f>+G411+G202</f>
        <v>205.5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9363.2000000000007</v>
      </c>
      <c r="D433" s="354"/>
      <c r="E433" s="341" t="s">
        <v>251</v>
      </c>
      <c r="F433" s="341"/>
      <c r="G433" s="355">
        <f>+G412+G203</f>
        <v>61523.200000000004</v>
      </c>
      <c r="H433" s="356"/>
      <c r="I433" s="341" t="s">
        <v>252</v>
      </c>
      <c r="J433" s="341"/>
      <c r="K433" s="323">
        <f>G433-C433</f>
        <v>52160</v>
      </c>
      <c r="L433" s="325"/>
      <c r="M433" s="357" t="s">
        <v>253</v>
      </c>
      <c r="N433" s="358"/>
      <c r="O433" s="351">
        <f t="array" ref="O433">IF(ISERROR(K433/C433),"",K433/C433)</f>
        <v>5.5707450444292546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663</v>
      </c>
      <c r="D434" s="354"/>
      <c r="E434" s="341" t="s">
        <v>255</v>
      </c>
      <c r="F434" s="359"/>
      <c r="G434" s="355">
        <f>+G413+G204</f>
        <v>663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307" activePane="bottomRight" state="frozen"/>
      <selection pane="topRight" activeCell="F1" sqref="F1"/>
      <selection pane="bottomLeft" activeCell="A26" sqref="A2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3004</v>
      </c>
      <c r="C26" s="256" t="s">
        <v>51</v>
      </c>
      <c r="D26" s="256"/>
      <c r="E26" s="166" t="s">
        <v>41</v>
      </c>
      <c r="F26" s="1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6.8845144356955377</v>
      </c>
      <c r="Q26" s="164">
        <v>3</v>
      </c>
      <c r="R26" s="19">
        <f t="shared" si="3"/>
        <v>9</v>
      </c>
      <c r="S26" s="164">
        <f t="shared" si="4"/>
        <v>2.1154855643044623</v>
      </c>
      <c r="T26" s="20">
        <v>3</v>
      </c>
      <c r="U26" s="20">
        <v>3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256" t="s">
        <v>51</v>
      </c>
      <c r="D27" s="256"/>
      <c r="E27" s="166" t="s">
        <v>42</v>
      </c>
      <c r="F27" s="13"/>
      <c r="G27" s="133">
        <v>8</v>
      </c>
      <c r="H27" s="133"/>
      <c r="I27" s="133">
        <f>8-J27/500</f>
        <v>7.52</v>
      </c>
      <c r="J27" s="133">
        <v>240</v>
      </c>
      <c r="K27" s="164">
        <f t="shared" si="0"/>
        <v>4196.8</v>
      </c>
      <c r="L27" s="164">
        <f t="shared" si="1"/>
        <v>3944.9919999999997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27.385774278215219</v>
      </c>
      <c r="Q27" s="164">
        <v>8</v>
      </c>
      <c r="R27" s="19">
        <f t="shared" si="3"/>
        <v>24</v>
      </c>
      <c r="S27" s="164">
        <f t="shared" si="4"/>
        <v>-3.3857742782152194</v>
      </c>
      <c r="T27" s="20">
        <v>3</v>
      </c>
      <c r="U27" s="20">
        <v>3</v>
      </c>
      <c r="V27" s="161">
        <f t="array" ref="V27">IF(ISERROR(L27/K27),"",L27/K27)</f>
        <v>0.94</v>
      </c>
      <c r="W27" s="20">
        <f>20/60*3</f>
        <v>1</v>
      </c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22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2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2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2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2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2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2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2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2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2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2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2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2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2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22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22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2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2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22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22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22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>
        <v>4503</v>
      </c>
      <c r="C49" s="267" t="s">
        <v>68</v>
      </c>
      <c r="D49" s="268"/>
      <c r="E49" s="166" t="s">
        <v>72</v>
      </c>
      <c r="F49" s="165"/>
      <c r="G49" s="133">
        <v>2.4300000000000002</v>
      </c>
      <c r="H49" s="133">
        <v>0.42857142857142855</v>
      </c>
      <c r="I49" s="133">
        <f>2+H49</f>
        <v>2.4285714285714284</v>
      </c>
      <c r="J49" s="133"/>
      <c r="K49" s="164">
        <f t="shared" si="0"/>
        <v>937.00800000000015</v>
      </c>
      <c r="L49" s="164">
        <f t="shared" si="1"/>
        <v>936.4571428571428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6.1447319085114351</v>
      </c>
      <c r="Q49" s="164">
        <v>4</v>
      </c>
      <c r="R49" s="19">
        <f t="shared" si="3"/>
        <v>8</v>
      </c>
      <c r="S49" s="164">
        <f t="shared" si="4"/>
        <v>1.8552680914885649</v>
      </c>
      <c r="T49" s="20">
        <v>3</v>
      </c>
      <c r="U49" s="20">
        <v>2</v>
      </c>
      <c r="V49" s="222">
        <f t="array" ref="V49">IF(ISERROR(L49/K49),"",L49/K49)</f>
        <v>0.99941211052322143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2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2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2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2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256" t="s">
        <v>75</v>
      </c>
      <c r="D54" s="256" t="s">
        <v>76</v>
      </c>
      <c r="E54" s="166" t="s">
        <v>40</v>
      </c>
      <c r="F54" s="13"/>
      <c r="G54" s="133">
        <v>6</v>
      </c>
      <c r="H54" s="133"/>
      <c r="I54" s="133">
        <f>6-J54/500</f>
        <v>5.88</v>
      </c>
      <c r="J54" s="133">
        <v>60</v>
      </c>
      <c r="K54" s="164">
        <f t="shared" si="0"/>
        <v>3275.3999999999996</v>
      </c>
      <c r="L54" s="164">
        <f t="shared" si="1"/>
        <v>3209.8919999999998</v>
      </c>
      <c r="M54" s="164">
        <v>545.9</v>
      </c>
      <c r="N54" s="164">
        <f>+M54*1000/(41.5*10*16*60)*T54</f>
        <v>2.7404618473895583</v>
      </c>
      <c r="O54" s="164">
        <v>0.5</v>
      </c>
      <c r="P54" s="164">
        <f t="shared" si="2"/>
        <v>17.113915662650601</v>
      </c>
      <c r="Q54" s="164">
        <v>6</v>
      </c>
      <c r="R54" s="19">
        <f t="shared" si="3"/>
        <v>12</v>
      </c>
      <c r="S54" s="164">
        <f t="shared" si="4"/>
        <v>-5.1139156626506015</v>
      </c>
      <c r="T54" s="22">
        <v>2</v>
      </c>
      <c r="U54" s="20">
        <v>2</v>
      </c>
      <c r="V54" s="222">
        <f t="array" ref="V54">IF(ISERROR(L54/K54),"",L54/K54)</f>
        <v>0.98000000000000009</v>
      </c>
      <c r="W54" s="20"/>
      <c r="X54" s="232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22" t="str">
        <f t="array" ref="V55">IF(ISERROR(L55/K55),"",L55/K55)</f>
        <v/>
      </c>
      <c r="W55" s="20"/>
      <c r="X55" s="232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22" t="str">
        <f t="array" ref="V56">IF(ISERROR(L56/K56),"",L56/K56)</f>
        <v/>
      </c>
      <c r="W56" s="20"/>
      <c r="X56" s="232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2" t="str">
        <f t="array" ref="V57">IF(ISERROR(L57/K57),"",L57/K57)</f>
        <v/>
      </c>
      <c r="W57" s="130"/>
      <c r="X57" s="233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22" t="str">
        <f t="array" ref="V58">IF(ISERROR(L58/K58),"",L58/K58)</f>
        <v/>
      </c>
      <c r="W58" s="20"/>
      <c r="X58" s="232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22" t="str">
        <f t="array" ref="V59">IF(ISERROR(L59/K59),"",L59/K59)</f>
        <v/>
      </c>
      <c r="W59" s="20"/>
      <c r="X59" s="232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22" t="str">
        <f t="array" ref="V60">IF(ISERROR(L60/K60),"",L60/K60)</f>
        <v/>
      </c>
      <c r="W60" s="20"/>
      <c r="X60" s="232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22" t="str">
        <f t="array" ref="V61">IF(ISERROR(L61/K61),"",L61/K61)</f>
        <v/>
      </c>
      <c r="W61" s="20"/>
      <c r="X61" s="232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22" t="str">
        <f t="array" ref="V62">IF(ISERROR(L62/K62),"",L62/K62)</f>
        <v/>
      </c>
      <c r="W62" s="20"/>
      <c r="X62" s="232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22" t="str">
        <f t="array" ref="V63">IF(ISERROR(L63/K63),"",L63/K63)</f>
        <v/>
      </c>
      <c r="W63" s="20"/>
      <c r="X63" s="232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22" t="str">
        <f t="array" ref="V64">IF(ISERROR(L64/K64),"",L64/K64)</f>
        <v/>
      </c>
      <c r="W64" s="20"/>
      <c r="X64" s="23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22" t="str">
        <f t="array" ref="V65">IF(ISERROR(L65/K65),"",L65/K65)</f>
        <v/>
      </c>
      <c r="W65" s="20"/>
      <c r="X65" s="23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22" t="str">
        <f t="array" ref="V66">IF(ISERROR(L66/K66),"",L66/K66)</f>
        <v/>
      </c>
      <c r="W66" s="20"/>
      <c r="X66" s="23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22" t="str">
        <f t="array" ref="V67">IF(ISERROR(L67/K67),"",L67/K67)</f>
        <v/>
      </c>
      <c r="W67" s="20"/>
      <c r="X67" s="23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22" t="str">
        <f t="array" ref="V68">IF(ISERROR(L68/K68),"",L68/K68)</f>
        <v/>
      </c>
      <c r="W68" s="20"/>
      <c r="X68" s="23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22" t="str">
        <f t="array" ref="V69">IF(ISERROR(L69/K69),"",L69/K69)</f>
        <v/>
      </c>
      <c r="W69" s="20"/>
      <c r="X69" s="23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22" t="str">
        <f t="array" ref="V70">IF(ISERROR(L70/K70),"",L70/K70)</f>
        <v/>
      </c>
      <c r="W70" s="20"/>
      <c r="X70" s="23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22" t="str">
        <f t="array" ref="V71">IF(ISERROR(L71/K71),"",L71/K71)</f>
        <v/>
      </c>
      <c r="W71" s="20"/>
      <c r="X71" s="23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22" t="str">
        <f t="array" ref="V72">IF(ISERROR(L72/K72),"",L72/K72)</f>
        <v/>
      </c>
      <c r="W72" s="20"/>
      <c r="X72" s="23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22" t="str">
        <f t="array" ref="V73">IF(ISERROR(L73/K73),"",L73/K73)</f>
        <v/>
      </c>
      <c r="W73" s="20"/>
      <c r="X73" s="23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22" t="str">
        <f t="array" ref="V74">IF(ISERROR(L74/K74),"",L74/K74)</f>
        <v/>
      </c>
      <c r="W74" s="30"/>
      <c r="X74" s="234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22" t="str">
        <f t="array" ref="V75">IF(ISERROR(L75/K75),"",L75/K75)</f>
        <v/>
      </c>
      <c r="W75" s="20"/>
      <c r="X75" s="23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22" t="str">
        <f t="array" ref="V76">IF(ISERROR(L76/K76),"",L76/K76)</f>
        <v/>
      </c>
      <c r="W76" s="20"/>
      <c r="X76" s="23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22" t="str">
        <f t="array" ref="V77">IF(ISERROR(L77/K77),"",L77/K77)</f>
        <v/>
      </c>
      <c r="W77" s="20"/>
      <c r="X77" s="23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22" t="str">
        <f t="array" ref="V78">IF(ISERROR(L78/K78),"",L78/K78)</f>
        <v/>
      </c>
      <c r="W78" s="20"/>
      <c r="X78" s="23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22" t="str">
        <f t="array" ref="V79">IF(ISERROR(L79/K79),"",L79/K79)</f>
        <v/>
      </c>
      <c r="W79" s="20"/>
      <c r="X79" s="23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22" t="str">
        <f t="array" ref="V80">IF(ISERROR(L80/K80),"",L80/K80)</f>
        <v/>
      </c>
      <c r="W80" s="20"/>
      <c r="X80" s="23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22" t="str">
        <f t="array" ref="V81">IF(ISERROR(L81/K81),"",L81/K81)</f>
        <v/>
      </c>
      <c r="W81" s="20"/>
      <c r="X81" s="232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22" t="str">
        <f t="array" ref="V82">IF(ISERROR(L82/K82),"",L82/K82)</f>
        <v/>
      </c>
      <c r="W82" s="20"/>
      <c r="X82" s="232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22" t="str">
        <f t="array" ref="V83">IF(ISERROR(L83/K83),"",L83/K83)</f>
        <v/>
      </c>
      <c r="W83" s="130"/>
      <c r="X83" s="233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22" t="str">
        <f t="array" ref="V84">IF(ISERROR(L84/K84),"",L84/K84)</f>
        <v/>
      </c>
      <c r="W84" s="20"/>
      <c r="X84" s="23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22" t="str">
        <f t="array" ref="V85">IF(ISERROR(L85/K85),"",L85/K85)</f>
        <v/>
      </c>
      <c r="W85" s="20"/>
      <c r="X85" s="23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22" t="str">
        <f t="array" ref="V86">IF(ISERROR(L86/K86),"",L86/K86)</f>
        <v/>
      </c>
      <c r="W86" s="20"/>
      <c r="X86" s="23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22" t="str">
        <f t="array" ref="V87">IF(ISERROR(L87/K87),"",L87/K87)</f>
        <v/>
      </c>
      <c r="W87" s="20"/>
      <c r="X87" s="23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22" t="str">
        <f t="array" ref="V88">IF(ISERROR(L88/K88),"",L88/K88)</f>
        <v/>
      </c>
      <c r="W88" s="20"/>
      <c r="X88" s="23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22" t="str">
        <f t="array" ref="V89">IF(ISERROR(L89/K89),"",L89/K89)</f>
        <v/>
      </c>
      <c r="W89" s="20"/>
      <c r="X89" s="23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22" t="str">
        <f t="array" ref="V90">IF(ISERROR(L90/K90),"",L90/K90)</f>
        <v/>
      </c>
      <c r="W90" s="20"/>
      <c r="X90" s="23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22" t="str">
        <f t="array" ref="V91">IF(ISERROR(L91/K91),"",L91/K91)</f>
        <v/>
      </c>
      <c r="W91" s="20"/>
      <c r="X91" s="23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22" t="str">
        <f t="array" ref="V92">IF(ISERROR(L92/K92),"",L92/K92)</f>
        <v/>
      </c>
      <c r="W92" s="20"/>
      <c r="X92" s="23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22" t="str">
        <f t="array" ref="V93">IF(ISERROR(L93/K93),"",L93/K93)</f>
        <v/>
      </c>
      <c r="W93" s="20"/>
      <c r="X93" s="23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22" t="str">
        <f t="array" ref="V94">IF(ISERROR(L94/K94),"",L94/K94)</f>
        <v/>
      </c>
      <c r="W94" s="20"/>
      <c r="X94" s="23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22" t="str">
        <f t="array" ref="V95">IF(ISERROR(L95/K95),"",L95/K95)</f>
        <v/>
      </c>
      <c r="W95" s="20"/>
      <c r="X95" s="23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22" t="str">
        <f t="array" ref="V96">IF(ISERROR(L96/K96),"",L96/K96)</f>
        <v/>
      </c>
      <c r="W96" s="20"/>
      <c r="X96" s="23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22" t="str">
        <f t="array" ref="V97">IF(ISERROR(L97/K97),"",L97/K97)</f>
        <v/>
      </c>
      <c r="W97" s="30"/>
      <c r="X97" s="234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>
        <v>5001</v>
      </c>
      <c r="C98" s="256" t="s">
        <v>318</v>
      </c>
      <c r="D98" s="256" t="s">
        <v>96</v>
      </c>
      <c r="E98" s="166" t="s">
        <v>39</v>
      </c>
      <c r="F98" s="13"/>
      <c r="G98" s="133">
        <v>1.5</v>
      </c>
      <c r="H98" s="133"/>
      <c r="I98" s="133">
        <f>2-J98/600</f>
        <v>1.5</v>
      </c>
      <c r="J98" s="133">
        <v>300</v>
      </c>
      <c r="K98" s="164">
        <f t="shared" si="7"/>
        <v>926.69999999999993</v>
      </c>
      <c r="L98" s="164">
        <f t="shared" si="8"/>
        <v>926.69999999999993</v>
      </c>
      <c r="M98" s="164">
        <v>617.79999999999995</v>
      </c>
      <c r="N98" s="164">
        <f>+M98*1000/(123*1*80*60)*T98</f>
        <v>3.1392276422764223</v>
      </c>
      <c r="O98" s="164">
        <v>0.5</v>
      </c>
      <c r="P98" s="164">
        <f t="shared" si="9"/>
        <v>7.2088414634146334</v>
      </c>
      <c r="Q98" s="164">
        <v>1.5</v>
      </c>
      <c r="R98" s="19">
        <f t="shared" si="10"/>
        <v>7.5</v>
      </c>
      <c r="S98" s="164">
        <f t="shared" si="11"/>
        <v>0.29115853658536661</v>
      </c>
      <c r="T98" s="20">
        <v>3</v>
      </c>
      <c r="U98" s="20">
        <v>5</v>
      </c>
      <c r="V98" s="222">
        <f t="array" ref="V98">IF(ISERROR(L98/K98),"",L98/K98)</f>
        <v>1</v>
      </c>
      <c r="W98" s="20"/>
      <c r="X98" s="232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>
        <v>5001</v>
      </c>
      <c r="C99" s="256" t="s">
        <v>318</v>
      </c>
      <c r="D99" s="256" t="s">
        <v>96</v>
      </c>
      <c r="E99" s="166" t="s">
        <v>42</v>
      </c>
      <c r="F99" s="13"/>
      <c r="G99" s="133">
        <v>10</v>
      </c>
      <c r="H99" s="133"/>
      <c r="I99" s="133">
        <v>10</v>
      </c>
      <c r="J99" s="133"/>
      <c r="K99" s="164">
        <f t="shared" si="7"/>
        <v>6186</v>
      </c>
      <c r="L99" s="164">
        <f t="shared" si="8"/>
        <v>6186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31.179435483870968</v>
      </c>
      <c r="Q99" s="164">
        <v>9.5</v>
      </c>
      <c r="R99" s="19">
        <f t="shared" si="10"/>
        <v>47.5</v>
      </c>
      <c r="S99" s="164">
        <f t="shared" si="11"/>
        <v>16.320564516129032</v>
      </c>
      <c r="T99" s="20">
        <v>3</v>
      </c>
      <c r="U99" s="20">
        <v>5</v>
      </c>
      <c r="V99" s="161">
        <f t="array" ref="V99">IF(ISERROR(L99/K99),"",L99/K99)</f>
        <v>1</v>
      </c>
      <c r="W99" s="20"/>
      <c r="X99" s="23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3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3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3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3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3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3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234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234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234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234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234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32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32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56" t="s">
        <v>121</v>
      </c>
      <c r="D113" s="256" t="s">
        <v>122</v>
      </c>
      <c r="E113" s="166" t="s">
        <v>37</v>
      </c>
      <c r="F113" s="13"/>
      <c r="G113" s="133">
        <v>3.6</v>
      </c>
      <c r="H113" s="133">
        <v>0.6</v>
      </c>
      <c r="I113" s="133">
        <f>3+H113</f>
        <v>3.6</v>
      </c>
      <c r="J113" s="133"/>
      <c r="K113" s="164">
        <f t="shared" si="7"/>
        <v>1728.4680000000001</v>
      </c>
      <c r="L113" s="164">
        <f t="shared" si="8"/>
        <v>1728.4680000000001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9.4887351778656139</v>
      </c>
      <c r="Q113" s="164">
        <v>4</v>
      </c>
      <c r="R113" s="19">
        <f t="shared" si="10"/>
        <v>8</v>
      </c>
      <c r="S113" s="164">
        <f t="shared" si="11"/>
        <v>-1.4887351778656139</v>
      </c>
      <c r="T113" s="20">
        <v>2</v>
      </c>
      <c r="U113" s="20">
        <v>2</v>
      </c>
      <c r="V113" s="161">
        <f t="array" ref="V113">IF(ISERROR(L113/K113),"",L113/K113)</f>
        <v>1</v>
      </c>
      <c r="W113" s="20"/>
      <c r="X113" s="232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32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>
        <v>6502</v>
      </c>
      <c r="C115" s="256" t="s">
        <v>121</v>
      </c>
      <c r="D115" s="256" t="s">
        <v>122</v>
      </c>
      <c r="E115" s="166" t="s">
        <v>63</v>
      </c>
      <c r="F115" s="13"/>
      <c r="G115" s="133">
        <v>7</v>
      </c>
      <c r="H115" s="133"/>
      <c r="I115" s="133">
        <f>7-J115/300</f>
        <v>6.0666666666666664</v>
      </c>
      <c r="J115" s="133">
        <v>280</v>
      </c>
      <c r="K115" s="164">
        <f t="shared" si="7"/>
        <v>3360.91</v>
      </c>
      <c r="L115" s="164">
        <f t="shared" si="8"/>
        <v>2912.7886666666664</v>
      </c>
      <c r="M115" s="164">
        <v>480.13</v>
      </c>
      <c r="N115" s="164">
        <f>+M115*1000/(126.5*4*12*60)*T115</f>
        <v>2.6357597716293371</v>
      </c>
      <c r="O115" s="164">
        <v>0.5</v>
      </c>
      <c r="P115" s="164">
        <f t="shared" si="9"/>
        <v>16.990275947884644</v>
      </c>
      <c r="Q115" s="164">
        <v>6</v>
      </c>
      <c r="R115" s="19">
        <f t="shared" si="10"/>
        <v>12</v>
      </c>
      <c r="S115" s="164">
        <f t="shared" si="11"/>
        <v>-4.9902759478846441</v>
      </c>
      <c r="T115" s="20">
        <v>2</v>
      </c>
      <c r="U115" s="20">
        <v>2</v>
      </c>
      <c r="V115" s="161">
        <f t="array" ref="V115">IF(ISERROR(L115/K115),"",L115/K115)</f>
        <v>0.86666666666666659</v>
      </c>
      <c r="W115" s="20"/>
      <c r="X115" s="232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33">
        <v>1</v>
      </c>
      <c r="H169" s="133"/>
      <c r="I169" s="133">
        <v>1</v>
      </c>
      <c r="J169" s="133"/>
      <c r="K169" s="164">
        <f t="shared" si="15"/>
        <v>520.79999999999995</v>
      </c>
      <c r="L169" s="164">
        <f t="shared" si="16"/>
        <v>520.79999999999995</v>
      </c>
      <c r="M169" s="15">
        <v>520.79999999999995</v>
      </c>
      <c r="N169" s="164">
        <f>+M169*1000/(188*4*13*60)*T169</f>
        <v>5.3273322422258591</v>
      </c>
      <c r="O169" s="164">
        <v>0.5</v>
      </c>
      <c r="P169" s="164">
        <f t="shared" si="17"/>
        <v>8.8273322422258591</v>
      </c>
      <c r="Q169" s="164">
        <v>2</v>
      </c>
      <c r="R169" s="19">
        <f t="shared" si="18"/>
        <v>14</v>
      </c>
      <c r="S169" s="164">
        <f t="shared" si="19"/>
        <v>5.1726677577741409</v>
      </c>
      <c r="T169" s="20">
        <v>6</v>
      </c>
      <c r="U169" s="20">
        <v>7</v>
      </c>
      <c r="V169" s="161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33">
        <v>9.4499999999999993</v>
      </c>
      <c r="H170" s="133">
        <v>0.45</v>
      </c>
      <c r="I170" s="133">
        <f>9+H170</f>
        <v>9.4499999999999993</v>
      </c>
      <c r="J170" s="133"/>
      <c r="K170" s="164">
        <f t="shared" si="15"/>
        <v>5017.0049999999992</v>
      </c>
      <c r="L170" s="164">
        <f t="shared" si="16"/>
        <v>5017.0049999999992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42.766341039279872</v>
      </c>
      <c r="Q170" s="164">
        <v>9</v>
      </c>
      <c r="R170" s="19">
        <f t="shared" si="18"/>
        <v>63</v>
      </c>
      <c r="S170" s="164">
        <f t="shared" si="19"/>
        <v>20.233658960720128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2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2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2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2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2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2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2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2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2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2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2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2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2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2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2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2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2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2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2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2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13001</v>
      </c>
      <c r="C191" s="256" t="s">
        <v>312</v>
      </c>
      <c r="D191" s="256" t="s">
        <v>89</v>
      </c>
      <c r="E191" s="166" t="s">
        <v>35</v>
      </c>
      <c r="F191" s="13"/>
      <c r="G191" s="133">
        <v>6</v>
      </c>
      <c r="H191" s="133"/>
      <c r="I191" s="133">
        <f>6-J191/300</f>
        <v>5.666666666666667</v>
      </c>
      <c r="J191" s="133">
        <v>100</v>
      </c>
      <c r="K191" s="164">
        <f>G191*M191</f>
        <v>2019.6000000000001</v>
      </c>
      <c r="L191" s="164">
        <f>I191*M191</f>
        <v>1907.4000000000003</v>
      </c>
      <c r="M191" s="164">
        <v>336.6</v>
      </c>
      <c r="N191" s="164">
        <f>+M191*1000/(45*10*18*60)*T191</f>
        <v>1.3851851851851851</v>
      </c>
      <c r="O191" s="164">
        <v>0.5</v>
      </c>
      <c r="P191" s="164">
        <f>N191*I191+O191*U191</f>
        <v>10.349382716049384</v>
      </c>
      <c r="Q191" s="164">
        <v>6</v>
      </c>
      <c r="R191" s="19">
        <f>Q191*U191</f>
        <v>30</v>
      </c>
      <c r="S191" s="164">
        <f>R191-P191</f>
        <v>19.650617283950616</v>
      </c>
      <c r="T191" s="20">
        <v>2</v>
      </c>
      <c r="U191" s="20">
        <v>5</v>
      </c>
      <c r="V191" s="222">
        <f t="array" ref="V191">IF(ISERROR(L191/K191),"",L191/K191)</f>
        <v>0.94444444444444453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2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13001</v>
      </c>
      <c r="C193" s="256" t="s">
        <v>312</v>
      </c>
      <c r="D193" s="256" t="s">
        <v>89</v>
      </c>
      <c r="E193" s="166" t="s">
        <v>41</v>
      </c>
      <c r="F193" s="13"/>
      <c r="G193" s="133">
        <v>3.33</v>
      </c>
      <c r="H193" s="133">
        <v>0.33333333333333331</v>
      </c>
      <c r="I193" s="133">
        <f>3+H193</f>
        <v>3.3333333333333335</v>
      </c>
      <c r="J193" s="133"/>
      <c r="K193" s="164">
        <f>G193*M193</f>
        <v>1120.8780000000002</v>
      </c>
      <c r="L193" s="164">
        <f>I193*M193</f>
        <v>1122.0000000000002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4.617283950617284</v>
      </c>
      <c r="Q193" s="164">
        <v>4</v>
      </c>
      <c r="R193" s="19">
        <f>Q193*U193</f>
        <v>20</v>
      </c>
      <c r="S193" s="164">
        <f>R193-P193</f>
        <v>15.382716049382715</v>
      </c>
      <c r="T193" s="20">
        <v>2</v>
      </c>
      <c r="U193" s="20">
        <v>5</v>
      </c>
      <c r="V193" s="222">
        <f t="array" ref="V193">IF(ISERROR(L193/K193),"",L193/K193)</f>
        <v>1.0010010010010011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22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2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2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2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2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60.31</v>
      </c>
      <c r="H199" s="164">
        <f t="array" ref="H199">SUM(IF(ISERROR(H6:H198),“”,H6:H198))</f>
        <v>1.8119047619047617</v>
      </c>
      <c r="I199" s="164">
        <f t="array" ref="I199">SUM(IF(ISERROR(I6:I198),“”,I6:I198))</f>
        <v>58.445238095238096</v>
      </c>
      <c r="J199" s="164">
        <f t="array" ref="J199">SUM(IF(ISERROR(J6:J198),“”,J6:J198))</f>
        <v>980</v>
      </c>
      <c r="K199" s="164">
        <f t="array" ref="K199">SUM(IF(ISERROR(K6:K198),“”,K6:K198))</f>
        <v>30338.768999999997</v>
      </c>
      <c r="L199" s="56">
        <f>SUM(L6:L198)</f>
        <v>29461.702809523813</v>
      </c>
      <c r="M199" s="164"/>
      <c r="N199" s="164"/>
      <c r="O199" s="164">
        <f>SUM(O6:O190)</f>
        <v>2.5</v>
      </c>
      <c r="P199" s="56">
        <f>SUM((P6:P190),(W204:X209))</f>
        <v>294.98989763961436</v>
      </c>
      <c r="Q199" s="164"/>
      <c r="R199" s="56">
        <f>SUM((R6:R190),(Y204:Z209))</f>
        <v>425</v>
      </c>
      <c r="S199" s="164">
        <f t="array" ref="S199">SUM(IF(ISERROR(S6:S198),“”,S6:S198))</f>
        <v>66.043435693718948</v>
      </c>
      <c r="T199" s="164"/>
      <c r="U199" s="164"/>
      <c r="V199" s="222">
        <f t="array" ref="V199">IF(ISERROR(L199/K199),"",L199/K199)</f>
        <v>0.97109091042961615</v>
      </c>
      <c r="W199" s="164">
        <f t="array" ref="W199">SUM(IF(ISERROR(W6:W198),“”,W6:W198))</f>
        <v>1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0.69409387679909262</v>
      </c>
      <c r="P200" s="282"/>
      <c r="Q200" s="282"/>
      <c r="R200" s="283"/>
      <c r="S200" s="44"/>
      <c r="T200" s="45"/>
      <c r="U200" s="45"/>
      <c r="V200" s="45"/>
      <c r="W200" s="284">
        <f>SUM(W199:AC199)</f>
        <v>1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163</v>
      </c>
      <c r="F202" s="287"/>
      <c r="G202" s="287">
        <v>163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5479.7</v>
      </c>
      <c r="F203" s="287"/>
      <c r="G203" s="287">
        <v>5849.2</v>
      </c>
      <c r="H203" s="287"/>
      <c r="I203" s="287">
        <f>G203-E203</f>
        <v>369.5</v>
      </c>
      <c r="J203" s="287"/>
      <c r="K203" s="289">
        <f t="array" ref="K203">IF(ISERROR(I203/E203),"",I203/E203)</f>
        <v>6.7430698760881078E-2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17</v>
      </c>
      <c r="T203" s="292"/>
      <c r="U203" s="292">
        <v>24</v>
      </c>
      <c r="V203" s="292"/>
      <c r="W203" s="291">
        <f t="shared" ref="W203:W210" si="28">S203*11</f>
        <v>187</v>
      </c>
      <c r="X203" s="291"/>
      <c r="Y203" s="291">
        <f t="shared" ref="Y203:Y210" si="29">U203*11</f>
        <v>264</v>
      </c>
      <c r="Z203" s="291"/>
      <c r="AA203" s="291">
        <f t="shared" ref="AA203:AA210" si="30">Y203-W203</f>
        <v>77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948</v>
      </c>
      <c r="F204" s="287"/>
      <c r="G204" s="287">
        <v>948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7</v>
      </c>
      <c r="V204" s="292"/>
      <c r="W204" s="291">
        <f t="shared" si="28"/>
        <v>44</v>
      </c>
      <c r="X204" s="291"/>
      <c r="Y204" s="291">
        <f t="shared" si="29"/>
        <v>77</v>
      </c>
      <c r="Z204" s="291"/>
      <c r="AA204" s="291">
        <f t="shared" si="30"/>
        <v>33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5</v>
      </c>
      <c r="V205" s="292"/>
      <c r="W205" s="291">
        <f t="shared" si="28"/>
        <v>8.25</v>
      </c>
      <c r="X205" s="291"/>
      <c r="Y205" s="291">
        <f t="shared" si="29"/>
        <v>55</v>
      </c>
      <c r="Z205" s="291"/>
      <c r="AA205" s="291">
        <f t="shared" si="30"/>
        <v>46.75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150758</v>
      </c>
      <c r="H206" s="294"/>
      <c r="I206" s="333">
        <v>150618</v>
      </c>
      <c r="J206" s="334"/>
      <c r="K206" s="297">
        <f>G206-I206</f>
        <v>140</v>
      </c>
      <c r="L206" s="297"/>
      <c r="M206" s="298">
        <f t="array" ref="M206">IF(ISERROR(K206/L199),"",K206/(L199/1000))</f>
        <v>4.7519317164092598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28664.3*120+44972.9*60</f>
        <v>6138090</v>
      </c>
      <c r="H207" s="294"/>
      <c r="I207" s="333">
        <v>6136338</v>
      </c>
      <c r="J207" s="334"/>
      <c r="K207" s="297">
        <f>G207-I207</f>
        <v>1752</v>
      </c>
      <c r="L207" s="297"/>
      <c r="M207" s="298">
        <f t="array" ref="M207">IF(ISERROR(K207/L199),"",K207/(L199/1000))</f>
        <v>59.467031193921592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+I208+19</f>
        <v>27015</v>
      </c>
      <c r="H208" s="294"/>
      <c r="I208" s="293">
        <v>26996</v>
      </c>
      <c r="J208" s="294"/>
      <c r="K208" s="297">
        <f>G208-I208</f>
        <v>19</v>
      </c>
      <c r="L208" s="297"/>
      <c r="M208" s="301">
        <f t="array" ref="M208">IF(ISERROR(K208/L199),"",K208/(L199/1000))</f>
        <v>0.64490501865554239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2.72+2.56/2</f>
        <v>4</v>
      </c>
      <c r="L209" s="300"/>
      <c r="M209" s="302">
        <f t="array" ref="M209">IF(ISERROR((K209+K210)/L199),"",((K209+K210)*1000)/(L199/1000))</f>
        <v>135.76947761169313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5</v>
      </c>
      <c r="V209" s="292"/>
      <c r="W209" s="291">
        <f t="shared" si="28"/>
        <v>33</v>
      </c>
      <c r="X209" s="291"/>
      <c r="Y209" s="291">
        <f t="shared" si="29"/>
        <v>55</v>
      </c>
      <c r="Z209" s="291"/>
      <c r="AA209" s="291">
        <f t="shared" si="30"/>
        <v>22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28</v>
      </c>
      <c r="T210" s="292"/>
      <c r="U210" s="292">
        <f>SUM(U203:V209)</f>
        <v>44</v>
      </c>
      <c r="V210" s="292"/>
      <c r="W210" s="291">
        <f t="shared" si="28"/>
        <v>308</v>
      </c>
      <c r="X210" s="291"/>
      <c r="Y210" s="291">
        <f t="shared" si="29"/>
        <v>484</v>
      </c>
      <c r="Z210" s="291"/>
      <c r="AA210" s="291">
        <f t="shared" si="30"/>
        <v>176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4.75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60.871286796536801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12">
        <v>300013</v>
      </c>
      <c r="B236" s="208">
        <v>3004</v>
      </c>
      <c r="C236" s="256" t="s">
        <v>51</v>
      </c>
      <c r="D236" s="256"/>
      <c r="E236" s="216" t="s">
        <v>42</v>
      </c>
      <c r="F236" s="215">
        <v>1530</v>
      </c>
      <c r="G236" s="214">
        <v>2.48</v>
      </c>
      <c r="H236" s="214">
        <v>0.48</v>
      </c>
      <c r="I236" s="214">
        <f>2+H236</f>
        <v>2.48</v>
      </c>
      <c r="J236" s="214"/>
      <c r="K236" s="214">
        <f t="shared" si="31"/>
        <v>1301.008</v>
      </c>
      <c r="L236" s="214">
        <f t="shared" si="32"/>
        <v>1301.008</v>
      </c>
      <c r="M236" s="214">
        <v>524.6</v>
      </c>
      <c r="N236" s="214">
        <f>+M236*1000/(25.4*20*15*60)*T236</f>
        <v>3.4422572178477688</v>
      </c>
      <c r="O236" s="214"/>
      <c r="P236" s="214">
        <f t="shared" si="34"/>
        <v>8.5367979002624672</v>
      </c>
      <c r="Q236" s="214">
        <v>3</v>
      </c>
      <c r="R236" s="19">
        <f t="shared" si="35"/>
        <v>6</v>
      </c>
      <c r="S236" s="214">
        <f t="shared" si="36"/>
        <v>-2.5367979002624672</v>
      </c>
      <c r="T236" s="20">
        <v>3</v>
      </c>
      <c r="U236" s="20">
        <v>2</v>
      </c>
      <c r="V236" s="213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12">
        <v>300016</v>
      </c>
      <c r="B237" s="208">
        <v>3004</v>
      </c>
      <c r="C237" s="256" t="s">
        <v>51</v>
      </c>
      <c r="D237" s="256"/>
      <c r="E237" s="216" t="s">
        <v>38</v>
      </c>
      <c r="F237" s="215">
        <v>1529</v>
      </c>
      <c r="G237" s="214">
        <v>8</v>
      </c>
      <c r="H237" s="214"/>
      <c r="I237" s="214">
        <v>8</v>
      </c>
      <c r="J237" s="214"/>
      <c r="K237" s="214">
        <f t="shared" si="31"/>
        <v>4196.8</v>
      </c>
      <c r="L237" s="214">
        <f t="shared" si="32"/>
        <v>4196.8</v>
      </c>
      <c r="M237" s="214">
        <v>524.6</v>
      </c>
      <c r="N237" s="214">
        <f>+M237*1000/(25.4*20*15*60)*T237</f>
        <v>3.4422572178477688</v>
      </c>
      <c r="O237" s="214">
        <v>0.5</v>
      </c>
      <c r="P237" s="214">
        <f t="shared" si="34"/>
        <v>28.538057742782151</v>
      </c>
      <c r="Q237" s="221">
        <v>8.5</v>
      </c>
      <c r="R237" s="19">
        <f t="shared" si="35"/>
        <v>17</v>
      </c>
      <c r="S237" s="214">
        <f t="shared" si="36"/>
        <v>-11.538057742782151</v>
      </c>
      <c r="T237" s="20">
        <v>3</v>
      </c>
      <c r="U237" s="20">
        <v>2</v>
      </c>
      <c r="V237" s="213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12">
        <v>3000435</v>
      </c>
      <c r="B238" s="208" t="s">
        <v>43</v>
      </c>
      <c r="C238" s="256" t="s">
        <v>51</v>
      </c>
      <c r="D238" s="256"/>
      <c r="E238" s="216" t="s">
        <v>309</v>
      </c>
      <c r="F238" s="27"/>
      <c r="G238" s="110"/>
      <c r="H238" s="110"/>
      <c r="I238" s="110"/>
      <c r="J238" s="110"/>
      <c r="K238" s="214">
        <f t="shared" si="31"/>
        <v>0</v>
      </c>
      <c r="L238" s="214">
        <f t="shared" si="32"/>
        <v>0</v>
      </c>
      <c r="M238" s="214">
        <v>524.6</v>
      </c>
      <c r="N238" s="214">
        <f>+M238*1000/(25.4*20*15*60)*T238</f>
        <v>3.4422572178477688</v>
      </c>
      <c r="O238" s="214"/>
      <c r="P238" s="214">
        <f t="shared" si="34"/>
        <v>0</v>
      </c>
      <c r="Q238" s="214"/>
      <c r="R238" s="19">
        <f t="shared" si="35"/>
        <v>0</v>
      </c>
      <c r="S238" s="214">
        <f t="shared" si="36"/>
        <v>0</v>
      </c>
      <c r="T238" s="20">
        <v>3</v>
      </c>
      <c r="U238" s="20"/>
      <c r="V238" s="213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12">
        <v>300276</v>
      </c>
      <c r="B239" s="208" t="s">
        <v>43</v>
      </c>
      <c r="C239" s="256" t="s">
        <v>53</v>
      </c>
      <c r="D239" s="256"/>
      <c r="E239" s="216" t="s">
        <v>41</v>
      </c>
      <c r="F239" s="27"/>
      <c r="G239" s="110"/>
      <c r="H239" s="110"/>
      <c r="I239" s="110"/>
      <c r="J239" s="110"/>
      <c r="K239" s="214">
        <f t="shared" si="31"/>
        <v>0</v>
      </c>
      <c r="L239" s="214">
        <f t="shared" si="32"/>
        <v>0</v>
      </c>
      <c r="M239" s="214">
        <v>266</v>
      </c>
      <c r="N239" s="214">
        <f>+M239*1000/(29.8*10*13*60)*T239</f>
        <v>3.4331440371708828</v>
      </c>
      <c r="O239" s="214"/>
      <c r="P239" s="214">
        <f t="shared" si="34"/>
        <v>0</v>
      </c>
      <c r="Q239" s="214"/>
      <c r="R239" s="19">
        <f t="shared" si="35"/>
        <v>0</v>
      </c>
      <c r="S239" s="214">
        <f t="shared" si="36"/>
        <v>0</v>
      </c>
      <c r="T239" s="20">
        <v>3</v>
      </c>
      <c r="U239" s="20"/>
      <c r="V239" s="21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12">
        <v>300277</v>
      </c>
      <c r="B240" s="208" t="s">
        <v>43</v>
      </c>
      <c r="C240" s="256" t="s">
        <v>53</v>
      </c>
      <c r="D240" s="256"/>
      <c r="E240" s="216" t="s">
        <v>39</v>
      </c>
      <c r="F240" s="27"/>
      <c r="G240" s="110"/>
      <c r="H240" s="110"/>
      <c r="I240" s="110"/>
      <c r="J240" s="110"/>
      <c r="K240" s="214">
        <f t="shared" si="31"/>
        <v>0</v>
      </c>
      <c r="L240" s="214">
        <f t="shared" si="32"/>
        <v>0</v>
      </c>
      <c r="M240" s="214">
        <v>266</v>
      </c>
      <c r="N240" s="214">
        <f>+M240*1000/(29.8*10*13*60)*T240</f>
        <v>3.4331440371708828</v>
      </c>
      <c r="O240" s="214"/>
      <c r="P240" s="214">
        <f t="shared" si="34"/>
        <v>0</v>
      </c>
      <c r="Q240" s="214"/>
      <c r="R240" s="19">
        <f t="shared" si="35"/>
        <v>0</v>
      </c>
      <c r="S240" s="214">
        <f t="shared" si="36"/>
        <v>0</v>
      </c>
      <c r="T240" s="20">
        <v>3</v>
      </c>
      <c r="U240" s="20"/>
      <c r="V240" s="21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12">
        <v>300278</v>
      </c>
      <c r="B241" s="208" t="s">
        <v>43</v>
      </c>
      <c r="C241" s="256" t="s">
        <v>53</v>
      </c>
      <c r="D241" s="256"/>
      <c r="E241" s="216" t="s">
        <v>54</v>
      </c>
      <c r="F241" s="27"/>
      <c r="G241" s="110"/>
      <c r="H241" s="110"/>
      <c r="I241" s="110"/>
      <c r="J241" s="110"/>
      <c r="K241" s="214">
        <f t="shared" si="31"/>
        <v>0</v>
      </c>
      <c r="L241" s="214">
        <f t="shared" si="32"/>
        <v>0</v>
      </c>
      <c r="M241" s="214">
        <v>266</v>
      </c>
      <c r="N241" s="214">
        <f>+M241*1000/(29.8*10*13*60)*T241</f>
        <v>3.4331440371708828</v>
      </c>
      <c r="O241" s="214"/>
      <c r="P241" s="214">
        <f t="shared" si="34"/>
        <v>0</v>
      </c>
      <c r="Q241" s="214"/>
      <c r="R241" s="19">
        <f t="shared" si="35"/>
        <v>0</v>
      </c>
      <c r="S241" s="214">
        <f t="shared" si="36"/>
        <v>0</v>
      </c>
      <c r="T241" s="20">
        <v>3</v>
      </c>
      <c r="U241" s="20"/>
      <c r="V241" s="21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12">
        <v>300027</v>
      </c>
      <c r="B242" s="208" t="s">
        <v>55</v>
      </c>
      <c r="C242" s="256" t="s">
        <v>56</v>
      </c>
      <c r="D242" s="256"/>
      <c r="E242" s="216" t="s">
        <v>54</v>
      </c>
      <c r="F242" s="215"/>
      <c r="G242" s="214"/>
      <c r="H242" s="214"/>
      <c r="I242" s="214"/>
      <c r="J242" s="214"/>
      <c r="K242" s="214">
        <f t="shared" si="31"/>
        <v>0</v>
      </c>
      <c r="L242" s="214">
        <f t="shared" si="32"/>
        <v>0</v>
      </c>
      <c r="M242" s="214">
        <v>550.4</v>
      </c>
      <c r="N242" s="214">
        <f>+M242*1000/(31*20*15*60)*T242</f>
        <v>2.9591397849462364</v>
      </c>
      <c r="O242" s="214"/>
      <c r="P242" s="214">
        <f t="shared" si="34"/>
        <v>0</v>
      </c>
      <c r="Q242" s="214"/>
      <c r="R242" s="19">
        <f t="shared" si="35"/>
        <v>0</v>
      </c>
      <c r="S242" s="214">
        <f t="shared" si="36"/>
        <v>0</v>
      </c>
      <c r="T242" s="20">
        <v>3</v>
      </c>
      <c r="U242" s="20"/>
      <c r="V242" s="21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12">
        <v>300028</v>
      </c>
      <c r="B243" s="208" t="s">
        <v>55</v>
      </c>
      <c r="C243" s="256" t="s">
        <v>56</v>
      </c>
      <c r="D243" s="256"/>
      <c r="E243" s="216" t="s">
        <v>35</v>
      </c>
      <c r="F243" s="215"/>
      <c r="G243" s="214"/>
      <c r="H243" s="214"/>
      <c r="I243" s="214"/>
      <c r="J243" s="214"/>
      <c r="K243" s="214">
        <f t="shared" si="31"/>
        <v>0</v>
      </c>
      <c r="L243" s="214">
        <f t="shared" si="32"/>
        <v>0</v>
      </c>
      <c r="M243" s="214">
        <v>550.4</v>
      </c>
      <c r="N243" s="214">
        <f>+M243*1000/(31*20*15*60)*T243</f>
        <v>2.9591397849462364</v>
      </c>
      <c r="O243" s="214"/>
      <c r="P243" s="214">
        <f t="shared" si="34"/>
        <v>0</v>
      </c>
      <c r="Q243" s="214"/>
      <c r="R243" s="19">
        <f t="shared" si="35"/>
        <v>0</v>
      </c>
      <c r="S243" s="214">
        <f t="shared" si="36"/>
        <v>0</v>
      </c>
      <c r="T243" s="20">
        <v>3</v>
      </c>
      <c r="U243" s="20"/>
      <c r="V243" s="21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12">
        <v>300029</v>
      </c>
      <c r="B244" s="208" t="s">
        <v>55</v>
      </c>
      <c r="C244" s="256" t="s">
        <v>56</v>
      </c>
      <c r="D244" s="256"/>
      <c r="E244" s="216" t="s">
        <v>57</v>
      </c>
      <c r="F244" s="215"/>
      <c r="G244" s="214"/>
      <c r="H244" s="214"/>
      <c r="I244" s="214"/>
      <c r="J244" s="214"/>
      <c r="K244" s="214">
        <f t="shared" si="31"/>
        <v>0</v>
      </c>
      <c r="L244" s="214">
        <f t="shared" si="32"/>
        <v>0</v>
      </c>
      <c r="M244" s="214">
        <v>550.4</v>
      </c>
      <c r="N244" s="214">
        <f>+M244*1000/(31*20*15*60)*T244</f>
        <v>2.9591397849462364</v>
      </c>
      <c r="O244" s="214"/>
      <c r="P244" s="214">
        <f t="shared" si="34"/>
        <v>0</v>
      </c>
      <c r="Q244" s="214"/>
      <c r="R244" s="19">
        <f t="shared" si="35"/>
        <v>0</v>
      </c>
      <c r="S244" s="214">
        <f t="shared" si="36"/>
        <v>0</v>
      </c>
      <c r="T244" s="20">
        <v>3</v>
      </c>
      <c r="U244" s="20"/>
      <c r="V244" s="21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12">
        <v>300026</v>
      </c>
      <c r="B245" s="208" t="s">
        <v>55</v>
      </c>
      <c r="C245" s="256" t="s">
        <v>56</v>
      </c>
      <c r="D245" s="256"/>
      <c r="E245" s="216" t="s">
        <v>37</v>
      </c>
      <c r="F245" s="215"/>
      <c r="G245" s="214"/>
      <c r="H245" s="214"/>
      <c r="I245" s="214"/>
      <c r="J245" s="214"/>
      <c r="K245" s="214">
        <f t="shared" si="31"/>
        <v>0</v>
      </c>
      <c r="L245" s="214">
        <f t="shared" si="32"/>
        <v>0</v>
      </c>
      <c r="M245" s="214">
        <v>550.4</v>
      </c>
      <c r="N245" s="214">
        <f>+M245*1000/(31*20*15*60)*T245</f>
        <v>2.9591397849462364</v>
      </c>
      <c r="O245" s="214"/>
      <c r="P245" s="214">
        <f t="shared" si="34"/>
        <v>0</v>
      </c>
      <c r="Q245" s="214"/>
      <c r="R245" s="19">
        <f t="shared" si="35"/>
        <v>0</v>
      </c>
      <c r="S245" s="214">
        <f t="shared" si="36"/>
        <v>0</v>
      </c>
      <c r="T245" s="20">
        <v>3</v>
      </c>
      <c r="U245" s="20"/>
      <c r="V245" s="21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12">
        <v>300032</v>
      </c>
      <c r="B246" s="208">
        <v>3002</v>
      </c>
      <c r="C246" s="256" t="s">
        <v>58</v>
      </c>
      <c r="D246" s="256" t="s">
        <v>59</v>
      </c>
      <c r="E246" s="216" t="s">
        <v>35</v>
      </c>
      <c r="F246" s="215"/>
      <c r="G246" s="214"/>
      <c r="H246" s="214"/>
      <c r="I246" s="214"/>
      <c r="J246" s="214"/>
      <c r="K246" s="214">
        <f t="shared" si="31"/>
        <v>0</v>
      </c>
      <c r="L246" s="214">
        <f t="shared" si="32"/>
        <v>0</v>
      </c>
      <c r="M246" s="214">
        <v>285.7</v>
      </c>
      <c r="N246" s="214">
        <f>+M246*1000/(31*10*13*60)*T246</f>
        <v>7.0893300248138953</v>
      </c>
      <c r="O246" s="214"/>
      <c r="P246" s="214">
        <f t="shared" si="34"/>
        <v>0</v>
      </c>
      <c r="Q246" s="214"/>
      <c r="R246" s="19">
        <f t="shared" si="35"/>
        <v>0</v>
      </c>
      <c r="S246" s="214">
        <f t="shared" si="36"/>
        <v>0</v>
      </c>
      <c r="T246" s="20">
        <v>6</v>
      </c>
      <c r="U246" s="20"/>
      <c r="V246" s="21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12">
        <v>300413</v>
      </c>
      <c r="B247" s="208">
        <v>3002</v>
      </c>
      <c r="C247" s="267" t="s">
        <v>304</v>
      </c>
      <c r="D247" s="268"/>
      <c r="E247" s="216" t="s">
        <v>302</v>
      </c>
      <c r="F247" s="27"/>
      <c r="G247" s="110"/>
      <c r="H247" s="110"/>
      <c r="I247" s="110"/>
      <c r="J247" s="110"/>
      <c r="K247" s="214">
        <f t="shared" si="31"/>
        <v>0</v>
      </c>
      <c r="L247" s="214">
        <f t="shared" si="32"/>
        <v>0</v>
      </c>
      <c r="M247" s="214">
        <v>528.79999999999995</v>
      </c>
      <c r="N247" s="214">
        <f>+M247*1000/(31*10*13*60)*T247</f>
        <v>6.5607940446650126</v>
      </c>
      <c r="O247" s="214"/>
      <c r="P247" s="214">
        <f t="shared" si="34"/>
        <v>0</v>
      </c>
      <c r="Q247" s="214"/>
      <c r="R247" s="19">
        <f t="shared" si="35"/>
        <v>0</v>
      </c>
      <c r="S247" s="214">
        <f t="shared" si="36"/>
        <v>0</v>
      </c>
      <c r="T247" s="20">
        <v>3</v>
      </c>
      <c r="U247" s="20"/>
      <c r="V247" s="213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12">
        <v>300414</v>
      </c>
      <c r="B248" s="208">
        <v>3002</v>
      </c>
      <c r="C248" s="267" t="s">
        <v>304</v>
      </c>
      <c r="D248" s="268"/>
      <c r="E248" s="216" t="s">
        <v>299</v>
      </c>
      <c r="F248" s="27"/>
      <c r="G248" s="110"/>
      <c r="H248" s="110"/>
      <c r="I248" s="110"/>
      <c r="J248" s="110"/>
      <c r="K248" s="214">
        <f t="shared" si="31"/>
        <v>0</v>
      </c>
      <c r="L248" s="214">
        <f t="shared" si="32"/>
        <v>0</v>
      </c>
      <c r="M248" s="214">
        <v>528.79999999999995</v>
      </c>
      <c r="N248" s="214">
        <f>+M248*1000/(31*10*13*60)*T248</f>
        <v>6.5607940446650126</v>
      </c>
      <c r="O248" s="214"/>
      <c r="P248" s="214">
        <f t="shared" si="34"/>
        <v>0</v>
      </c>
      <c r="Q248" s="214"/>
      <c r="R248" s="19">
        <f t="shared" si="35"/>
        <v>0</v>
      </c>
      <c r="S248" s="214">
        <f t="shared" si="36"/>
        <v>0</v>
      </c>
      <c r="T248" s="20">
        <v>3</v>
      </c>
      <c r="U248" s="20"/>
      <c r="V248" s="213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12">
        <v>300415</v>
      </c>
      <c r="B249" s="208">
        <v>3002</v>
      </c>
      <c r="C249" s="267" t="s">
        <v>304</v>
      </c>
      <c r="D249" s="268"/>
      <c r="E249" s="216" t="s">
        <v>303</v>
      </c>
      <c r="F249" s="27"/>
      <c r="G249" s="110"/>
      <c r="H249" s="110"/>
      <c r="I249" s="110"/>
      <c r="J249" s="110"/>
      <c r="K249" s="214">
        <f t="shared" si="31"/>
        <v>0</v>
      </c>
      <c r="L249" s="214">
        <f t="shared" si="32"/>
        <v>0</v>
      </c>
      <c r="M249" s="214">
        <v>528.79999999999995</v>
      </c>
      <c r="N249" s="214">
        <f>+M249*1000/(31*10*13*60)*T249</f>
        <v>6.5607940446650126</v>
      </c>
      <c r="O249" s="214"/>
      <c r="P249" s="214">
        <f t="shared" si="34"/>
        <v>0</v>
      </c>
      <c r="Q249" s="214"/>
      <c r="R249" s="19">
        <f t="shared" si="35"/>
        <v>0</v>
      </c>
      <c r="S249" s="214">
        <f t="shared" si="36"/>
        <v>0</v>
      </c>
      <c r="T249" s="20">
        <v>3</v>
      </c>
      <c r="U249" s="20"/>
      <c r="V249" s="21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12">
        <v>300035</v>
      </c>
      <c r="B250" s="208" t="s">
        <v>60</v>
      </c>
      <c r="C250" s="256" t="s">
        <v>61</v>
      </c>
      <c r="D250" s="256" t="s">
        <v>62</v>
      </c>
      <c r="E250" s="216" t="s">
        <v>35</v>
      </c>
      <c r="F250" s="215"/>
      <c r="G250" s="214"/>
      <c r="H250" s="214"/>
      <c r="I250" s="214"/>
      <c r="J250" s="214"/>
      <c r="K250" s="214">
        <f t="shared" si="31"/>
        <v>0</v>
      </c>
      <c r="L250" s="214">
        <f t="shared" si="32"/>
        <v>0</v>
      </c>
      <c r="M250" s="214">
        <v>366.93</v>
      </c>
      <c r="N250" s="214">
        <f>+M250*1000/(35.8*10*13*60)*T250</f>
        <v>2.6280618822518265</v>
      </c>
      <c r="O250" s="214"/>
      <c r="P250" s="214">
        <f t="shared" si="34"/>
        <v>0</v>
      </c>
      <c r="Q250" s="214"/>
      <c r="R250" s="19">
        <f t="shared" si="35"/>
        <v>0</v>
      </c>
      <c r="S250" s="214">
        <f t="shared" si="36"/>
        <v>0</v>
      </c>
      <c r="T250" s="20">
        <v>2</v>
      </c>
      <c r="U250" s="20"/>
      <c r="V250" s="21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12">
        <v>300036</v>
      </c>
      <c r="B251" s="208" t="s">
        <v>60</v>
      </c>
      <c r="C251" s="256" t="s">
        <v>61</v>
      </c>
      <c r="D251" s="256" t="s">
        <v>62</v>
      </c>
      <c r="E251" s="216" t="s">
        <v>63</v>
      </c>
      <c r="F251" s="215"/>
      <c r="G251" s="214"/>
      <c r="H251" s="214"/>
      <c r="I251" s="214"/>
      <c r="J251" s="214"/>
      <c r="K251" s="214">
        <f t="shared" si="31"/>
        <v>0</v>
      </c>
      <c r="L251" s="214">
        <f t="shared" si="32"/>
        <v>0</v>
      </c>
      <c r="M251" s="214">
        <v>366.93</v>
      </c>
      <c r="N251" s="214">
        <f>+M251*1000/(35.8*10*13*60)*T251</f>
        <v>2.6280618822518265</v>
      </c>
      <c r="O251" s="214"/>
      <c r="P251" s="214">
        <f t="shared" si="34"/>
        <v>0</v>
      </c>
      <c r="Q251" s="214"/>
      <c r="R251" s="19">
        <f t="shared" si="35"/>
        <v>0</v>
      </c>
      <c r="S251" s="214">
        <f t="shared" si="36"/>
        <v>0</v>
      </c>
      <c r="T251" s="20">
        <v>2</v>
      </c>
      <c r="U251" s="20"/>
      <c r="V251" s="21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12">
        <v>300037</v>
      </c>
      <c r="B252" s="208" t="s">
        <v>60</v>
      </c>
      <c r="C252" s="256" t="s">
        <v>61</v>
      </c>
      <c r="D252" s="256" t="s">
        <v>62</v>
      </c>
      <c r="E252" s="216" t="s">
        <v>37</v>
      </c>
      <c r="F252" s="215"/>
      <c r="G252" s="214"/>
      <c r="H252" s="214"/>
      <c r="I252" s="214"/>
      <c r="J252" s="214"/>
      <c r="K252" s="214">
        <f t="shared" si="31"/>
        <v>0</v>
      </c>
      <c r="L252" s="214">
        <f t="shared" si="32"/>
        <v>0</v>
      </c>
      <c r="M252" s="214">
        <v>366.93</v>
      </c>
      <c r="N252" s="214">
        <f>+M252*1000/(35.8*10*13*60)*T252</f>
        <v>2.6280618822518265</v>
      </c>
      <c r="O252" s="214"/>
      <c r="P252" s="214">
        <f t="shared" si="34"/>
        <v>0</v>
      </c>
      <c r="Q252" s="214"/>
      <c r="R252" s="19">
        <f t="shared" si="35"/>
        <v>0</v>
      </c>
      <c r="S252" s="214">
        <f t="shared" si="36"/>
        <v>0</v>
      </c>
      <c r="T252" s="20">
        <v>2</v>
      </c>
      <c r="U252" s="20"/>
      <c r="V252" s="21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12">
        <v>300038</v>
      </c>
      <c r="B253" s="208" t="s">
        <v>60</v>
      </c>
      <c r="C253" s="256" t="s">
        <v>64</v>
      </c>
      <c r="D253" s="256" t="s">
        <v>65</v>
      </c>
      <c r="E253" s="216" t="s">
        <v>35</v>
      </c>
      <c r="F253" s="215"/>
      <c r="G253" s="214"/>
      <c r="H253" s="214"/>
      <c r="I253" s="214"/>
      <c r="J253" s="214"/>
      <c r="K253" s="214">
        <f t="shared" si="31"/>
        <v>0</v>
      </c>
      <c r="L253" s="214">
        <f t="shared" si="32"/>
        <v>0</v>
      </c>
      <c r="M253" s="214">
        <v>301.14</v>
      </c>
      <c r="N253" s="214">
        <f>+M253*1000/(35.8*10*13*60)*T253</f>
        <v>5.3921357971637294</v>
      </c>
      <c r="O253" s="214"/>
      <c r="P253" s="214">
        <f t="shared" si="34"/>
        <v>0</v>
      </c>
      <c r="Q253" s="214"/>
      <c r="R253" s="19">
        <f t="shared" si="35"/>
        <v>0</v>
      </c>
      <c r="S253" s="214">
        <f t="shared" si="36"/>
        <v>0</v>
      </c>
      <c r="T253" s="20">
        <v>5</v>
      </c>
      <c r="U253" s="20"/>
      <c r="V253" s="21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12">
        <v>300039</v>
      </c>
      <c r="B254" s="208" t="s">
        <v>60</v>
      </c>
      <c r="C254" s="256" t="s">
        <v>64</v>
      </c>
      <c r="D254" s="256" t="s">
        <v>65</v>
      </c>
      <c r="E254" s="216" t="s">
        <v>66</v>
      </c>
      <c r="F254" s="215"/>
      <c r="G254" s="214"/>
      <c r="H254" s="214"/>
      <c r="I254" s="214"/>
      <c r="J254" s="214"/>
      <c r="K254" s="214">
        <f t="shared" si="31"/>
        <v>0</v>
      </c>
      <c r="L254" s="214">
        <f t="shared" si="32"/>
        <v>0</v>
      </c>
      <c r="M254" s="214">
        <v>310.39999999999998</v>
      </c>
      <c r="N254" s="214">
        <f>+M254*1000/(35.8*10*13*60)*T254</f>
        <v>5.557942988110586</v>
      </c>
      <c r="O254" s="214"/>
      <c r="P254" s="214">
        <f t="shared" si="34"/>
        <v>0</v>
      </c>
      <c r="Q254" s="214"/>
      <c r="R254" s="19">
        <f t="shared" si="35"/>
        <v>0</v>
      </c>
      <c r="S254" s="214">
        <f t="shared" si="36"/>
        <v>0</v>
      </c>
      <c r="T254" s="20">
        <v>5</v>
      </c>
      <c r="U254" s="20"/>
      <c r="V254" s="21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12">
        <v>300416</v>
      </c>
      <c r="B255" s="208" t="s">
        <v>67</v>
      </c>
      <c r="C255" s="267" t="s">
        <v>68</v>
      </c>
      <c r="D255" s="268"/>
      <c r="E255" s="216" t="s">
        <v>69</v>
      </c>
      <c r="F255" s="215"/>
      <c r="G255" s="14"/>
      <c r="H255" s="14"/>
      <c r="I255" s="14"/>
      <c r="J255" s="14"/>
      <c r="K255" s="214">
        <f t="shared" si="31"/>
        <v>0</v>
      </c>
      <c r="L255" s="214">
        <f t="shared" si="32"/>
        <v>0</v>
      </c>
      <c r="M255" s="214">
        <v>385.6</v>
      </c>
      <c r="N255" s="214">
        <f>+M255*1000/(25.4*20*15*60)*T255</f>
        <v>2.5301837270341205</v>
      </c>
      <c r="O255" s="214"/>
      <c r="P255" s="214">
        <f t="shared" si="34"/>
        <v>0</v>
      </c>
      <c r="Q255" s="214"/>
      <c r="R255" s="19">
        <f t="shared" si="35"/>
        <v>0</v>
      </c>
      <c r="S255" s="214">
        <f t="shared" si="36"/>
        <v>0</v>
      </c>
      <c r="T255" s="20">
        <v>3</v>
      </c>
      <c r="U255" s="20"/>
      <c r="V255" s="21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12">
        <v>300417</v>
      </c>
      <c r="B256" s="208" t="s">
        <v>67</v>
      </c>
      <c r="C256" s="267" t="s">
        <v>68</v>
      </c>
      <c r="D256" s="268"/>
      <c r="E256" s="216" t="s">
        <v>70</v>
      </c>
      <c r="F256" s="215"/>
      <c r="G256" s="14"/>
      <c r="H256" s="14"/>
      <c r="I256" s="14"/>
      <c r="J256" s="14"/>
      <c r="K256" s="214">
        <f t="shared" si="31"/>
        <v>0</v>
      </c>
      <c r="L256" s="214">
        <f t="shared" si="32"/>
        <v>0</v>
      </c>
      <c r="M256" s="214">
        <v>385.6</v>
      </c>
      <c r="N256" s="214">
        <f>+M256*1000/(25.4*20*15*60)*T256</f>
        <v>2.5301837270341205</v>
      </c>
      <c r="O256" s="214"/>
      <c r="P256" s="214">
        <f t="shared" si="34"/>
        <v>0</v>
      </c>
      <c r="Q256" s="214"/>
      <c r="R256" s="19">
        <f t="shared" si="35"/>
        <v>0</v>
      </c>
      <c r="S256" s="214">
        <f t="shared" si="36"/>
        <v>0</v>
      </c>
      <c r="T256" s="20">
        <v>3</v>
      </c>
      <c r="U256" s="20"/>
      <c r="V256" s="21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12">
        <v>300418</v>
      </c>
      <c r="B257" s="208" t="s">
        <v>67</v>
      </c>
      <c r="C257" s="267" t="s">
        <v>68</v>
      </c>
      <c r="D257" s="268"/>
      <c r="E257" s="216" t="s">
        <v>71</v>
      </c>
      <c r="F257" s="215"/>
      <c r="G257" s="14"/>
      <c r="H257" s="14"/>
      <c r="I257" s="14"/>
      <c r="J257" s="14"/>
      <c r="K257" s="214">
        <f t="shared" si="31"/>
        <v>0</v>
      </c>
      <c r="L257" s="214">
        <f t="shared" si="32"/>
        <v>0</v>
      </c>
      <c r="M257" s="214">
        <v>385.6</v>
      </c>
      <c r="N257" s="214">
        <f>+M257*1000/(25.4*20*15*60)*T257</f>
        <v>2.5301837270341205</v>
      </c>
      <c r="O257" s="214"/>
      <c r="P257" s="214">
        <f t="shared" si="34"/>
        <v>0</v>
      </c>
      <c r="Q257" s="214"/>
      <c r="R257" s="19">
        <f t="shared" si="35"/>
        <v>0</v>
      </c>
      <c r="S257" s="214">
        <f t="shared" si="36"/>
        <v>0</v>
      </c>
      <c r="T257" s="20">
        <v>3</v>
      </c>
      <c r="U257" s="20"/>
      <c r="V257" s="21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12">
        <v>300419</v>
      </c>
      <c r="B258" s="208" t="s">
        <v>67</v>
      </c>
      <c r="C258" s="267" t="s">
        <v>68</v>
      </c>
      <c r="D258" s="268"/>
      <c r="E258" s="216" t="s">
        <v>72</v>
      </c>
      <c r="F258" s="215"/>
      <c r="G258" s="14"/>
      <c r="H258" s="14"/>
      <c r="I258" s="14"/>
      <c r="J258" s="14"/>
      <c r="K258" s="214">
        <f t="shared" si="31"/>
        <v>0</v>
      </c>
      <c r="L258" s="214">
        <f t="shared" si="32"/>
        <v>0</v>
      </c>
      <c r="M258" s="214">
        <v>385.6</v>
      </c>
      <c r="N258" s="214">
        <f>+M258*1000/(25.4*20*15*60)*T258</f>
        <v>2.5301837270341205</v>
      </c>
      <c r="O258" s="214"/>
      <c r="P258" s="214">
        <f t="shared" si="34"/>
        <v>0</v>
      </c>
      <c r="Q258" s="214"/>
      <c r="R258" s="19">
        <f t="shared" si="35"/>
        <v>0</v>
      </c>
      <c r="S258" s="214">
        <f t="shared" si="36"/>
        <v>0</v>
      </c>
      <c r="T258" s="20">
        <v>3</v>
      </c>
      <c r="U258" s="20"/>
      <c r="V258" s="21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12">
        <v>300260</v>
      </c>
      <c r="B259" s="208" t="s">
        <v>67</v>
      </c>
      <c r="C259" s="256" t="s">
        <v>73</v>
      </c>
      <c r="D259" s="256"/>
      <c r="E259" s="216" t="s">
        <v>74</v>
      </c>
      <c r="F259" s="215"/>
      <c r="G259" s="214"/>
      <c r="H259" s="214"/>
      <c r="I259" s="214"/>
      <c r="J259" s="214"/>
      <c r="K259" s="214">
        <f t="shared" si="31"/>
        <v>0</v>
      </c>
      <c r="L259" s="214">
        <f t="shared" si="32"/>
        <v>0</v>
      </c>
      <c r="M259" s="214">
        <v>434.33</v>
      </c>
      <c r="N259" s="214">
        <f>+M259*1000/(42.7*10*15*60)*T259</f>
        <v>2.2603695029924538</v>
      </c>
      <c r="O259" s="214"/>
      <c r="P259" s="214">
        <f t="shared" si="34"/>
        <v>0</v>
      </c>
      <c r="Q259" s="214"/>
      <c r="R259" s="19">
        <f t="shared" si="35"/>
        <v>0</v>
      </c>
      <c r="S259" s="214">
        <f t="shared" si="36"/>
        <v>0</v>
      </c>
      <c r="T259" s="20">
        <v>2</v>
      </c>
      <c r="U259" s="20"/>
      <c r="V259" s="21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12">
        <v>300261</v>
      </c>
      <c r="B260" s="208" t="s">
        <v>67</v>
      </c>
      <c r="C260" s="256" t="s">
        <v>73</v>
      </c>
      <c r="D260" s="256"/>
      <c r="E260" s="216" t="s">
        <v>41</v>
      </c>
      <c r="F260" s="215"/>
      <c r="G260" s="214"/>
      <c r="H260" s="214"/>
      <c r="I260" s="214"/>
      <c r="J260" s="214"/>
      <c r="K260" s="214">
        <f t="shared" si="31"/>
        <v>0</v>
      </c>
      <c r="L260" s="214">
        <f t="shared" si="32"/>
        <v>0</v>
      </c>
      <c r="M260" s="214">
        <v>434.33</v>
      </c>
      <c r="N260" s="214">
        <f>+M260*1000/(42.7*10*15*60)*T260</f>
        <v>2.2603695029924538</v>
      </c>
      <c r="O260" s="214"/>
      <c r="P260" s="214">
        <f t="shared" si="34"/>
        <v>0</v>
      </c>
      <c r="Q260" s="214"/>
      <c r="R260" s="19">
        <f t="shared" si="35"/>
        <v>0</v>
      </c>
      <c r="S260" s="214">
        <f t="shared" si="36"/>
        <v>0</v>
      </c>
      <c r="T260" s="20">
        <v>2</v>
      </c>
      <c r="U260" s="20"/>
      <c r="V260" s="21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12">
        <v>300262</v>
      </c>
      <c r="B261" s="208" t="s">
        <v>67</v>
      </c>
      <c r="C261" s="256" t="s">
        <v>73</v>
      </c>
      <c r="D261" s="256"/>
      <c r="E261" s="216" t="s">
        <v>39</v>
      </c>
      <c r="F261" s="215"/>
      <c r="G261" s="214"/>
      <c r="H261" s="214"/>
      <c r="I261" s="214"/>
      <c r="J261" s="214"/>
      <c r="K261" s="214">
        <f t="shared" si="31"/>
        <v>0</v>
      </c>
      <c r="L261" s="214">
        <f t="shared" si="32"/>
        <v>0</v>
      </c>
      <c r="M261" s="214">
        <v>434.33</v>
      </c>
      <c r="N261" s="214">
        <f>+M261*1000/(42.7*10*15*60)*T261</f>
        <v>2.2603695029924538</v>
      </c>
      <c r="O261" s="214"/>
      <c r="P261" s="214">
        <f t="shared" si="34"/>
        <v>0</v>
      </c>
      <c r="Q261" s="214"/>
      <c r="R261" s="19">
        <f t="shared" si="35"/>
        <v>0</v>
      </c>
      <c r="S261" s="214">
        <f t="shared" si="36"/>
        <v>0</v>
      </c>
      <c r="T261" s="20">
        <v>2</v>
      </c>
      <c r="U261" s="20"/>
      <c r="V261" s="21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12">
        <v>300263</v>
      </c>
      <c r="B262" s="208" t="s">
        <v>67</v>
      </c>
      <c r="C262" s="256" t="s">
        <v>73</v>
      </c>
      <c r="D262" s="256"/>
      <c r="E262" s="216" t="s">
        <v>54</v>
      </c>
      <c r="F262" s="215"/>
      <c r="G262" s="214"/>
      <c r="H262" s="214"/>
      <c r="I262" s="214"/>
      <c r="J262" s="214"/>
      <c r="K262" s="214">
        <f t="shared" si="31"/>
        <v>0</v>
      </c>
      <c r="L262" s="214">
        <f t="shared" si="32"/>
        <v>0</v>
      </c>
      <c r="M262" s="214">
        <v>434.33</v>
      </c>
      <c r="N262" s="214">
        <f>+M262*1000/(42.7*10*15*60)*T262</f>
        <v>2.2603695029924538</v>
      </c>
      <c r="O262" s="214"/>
      <c r="P262" s="214">
        <f t="shared" si="34"/>
        <v>0</v>
      </c>
      <c r="Q262" s="214"/>
      <c r="R262" s="19">
        <f t="shared" si="35"/>
        <v>0</v>
      </c>
      <c r="S262" s="214">
        <f t="shared" si="36"/>
        <v>0</v>
      </c>
      <c r="T262" s="20">
        <v>2</v>
      </c>
      <c r="U262" s="20"/>
      <c r="V262" s="21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12">
        <v>300051</v>
      </c>
      <c r="B263" s="208">
        <v>4503</v>
      </c>
      <c r="C263" s="256" t="s">
        <v>75</v>
      </c>
      <c r="D263" s="256" t="s">
        <v>76</v>
      </c>
      <c r="E263" s="216" t="s">
        <v>40</v>
      </c>
      <c r="F263" s="215">
        <v>1532</v>
      </c>
      <c r="G263" s="214">
        <v>2.12</v>
      </c>
      <c r="H263" s="214">
        <v>0.12</v>
      </c>
      <c r="I263" s="214">
        <f>2+H263</f>
        <v>2.12</v>
      </c>
      <c r="J263" s="214"/>
      <c r="K263" s="214">
        <f t="shared" si="31"/>
        <v>1157.308</v>
      </c>
      <c r="L263" s="214">
        <f t="shared" si="32"/>
        <v>1157.308</v>
      </c>
      <c r="M263" s="214">
        <v>545.9</v>
      </c>
      <c r="N263" s="214">
        <f>+M263*1000/(41.5*10*16*60)*T263</f>
        <v>2.7404618473895583</v>
      </c>
      <c r="O263" s="214"/>
      <c r="P263" s="214">
        <f t="shared" si="34"/>
        <v>5.8097791164658643</v>
      </c>
      <c r="Q263" s="214">
        <v>4.5</v>
      </c>
      <c r="R263" s="19">
        <f t="shared" si="35"/>
        <v>9</v>
      </c>
      <c r="S263" s="214">
        <f t="shared" si="36"/>
        <v>3.1902208835341357</v>
      </c>
      <c r="T263" s="22">
        <v>2</v>
      </c>
      <c r="U263" s="20">
        <v>2</v>
      </c>
      <c r="V263" s="213">
        <f t="array" ref="V263">IF(ISERROR(L263/K263),"",L263/K263)</f>
        <v>1</v>
      </c>
      <c r="W263" s="20"/>
      <c r="X263" s="20">
        <v>1.5</v>
      </c>
      <c r="Y263" s="20"/>
      <c r="Z263" s="20"/>
      <c r="AA263" s="20"/>
      <c r="AB263" s="20"/>
      <c r="AC263" s="20"/>
    </row>
    <row r="264" spans="1:29" s="2" customFormat="1" ht="21.95" customHeight="1">
      <c r="A264" s="212">
        <v>300052</v>
      </c>
      <c r="B264" s="208">
        <v>4503</v>
      </c>
      <c r="C264" s="256" t="s">
        <v>75</v>
      </c>
      <c r="D264" s="256" t="s">
        <v>76</v>
      </c>
      <c r="E264" s="216" t="s">
        <v>39</v>
      </c>
      <c r="F264" s="215">
        <v>1531</v>
      </c>
      <c r="G264" s="214">
        <v>6</v>
      </c>
      <c r="H264" s="214"/>
      <c r="I264" s="214">
        <f>6-J264/500</f>
        <v>5.9</v>
      </c>
      <c r="J264" s="214">
        <v>50</v>
      </c>
      <c r="K264" s="214">
        <f t="shared" si="31"/>
        <v>3275.3999999999996</v>
      </c>
      <c r="L264" s="214">
        <f t="shared" si="32"/>
        <v>3220.81</v>
      </c>
      <c r="M264" s="214">
        <v>545.9</v>
      </c>
      <c r="N264" s="214">
        <f>+M264*1000/(41.5*10*16*60)*T264</f>
        <v>2.7404618473895583</v>
      </c>
      <c r="O264" s="214">
        <v>0.5</v>
      </c>
      <c r="P264" s="214">
        <f t="shared" si="34"/>
        <v>17.168724899598395</v>
      </c>
      <c r="Q264" s="214">
        <v>6.5</v>
      </c>
      <c r="R264" s="19">
        <f t="shared" si="35"/>
        <v>13</v>
      </c>
      <c r="S264" s="214">
        <f t="shared" si="36"/>
        <v>-4.168724899598395</v>
      </c>
      <c r="T264" s="20">
        <v>2</v>
      </c>
      <c r="U264" s="20">
        <v>2</v>
      </c>
      <c r="V264" s="213">
        <f t="array" ref="V264">IF(ISERROR(L264/K264),"",L264/K264)</f>
        <v>0.98333333333333339</v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12">
        <v>300054</v>
      </c>
      <c r="B265" s="208" t="s">
        <v>67</v>
      </c>
      <c r="C265" s="256" t="s">
        <v>75</v>
      </c>
      <c r="D265" s="256" t="s">
        <v>76</v>
      </c>
      <c r="E265" s="216" t="s">
        <v>38</v>
      </c>
      <c r="F265" s="215"/>
      <c r="G265" s="214"/>
      <c r="H265" s="214"/>
      <c r="I265" s="214"/>
      <c r="J265" s="214"/>
      <c r="K265" s="214">
        <f t="shared" si="31"/>
        <v>0</v>
      </c>
      <c r="L265" s="214">
        <f t="shared" si="32"/>
        <v>0</v>
      </c>
      <c r="M265" s="214">
        <v>545.9</v>
      </c>
      <c r="N265" s="214">
        <f>+M265*1000/(41.5*10*16*60)*T265</f>
        <v>2.7404618473895583</v>
      </c>
      <c r="O265" s="214"/>
      <c r="P265" s="214">
        <f t="shared" si="34"/>
        <v>0</v>
      </c>
      <c r="Q265" s="214"/>
      <c r="R265" s="19">
        <f t="shared" si="35"/>
        <v>0</v>
      </c>
      <c r="S265" s="214">
        <f t="shared" si="36"/>
        <v>0</v>
      </c>
      <c r="T265" s="20">
        <v>2</v>
      </c>
      <c r="U265" s="20"/>
      <c r="V265" s="21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12">
        <v>300436</v>
      </c>
      <c r="B266" s="208" t="s">
        <v>67</v>
      </c>
      <c r="C266" s="256" t="s">
        <v>75</v>
      </c>
      <c r="D266" s="256" t="s">
        <v>76</v>
      </c>
      <c r="E266" s="216" t="s">
        <v>309</v>
      </c>
      <c r="F266" s="27"/>
      <c r="G266" s="110"/>
      <c r="H266" s="110"/>
      <c r="I266" s="110"/>
      <c r="J266" s="110"/>
      <c r="K266" s="214">
        <f t="shared" si="31"/>
        <v>0</v>
      </c>
      <c r="L266" s="214">
        <f t="shared" si="32"/>
        <v>0</v>
      </c>
      <c r="M266" s="214">
        <v>545.9</v>
      </c>
      <c r="N266" s="214">
        <f>+M266*1000/(41.5*10*16*60)*T266</f>
        <v>2.7404618473895583</v>
      </c>
      <c r="O266" s="214"/>
      <c r="P266" s="214">
        <f t="shared" si="34"/>
        <v>0</v>
      </c>
      <c r="Q266" s="214"/>
      <c r="R266" s="19">
        <f t="shared" si="35"/>
        <v>0</v>
      </c>
      <c r="S266" s="214">
        <f t="shared" si="36"/>
        <v>0</v>
      </c>
      <c r="T266" s="20">
        <v>2</v>
      </c>
      <c r="U266" s="20"/>
      <c r="V266" s="213"/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12">
        <v>300050</v>
      </c>
      <c r="B267" s="208" t="s">
        <v>67</v>
      </c>
      <c r="C267" s="256" t="s">
        <v>77</v>
      </c>
      <c r="D267" s="256" t="s">
        <v>78</v>
      </c>
      <c r="E267" s="216" t="s">
        <v>79</v>
      </c>
      <c r="F267" s="215"/>
      <c r="G267" s="214"/>
      <c r="H267" s="214"/>
      <c r="I267" s="214"/>
      <c r="J267" s="214"/>
      <c r="K267" s="214">
        <f t="shared" si="31"/>
        <v>0</v>
      </c>
      <c r="L267" s="214">
        <f t="shared" si="32"/>
        <v>0</v>
      </c>
      <c r="M267" s="214">
        <v>427.5</v>
      </c>
      <c r="N267" s="214">
        <f>+M267*1000/(45*10*14*60)*T267</f>
        <v>5.6547619047619051</v>
      </c>
      <c r="O267" s="214"/>
      <c r="P267" s="214">
        <f t="shared" si="34"/>
        <v>0</v>
      </c>
      <c r="Q267" s="214"/>
      <c r="R267" s="19">
        <f t="shared" si="35"/>
        <v>0</v>
      </c>
      <c r="S267" s="214">
        <f t="shared" si="36"/>
        <v>0</v>
      </c>
      <c r="T267" s="20">
        <v>5</v>
      </c>
      <c r="U267" s="20"/>
      <c r="V267" s="21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12">
        <v>300045</v>
      </c>
      <c r="B268" s="208" t="s">
        <v>67</v>
      </c>
      <c r="C268" s="256" t="s">
        <v>77</v>
      </c>
      <c r="D268" s="256" t="s">
        <v>78</v>
      </c>
      <c r="E268" s="216" t="s">
        <v>35</v>
      </c>
      <c r="F268" s="215"/>
      <c r="G268" s="214"/>
      <c r="H268" s="214"/>
      <c r="I268" s="214"/>
      <c r="J268" s="214"/>
      <c r="K268" s="214">
        <f t="shared" si="31"/>
        <v>0</v>
      </c>
      <c r="L268" s="214">
        <f t="shared" si="32"/>
        <v>0</v>
      </c>
      <c r="M268" s="214">
        <v>406.6</v>
      </c>
      <c r="N268" s="214">
        <f>+M268*1000/(45*10*13*60)*T268</f>
        <v>5.7920227920227916</v>
      </c>
      <c r="O268" s="214"/>
      <c r="P268" s="214">
        <f t="shared" si="34"/>
        <v>0</v>
      </c>
      <c r="Q268" s="214"/>
      <c r="R268" s="19">
        <f t="shared" si="35"/>
        <v>0</v>
      </c>
      <c r="S268" s="214">
        <f t="shared" si="36"/>
        <v>0</v>
      </c>
      <c r="T268" s="20">
        <v>5</v>
      </c>
      <c r="U268" s="20"/>
      <c r="V268" s="21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12">
        <v>300422</v>
      </c>
      <c r="B269" s="208" t="s">
        <v>67</v>
      </c>
      <c r="C269" s="267" t="s">
        <v>301</v>
      </c>
      <c r="D269" s="268"/>
      <c r="E269" s="216" t="s">
        <v>54</v>
      </c>
      <c r="F269" s="215"/>
      <c r="G269" s="110"/>
      <c r="H269" s="110"/>
      <c r="I269" s="110"/>
      <c r="J269" s="110"/>
      <c r="K269" s="214">
        <f t="shared" si="31"/>
        <v>0</v>
      </c>
      <c r="L269" s="214">
        <f t="shared" si="32"/>
        <v>0</v>
      </c>
      <c r="M269" s="214">
        <v>429.8</v>
      </c>
      <c r="N269" s="214">
        <f>+M269*1000/(45*10*13*60)*T269</f>
        <v>3.6735042735042738</v>
      </c>
      <c r="O269" s="214"/>
      <c r="P269" s="214">
        <f t="shared" si="34"/>
        <v>0</v>
      </c>
      <c r="Q269" s="214"/>
      <c r="R269" s="19">
        <f t="shared" si="35"/>
        <v>0</v>
      </c>
      <c r="S269" s="214">
        <f t="shared" si="36"/>
        <v>0</v>
      </c>
      <c r="T269" s="20">
        <v>3</v>
      </c>
      <c r="U269" s="20"/>
      <c r="V269" s="21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12">
        <v>300421</v>
      </c>
      <c r="B270" s="208" t="s">
        <v>67</v>
      </c>
      <c r="C270" s="267" t="s">
        <v>301</v>
      </c>
      <c r="D270" s="268"/>
      <c r="E270" s="216" t="s">
        <v>80</v>
      </c>
      <c r="F270" s="215"/>
      <c r="G270" s="110"/>
      <c r="H270" s="110"/>
      <c r="I270" s="110"/>
      <c r="J270" s="110"/>
      <c r="K270" s="214">
        <f t="shared" si="31"/>
        <v>0</v>
      </c>
      <c r="L270" s="214">
        <f t="shared" si="32"/>
        <v>0</v>
      </c>
      <c r="M270" s="214">
        <v>429.8</v>
      </c>
      <c r="N270" s="214">
        <f>+M270*1000/(45*10*13*60)*T270</f>
        <v>3.6735042735042738</v>
      </c>
      <c r="O270" s="214"/>
      <c r="P270" s="214">
        <f t="shared" si="34"/>
        <v>0</v>
      </c>
      <c r="Q270" s="214"/>
      <c r="R270" s="19">
        <f t="shared" si="35"/>
        <v>0</v>
      </c>
      <c r="S270" s="214">
        <f t="shared" si="36"/>
        <v>0</v>
      </c>
      <c r="T270" s="20">
        <v>3</v>
      </c>
      <c r="U270" s="20"/>
      <c r="V270" s="21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12">
        <v>300149</v>
      </c>
      <c r="B271" s="208" t="s">
        <v>67</v>
      </c>
      <c r="C271" s="256" t="s">
        <v>81</v>
      </c>
      <c r="D271" s="256" t="s">
        <v>82</v>
      </c>
      <c r="E271" s="216" t="s">
        <v>80</v>
      </c>
      <c r="F271" s="215"/>
      <c r="G271" s="214"/>
      <c r="H271" s="214"/>
      <c r="I271" s="214"/>
      <c r="J271" s="214"/>
      <c r="K271" s="214">
        <f t="shared" si="31"/>
        <v>0</v>
      </c>
      <c r="L271" s="214">
        <f t="shared" si="32"/>
        <v>0</v>
      </c>
      <c r="M271" s="214">
        <v>589.1</v>
      </c>
      <c r="N271" s="214">
        <f>+M271*1000/(67.1*10*13*60)*T271</f>
        <v>3.3767052619511633</v>
      </c>
      <c r="O271" s="214"/>
      <c r="P271" s="214">
        <f t="shared" si="34"/>
        <v>0</v>
      </c>
      <c r="Q271" s="214"/>
      <c r="R271" s="19">
        <f t="shared" si="35"/>
        <v>0</v>
      </c>
      <c r="S271" s="214">
        <f t="shared" si="36"/>
        <v>0</v>
      </c>
      <c r="T271" s="20">
        <v>3</v>
      </c>
      <c r="U271" s="20"/>
      <c r="V271" s="21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12">
        <v>300150</v>
      </c>
      <c r="B272" s="208" t="s">
        <v>67</v>
      </c>
      <c r="C272" s="256" t="s">
        <v>81</v>
      </c>
      <c r="D272" s="256" t="s">
        <v>82</v>
      </c>
      <c r="E272" s="216" t="s">
        <v>54</v>
      </c>
      <c r="F272" s="215"/>
      <c r="G272" s="214"/>
      <c r="H272" s="214"/>
      <c r="I272" s="214"/>
      <c r="J272" s="214"/>
      <c r="K272" s="214">
        <f t="shared" si="31"/>
        <v>0</v>
      </c>
      <c r="L272" s="214">
        <f t="shared" si="32"/>
        <v>0</v>
      </c>
      <c r="M272" s="214">
        <v>589.1</v>
      </c>
      <c r="N272" s="214">
        <f>+M272*1000/(67.1*10*13*60)*T272</f>
        <v>3.3767052619511633</v>
      </c>
      <c r="O272" s="214"/>
      <c r="P272" s="214">
        <f t="shared" si="34"/>
        <v>0</v>
      </c>
      <c r="Q272" s="214"/>
      <c r="R272" s="19">
        <f t="shared" si="35"/>
        <v>0</v>
      </c>
      <c r="S272" s="214">
        <f t="shared" si="36"/>
        <v>0</v>
      </c>
      <c r="T272" s="20">
        <v>3</v>
      </c>
      <c r="U272" s="20"/>
      <c r="V272" s="21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12">
        <v>300330</v>
      </c>
      <c r="B273" s="208" t="s">
        <v>67</v>
      </c>
      <c r="C273" s="267" t="s">
        <v>83</v>
      </c>
      <c r="D273" s="268"/>
      <c r="E273" s="216" t="s">
        <v>84</v>
      </c>
      <c r="F273" s="215"/>
      <c r="G273" s="214"/>
      <c r="H273" s="214"/>
      <c r="I273" s="214"/>
      <c r="J273" s="214"/>
      <c r="K273" s="214">
        <f t="shared" si="31"/>
        <v>0</v>
      </c>
      <c r="L273" s="214">
        <f t="shared" si="32"/>
        <v>0</v>
      </c>
      <c r="M273" s="214">
        <v>416.3</v>
      </c>
      <c r="N273" s="214">
        <f t="shared" ref="N273:N278" si="37">+M273*1000/(45*10*18*60)*T273</f>
        <v>1.7131687242798355</v>
      </c>
      <c r="O273" s="214"/>
      <c r="P273" s="214">
        <f t="shared" si="34"/>
        <v>0</v>
      </c>
      <c r="Q273" s="214"/>
      <c r="R273" s="19">
        <f t="shared" si="35"/>
        <v>0</v>
      </c>
      <c r="S273" s="214">
        <f t="shared" si="36"/>
        <v>0</v>
      </c>
      <c r="T273" s="20">
        <v>2</v>
      </c>
      <c r="U273" s="20"/>
      <c r="V273" s="21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12">
        <v>300331</v>
      </c>
      <c r="B274" s="208" t="s">
        <v>67</v>
      </c>
      <c r="C274" s="267" t="s">
        <v>83</v>
      </c>
      <c r="D274" s="268"/>
      <c r="E274" s="216" t="s">
        <v>49</v>
      </c>
      <c r="F274" s="215"/>
      <c r="G274" s="214"/>
      <c r="H274" s="214"/>
      <c r="I274" s="214"/>
      <c r="J274" s="214"/>
      <c r="K274" s="214">
        <f t="shared" si="31"/>
        <v>0</v>
      </c>
      <c r="L274" s="214">
        <f t="shared" si="32"/>
        <v>0</v>
      </c>
      <c r="M274" s="214">
        <v>416.3</v>
      </c>
      <c r="N274" s="214">
        <f t="shared" si="37"/>
        <v>1.7131687242798355</v>
      </c>
      <c r="O274" s="214"/>
      <c r="P274" s="214">
        <f t="shared" si="34"/>
        <v>0</v>
      </c>
      <c r="Q274" s="214"/>
      <c r="R274" s="19">
        <f t="shared" si="35"/>
        <v>0</v>
      </c>
      <c r="S274" s="214">
        <f t="shared" si="36"/>
        <v>0</v>
      </c>
      <c r="T274" s="20">
        <v>2</v>
      </c>
      <c r="U274" s="20"/>
      <c r="V274" s="21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12">
        <v>300332</v>
      </c>
      <c r="B275" s="208" t="s">
        <v>67</v>
      </c>
      <c r="C275" s="267" t="s">
        <v>83</v>
      </c>
      <c r="D275" s="268"/>
      <c r="E275" s="216" t="s">
        <v>85</v>
      </c>
      <c r="F275" s="215"/>
      <c r="G275" s="214"/>
      <c r="H275" s="214"/>
      <c r="I275" s="214"/>
      <c r="J275" s="214"/>
      <c r="K275" s="214">
        <f t="shared" si="31"/>
        <v>0</v>
      </c>
      <c r="L275" s="214">
        <f t="shared" si="32"/>
        <v>0</v>
      </c>
      <c r="M275" s="214">
        <v>416.3</v>
      </c>
      <c r="N275" s="214">
        <f t="shared" si="37"/>
        <v>1.7131687242798355</v>
      </c>
      <c r="O275" s="214"/>
      <c r="P275" s="214">
        <f t="shared" si="34"/>
        <v>0</v>
      </c>
      <c r="Q275" s="214"/>
      <c r="R275" s="19">
        <f t="shared" si="35"/>
        <v>0</v>
      </c>
      <c r="S275" s="214">
        <f t="shared" si="36"/>
        <v>0</v>
      </c>
      <c r="T275" s="20">
        <v>2</v>
      </c>
      <c r="U275" s="20"/>
      <c r="V275" s="21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12">
        <v>300333</v>
      </c>
      <c r="B276" s="208" t="s">
        <v>67</v>
      </c>
      <c r="C276" s="267" t="s">
        <v>86</v>
      </c>
      <c r="D276" s="268"/>
      <c r="E276" s="216" t="s">
        <v>84</v>
      </c>
      <c r="F276" s="215"/>
      <c r="G276" s="214"/>
      <c r="H276" s="214"/>
      <c r="I276" s="214"/>
      <c r="J276" s="214"/>
      <c r="K276" s="214">
        <f t="shared" si="31"/>
        <v>0</v>
      </c>
      <c r="L276" s="214">
        <f t="shared" si="32"/>
        <v>0</v>
      </c>
      <c r="M276" s="214">
        <v>416.3</v>
      </c>
      <c r="N276" s="214">
        <f t="shared" si="37"/>
        <v>1.7131687242798355</v>
      </c>
      <c r="O276" s="214"/>
      <c r="P276" s="214">
        <f t="shared" si="34"/>
        <v>0</v>
      </c>
      <c r="Q276" s="214"/>
      <c r="R276" s="19">
        <f t="shared" si="35"/>
        <v>0</v>
      </c>
      <c r="S276" s="214">
        <f t="shared" si="36"/>
        <v>0</v>
      </c>
      <c r="T276" s="20">
        <v>2</v>
      </c>
      <c r="U276" s="20"/>
      <c r="V276" s="21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12">
        <v>300334</v>
      </c>
      <c r="B277" s="208" t="s">
        <v>67</v>
      </c>
      <c r="C277" s="267" t="s">
        <v>86</v>
      </c>
      <c r="D277" s="268"/>
      <c r="E277" s="216" t="s">
        <v>85</v>
      </c>
      <c r="F277" s="215"/>
      <c r="G277" s="214"/>
      <c r="H277" s="214"/>
      <c r="I277" s="214"/>
      <c r="J277" s="214"/>
      <c r="K277" s="214">
        <f t="shared" si="31"/>
        <v>0</v>
      </c>
      <c r="L277" s="214">
        <f t="shared" si="32"/>
        <v>0</v>
      </c>
      <c r="M277" s="214">
        <v>416.3</v>
      </c>
      <c r="N277" s="214">
        <f t="shared" si="37"/>
        <v>1.7131687242798355</v>
      </c>
      <c r="O277" s="214"/>
      <c r="P277" s="214">
        <f t="shared" si="34"/>
        <v>0</v>
      </c>
      <c r="Q277" s="214"/>
      <c r="R277" s="19">
        <f t="shared" si="35"/>
        <v>0</v>
      </c>
      <c r="S277" s="214">
        <f t="shared" si="36"/>
        <v>0</v>
      </c>
      <c r="T277" s="20">
        <v>2</v>
      </c>
      <c r="U277" s="20"/>
      <c r="V277" s="21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12">
        <v>300335</v>
      </c>
      <c r="B278" s="208" t="s">
        <v>67</v>
      </c>
      <c r="C278" s="267" t="s">
        <v>86</v>
      </c>
      <c r="D278" s="268"/>
      <c r="E278" s="216" t="s">
        <v>49</v>
      </c>
      <c r="F278" s="215"/>
      <c r="G278" s="214"/>
      <c r="H278" s="214"/>
      <c r="I278" s="214"/>
      <c r="J278" s="214"/>
      <c r="K278" s="214">
        <f t="shared" si="31"/>
        <v>0</v>
      </c>
      <c r="L278" s="214">
        <f t="shared" si="32"/>
        <v>0</v>
      </c>
      <c r="M278" s="214">
        <v>416.3</v>
      </c>
      <c r="N278" s="214">
        <f t="shared" si="37"/>
        <v>1.7131687242798355</v>
      </c>
      <c r="O278" s="214"/>
      <c r="P278" s="214">
        <f t="shared" si="34"/>
        <v>0</v>
      </c>
      <c r="Q278" s="214"/>
      <c r="R278" s="19">
        <f t="shared" si="35"/>
        <v>0</v>
      </c>
      <c r="S278" s="214">
        <f t="shared" si="36"/>
        <v>0</v>
      </c>
      <c r="T278" s="20">
        <v>2</v>
      </c>
      <c r="U278" s="20"/>
      <c r="V278" s="21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12">
        <v>300291</v>
      </c>
      <c r="B279" s="208" t="s">
        <v>87</v>
      </c>
      <c r="C279" s="256" t="s">
        <v>88</v>
      </c>
      <c r="D279" s="256" t="s">
        <v>89</v>
      </c>
      <c r="E279" s="216" t="s">
        <v>42</v>
      </c>
      <c r="F279" s="215"/>
      <c r="G279" s="214"/>
      <c r="H279" s="214"/>
      <c r="I279" s="214"/>
      <c r="J279" s="214"/>
      <c r="K279" s="214">
        <f t="shared" si="31"/>
        <v>0</v>
      </c>
      <c r="L279" s="214">
        <f t="shared" si="32"/>
        <v>0</v>
      </c>
      <c r="M279" s="214">
        <v>517.79999999999995</v>
      </c>
      <c r="N279" s="214">
        <f>+M279*1000/(66.6*1*110*60)*T279</f>
        <v>4.7119847119847122</v>
      </c>
      <c r="O279" s="214"/>
      <c r="P279" s="214">
        <f t="shared" si="34"/>
        <v>0</v>
      </c>
      <c r="Q279" s="214"/>
      <c r="R279" s="19">
        <f t="shared" si="35"/>
        <v>0</v>
      </c>
      <c r="S279" s="214">
        <f t="shared" si="36"/>
        <v>0</v>
      </c>
      <c r="T279" s="20">
        <v>4</v>
      </c>
      <c r="U279" s="20"/>
      <c r="V279" s="21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12">
        <v>300292</v>
      </c>
      <c r="B280" s="208" t="s">
        <v>87</v>
      </c>
      <c r="C280" s="256" t="s">
        <v>88</v>
      </c>
      <c r="D280" s="256" t="s">
        <v>89</v>
      </c>
      <c r="E280" s="216" t="s">
        <v>41</v>
      </c>
      <c r="F280" s="215"/>
      <c r="G280" s="214"/>
      <c r="H280" s="214"/>
      <c r="I280" s="214"/>
      <c r="J280" s="214"/>
      <c r="K280" s="214">
        <f t="shared" si="31"/>
        <v>0</v>
      </c>
      <c r="L280" s="214">
        <f t="shared" si="32"/>
        <v>0</v>
      </c>
      <c r="M280" s="214">
        <v>517.79999999999995</v>
      </c>
      <c r="N280" s="214">
        <f>+M280*1000/(66.8*1*110*60)*T280</f>
        <v>4.6978769733260748</v>
      </c>
      <c r="O280" s="214"/>
      <c r="P280" s="214">
        <f t="shared" si="34"/>
        <v>0</v>
      </c>
      <c r="Q280" s="214"/>
      <c r="R280" s="19">
        <f t="shared" si="35"/>
        <v>0</v>
      </c>
      <c r="S280" s="214">
        <f t="shared" si="36"/>
        <v>0</v>
      </c>
      <c r="T280" s="20">
        <v>4</v>
      </c>
      <c r="U280" s="20"/>
      <c r="V280" s="21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12">
        <v>300293</v>
      </c>
      <c r="B281" s="208" t="s">
        <v>87</v>
      </c>
      <c r="C281" s="256" t="s">
        <v>88</v>
      </c>
      <c r="D281" s="256" t="s">
        <v>89</v>
      </c>
      <c r="E281" s="216" t="s">
        <v>57</v>
      </c>
      <c r="F281" s="215"/>
      <c r="G281" s="214"/>
      <c r="H281" s="214"/>
      <c r="I281" s="214"/>
      <c r="J281" s="214"/>
      <c r="K281" s="214">
        <f t="shared" si="31"/>
        <v>0</v>
      </c>
      <c r="L281" s="214">
        <f t="shared" si="32"/>
        <v>0</v>
      </c>
      <c r="M281" s="214">
        <v>517.9</v>
      </c>
      <c r="N281" s="214">
        <f>+M281*1000/(67.1*1*110*60)*T281</f>
        <v>4.6777762724111467</v>
      </c>
      <c r="O281" s="214"/>
      <c r="P281" s="214">
        <f t="shared" si="34"/>
        <v>0</v>
      </c>
      <c r="Q281" s="214"/>
      <c r="R281" s="19">
        <f t="shared" si="35"/>
        <v>0</v>
      </c>
      <c r="S281" s="214">
        <f t="shared" si="36"/>
        <v>0</v>
      </c>
      <c r="T281" s="20">
        <v>4</v>
      </c>
      <c r="U281" s="20"/>
      <c r="V281" s="21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12">
        <v>300290</v>
      </c>
      <c r="B282" s="208" t="s">
        <v>87</v>
      </c>
      <c r="C282" s="256" t="s">
        <v>88</v>
      </c>
      <c r="D282" s="256" t="s">
        <v>89</v>
      </c>
      <c r="E282" s="216" t="s">
        <v>35</v>
      </c>
      <c r="F282" s="215"/>
      <c r="G282" s="214"/>
      <c r="H282" s="214"/>
      <c r="I282" s="214"/>
      <c r="J282" s="214"/>
      <c r="K282" s="214">
        <f t="shared" si="31"/>
        <v>0</v>
      </c>
      <c r="L282" s="214">
        <f t="shared" si="32"/>
        <v>0</v>
      </c>
      <c r="M282" s="214">
        <v>520</v>
      </c>
      <c r="N282" s="214">
        <f>+M282*1000/(67.5*1*110*60)*T282</f>
        <v>4.6689113355780023</v>
      </c>
      <c r="O282" s="214"/>
      <c r="P282" s="214">
        <f t="shared" si="34"/>
        <v>0</v>
      </c>
      <c r="Q282" s="214"/>
      <c r="R282" s="19">
        <f t="shared" si="35"/>
        <v>0</v>
      </c>
      <c r="S282" s="214">
        <f t="shared" si="36"/>
        <v>0</v>
      </c>
      <c r="T282" s="20">
        <v>4</v>
      </c>
      <c r="U282" s="20"/>
      <c r="V282" s="21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12">
        <v>300389</v>
      </c>
      <c r="B283" s="208" t="s">
        <v>87</v>
      </c>
      <c r="C283" s="256" t="s">
        <v>316</v>
      </c>
      <c r="D283" s="256" t="s">
        <v>89</v>
      </c>
      <c r="E283" s="216" t="s">
        <v>35</v>
      </c>
      <c r="F283" s="215"/>
      <c r="G283" s="214"/>
      <c r="H283" s="214"/>
      <c r="I283" s="214"/>
      <c r="J283" s="214"/>
      <c r="K283" s="214">
        <f t="shared" si="31"/>
        <v>0</v>
      </c>
      <c r="L283" s="214">
        <f t="shared" si="32"/>
        <v>0</v>
      </c>
      <c r="M283" s="214">
        <v>429.4</v>
      </c>
      <c r="N283" s="214">
        <f>+M283*1000/(47*1*110*60)*T283</f>
        <v>5.5370728562217923</v>
      </c>
      <c r="O283" s="214"/>
      <c r="P283" s="214">
        <f t="shared" si="34"/>
        <v>0</v>
      </c>
      <c r="Q283" s="214"/>
      <c r="R283" s="19">
        <f t="shared" si="35"/>
        <v>0</v>
      </c>
      <c r="S283" s="214">
        <f t="shared" si="36"/>
        <v>0</v>
      </c>
      <c r="T283" s="20">
        <v>4</v>
      </c>
      <c r="U283" s="20"/>
      <c r="V283" s="21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12">
        <v>300058</v>
      </c>
      <c r="B284" s="208" t="s">
        <v>87</v>
      </c>
      <c r="C284" s="256" t="s">
        <v>316</v>
      </c>
      <c r="D284" s="256" t="s">
        <v>89</v>
      </c>
      <c r="E284" s="216" t="s">
        <v>42</v>
      </c>
      <c r="F284" s="215"/>
      <c r="G284" s="214"/>
      <c r="H284" s="214"/>
      <c r="I284" s="214"/>
      <c r="J284" s="214"/>
      <c r="K284" s="214">
        <f t="shared" si="31"/>
        <v>0</v>
      </c>
      <c r="L284" s="214">
        <f t="shared" si="32"/>
        <v>0</v>
      </c>
      <c r="M284" s="214">
        <v>419.2</v>
      </c>
      <c r="N284" s="214">
        <f>+M284*1000/(51.5*1*110*60)*T284</f>
        <v>4.9332156516622536</v>
      </c>
      <c r="O284" s="214"/>
      <c r="P284" s="214">
        <f t="shared" si="34"/>
        <v>0</v>
      </c>
      <c r="Q284" s="214"/>
      <c r="R284" s="19">
        <f t="shared" si="35"/>
        <v>0</v>
      </c>
      <c r="S284" s="214">
        <f t="shared" si="36"/>
        <v>0</v>
      </c>
      <c r="T284" s="20">
        <v>4</v>
      </c>
      <c r="U284" s="20"/>
      <c r="V284" s="21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12">
        <v>300061</v>
      </c>
      <c r="B285" s="208" t="s">
        <v>87</v>
      </c>
      <c r="C285" s="256" t="s">
        <v>317</v>
      </c>
      <c r="D285" s="256" t="s">
        <v>96</v>
      </c>
      <c r="E285" s="216" t="s">
        <v>41</v>
      </c>
      <c r="F285" s="215"/>
      <c r="G285" s="214"/>
      <c r="H285" s="214"/>
      <c r="I285" s="214"/>
      <c r="J285" s="214"/>
      <c r="K285" s="214">
        <f t="shared" si="31"/>
        <v>0</v>
      </c>
      <c r="L285" s="214">
        <f t="shared" si="32"/>
        <v>0</v>
      </c>
      <c r="M285" s="214">
        <v>418.4</v>
      </c>
      <c r="N285" s="214">
        <f>+M285*1000/(51*1*110*60)*T285</f>
        <v>4.9720736779560308</v>
      </c>
      <c r="O285" s="214"/>
      <c r="P285" s="214">
        <f t="shared" si="34"/>
        <v>0</v>
      </c>
      <c r="Q285" s="214"/>
      <c r="R285" s="19">
        <f t="shared" si="35"/>
        <v>0</v>
      </c>
      <c r="S285" s="214">
        <f t="shared" si="36"/>
        <v>0</v>
      </c>
      <c r="T285" s="20">
        <v>4</v>
      </c>
      <c r="U285" s="20"/>
      <c r="V285" s="21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12">
        <v>300064</v>
      </c>
      <c r="B286" s="208">
        <v>5002</v>
      </c>
      <c r="C286" s="256" t="s">
        <v>317</v>
      </c>
      <c r="D286" s="256" t="s">
        <v>96</v>
      </c>
      <c r="E286" s="216" t="s">
        <v>35</v>
      </c>
      <c r="F286" s="215"/>
      <c r="G286" s="214"/>
      <c r="H286" s="214"/>
      <c r="I286" s="214"/>
      <c r="J286" s="214"/>
      <c r="K286" s="214">
        <f t="shared" ref="K286:K362" si="38">G286*M286</f>
        <v>0</v>
      </c>
      <c r="L286" s="214">
        <f t="shared" ref="L286:L362" si="39">I286*M286</f>
        <v>0</v>
      </c>
      <c r="M286" s="214">
        <v>419.2</v>
      </c>
      <c r="N286" s="214">
        <f>+M286*1000/(51.9*1*110*60)*T286</f>
        <v>4.8951947217843168</v>
      </c>
      <c r="O286" s="214"/>
      <c r="P286" s="214">
        <f t="shared" ref="P286:P362" si="40">N286*I286+O286*U286</f>
        <v>0</v>
      </c>
      <c r="Q286" s="214"/>
      <c r="R286" s="19">
        <f t="shared" ref="R286:R362" si="41">Q286*U286</f>
        <v>0</v>
      </c>
      <c r="S286" s="214">
        <f t="shared" ref="S286:S362" si="42">R286-P286</f>
        <v>0</v>
      </c>
      <c r="T286" s="20">
        <v>4</v>
      </c>
      <c r="U286" s="20"/>
      <c r="V286" s="21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12">
        <v>300060</v>
      </c>
      <c r="B287" s="208" t="s">
        <v>87</v>
      </c>
      <c r="C287" s="256" t="s">
        <v>317</v>
      </c>
      <c r="D287" s="256" t="s">
        <v>96</v>
      </c>
      <c r="E287" s="216" t="s">
        <v>57</v>
      </c>
      <c r="F287" s="215"/>
      <c r="G287" s="214"/>
      <c r="H287" s="214"/>
      <c r="I287" s="214"/>
      <c r="J287" s="214"/>
      <c r="K287" s="214">
        <f t="shared" si="38"/>
        <v>0</v>
      </c>
      <c r="L287" s="214">
        <f t="shared" si="39"/>
        <v>0</v>
      </c>
      <c r="M287" s="214">
        <v>416.9</v>
      </c>
      <c r="N287" s="214">
        <f>+M287*1000/(51*1*110*60)*T287</f>
        <v>4.9542483660130721</v>
      </c>
      <c r="O287" s="214"/>
      <c r="P287" s="214">
        <f t="shared" si="40"/>
        <v>0</v>
      </c>
      <c r="Q287" s="214"/>
      <c r="R287" s="19">
        <f t="shared" si="41"/>
        <v>0</v>
      </c>
      <c r="S287" s="214">
        <f t="shared" si="42"/>
        <v>0</v>
      </c>
      <c r="T287" s="20">
        <v>4</v>
      </c>
      <c r="U287" s="20"/>
      <c r="V287" s="21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12">
        <v>300068</v>
      </c>
      <c r="B288" s="208" t="s">
        <v>87</v>
      </c>
      <c r="C288" s="256" t="s">
        <v>98</v>
      </c>
      <c r="D288" s="256" t="s">
        <v>99</v>
      </c>
      <c r="E288" s="216" t="s">
        <v>37</v>
      </c>
      <c r="F288" s="215"/>
      <c r="G288" s="214"/>
      <c r="H288" s="214"/>
      <c r="I288" s="214"/>
      <c r="J288" s="214"/>
      <c r="K288" s="214">
        <f t="shared" si="38"/>
        <v>0</v>
      </c>
      <c r="L288" s="214">
        <f t="shared" si="39"/>
        <v>0</v>
      </c>
      <c r="M288" s="214">
        <v>438.4</v>
      </c>
      <c r="N288" s="214">
        <f>+M288*1000/(50*1*120*60)*T288</f>
        <v>4.8711111111111114</v>
      </c>
      <c r="O288" s="214"/>
      <c r="P288" s="214">
        <f t="shared" si="40"/>
        <v>0</v>
      </c>
      <c r="Q288" s="214"/>
      <c r="R288" s="19">
        <f t="shared" si="41"/>
        <v>0</v>
      </c>
      <c r="S288" s="214">
        <f t="shared" si="42"/>
        <v>0</v>
      </c>
      <c r="T288" s="20">
        <v>4</v>
      </c>
      <c r="U288" s="20"/>
      <c r="V288" s="21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12">
        <v>300065</v>
      </c>
      <c r="B289" s="208" t="s">
        <v>87</v>
      </c>
      <c r="C289" s="256" t="s">
        <v>98</v>
      </c>
      <c r="D289" s="256" t="s">
        <v>99</v>
      </c>
      <c r="E289" s="216" t="s">
        <v>35</v>
      </c>
      <c r="F289" s="215"/>
      <c r="G289" s="214"/>
      <c r="H289" s="214"/>
      <c r="I289" s="214"/>
      <c r="J289" s="214"/>
      <c r="K289" s="214">
        <f t="shared" si="38"/>
        <v>0</v>
      </c>
      <c r="L289" s="214">
        <f t="shared" si="39"/>
        <v>0</v>
      </c>
      <c r="M289" s="214">
        <v>438.8</v>
      </c>
      <c r="N289" s="214">
        <f>+M289*1000/(50*1*120*60)*T289</f>
        <v>4.8755555555555556</v>
      </c>
      <c r="O289" s="214"/>
      <c r="P289" s="214">
        <f t="shared" si="40"/>
        <v>0</v>
      </c>
      <c r="Q289" s="214"/>
      <c r="R289" s="19">
        <f t="shared" si="41"/>
        <v>0</v>
      </c>
      <c r="S289" s="214">
        <f t="shared" si="42"/>
        <v>0</v>
      </c>
      <c r="T289" s="20">
        <v>4</v>
      </c>
      <c r="U289" s="212"/>
      <c r="V289" s="21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12">
        <v>300066</v>
      </c>
      <c r="B290" s="208" t="s">
        <v>87</v>
      </c>
      <c r="C290" s="256" t="s">
        <v>98</v>
      </c>
      <c r="D290" s="256" t="s">
        <v>99</v>
      </c>
      <c r="E290" s="216" t="s">
        <v>66</v>
      </c>
      <c r="F290" s="215"/>
      <c r="G290" s="214"/>
      <c r="H290" s="214"/>
      <c r="I290" s="214"/>
      <c r="J290" s="214"/>
      <c r="K290" s="214">
        <f t="shared" si="38"/>
        <v>0</v>
      </c>
      <c r="L290" s="214">
        <f t="shared" si="39"/>
        <v>0</v>
      </c>
      <c r="M290" s="214">
        <v>438.4</v>
      </c>
      <c r="N290" s="214">
        <f>+M290*1000/(50*1*120*60)*T290</f>
        <v>4.8711111111111114</v>
      </c>
      <c r="O290" s="214"/>
      <c r="P290" s="214">
        <f t="shared" si="40"/>
        <v>0</v>
      </c>
      <c r="Q290" s="214"/>
      <c r="R290" s="19">
        <f t="shared" si="41"/>
        <v>0</v>
      </c>
      <c r="S290" s="214">
        <f t="shared" si="42"/>
        <v>0</v>
      </c>
      <c r="T290" s="20">
        <v>4</v>
      </c>
      <c r="U290" s="212"/>
      <c r="V290" s="21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12">
        <v>300067</v>
      </c>
      <c r="B291" s="208" t="s">
        <v>87</v>
      </c>
      <c r="C291" s="256" t="s">
        <v>98</v>
      </c>
      <c r="D291" s="256" t="s">
        <v>99</v>
      </c>
      <c r="E291" s="216" t="s">
        <v>41</v>
      </c>
      <c r="F291" s="215"/>
      <c r="G291" s="214"/>
      <c r="H291" s="214"/>
      <c r="I291" s="214"/>
      <c r="J291" s="214"/>
      <c r="K291" s="214">
        <f t="shared" si="38"/>
        <v>0</v>
      </c>
      <c r="L291" s="214">
        <f t="shared" si="39"/>
        <v>0</v>
      </c>
      <c r="M291" s="214">
        <v>438.8</v>
      </c>
      <c r="N291" s="214">
        <f>+M291*1000/(50*1*120*60)*T291</f>
        <v>4.8755555555555556</v>
      </c>
      <c r="O291" s="214"/>
      <c r="P291" s="214">
        <f t="shared" si="40"/>
        <v>0</v>
      </c>
      <c r="Q291" s="214"/>
      <c r="R291" s="19">
        <f t="shared" si="41"/>
        <v>0</v>
      </c>
      <c r="S291" s="214">
        <f t="shared" si="42"/>
        <v>0</v>
      </c>
      <c r="T291" s="20">
        <v>4</v>
      </c>
      <c r="U291" s="20"/>
      <c r="V291" s="21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12">
        <v>300437</v>
      </c>
      <c r="B292" s="208" t="s">
        <v>87</v>
      </c>
      <c r="C292" s="256" t="s">
        <v>98</v>
      </c>
      <c r="D292" s="256" t="s">
        <v>99</v>
      </c>
      <c r="E292" s="216" t="s">
        <v>310</v>
      </c>
      <c r="F292" s="27"/>
      <c r="G292" s="110"/>
      <c r="H292" s="110"/>
      <c r="I292" s="110"/>
      <c r="J292" s="110"/>
      <c r="K292" s="214">
        <f t="shared" si="38"/>
        <v>0</v>
      </c>
      <c r="L292" s="214">
        <f t="shared" si="39"/>
        <v>0</v>
      </c>
      <c r="M292" s="214">
        <v>438.8</v>
      </c>
      <c r="N292" s="214">
        <f>+M292*1000/(50*1*120*60)*T292</f>
        <v>4.8755555555555556</v>
      </c>
      <c r="O292" s="214"/>
      <c r="P292" s="214">
        <f t="shared" si="40"/>
        <v>0</v>
      </c>
      <c r="Q292" s="214"/>
      <c r="R292" s="19">
        <f t="shared" si="41"/>
        <v>0</v>
      </c>
      <c r="S292" s="214">
        <f t="shared" si="42"/>
        <v>0</v>
      </c>
      <c r="T292" s="20">
        <v>4</v>
      </c>
      <c r="U292" s="20"/>
      <c r="V292" s="213"/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12">
        <v>300384</v>
      </c>
      <c r="B293" s="208" t="s">
        <v>87</v>
      </c>
      <c r="C293" s="256" t="s">
        <v>100</v>
      </c>
      <c r="D293" s="256" t="s">
        <v>101</v>
      </c>
      <c r="E293" s="216" t="s">
        <v>35</v>
      </c>
      <c r="F293" s="215"/>
      <c r="G293" s="214"/>
      <c r="H293" s="214"/>
      <c r="I293" s="214"/>
      <c r="J293" s="214"/>
      <c r="K293" s="214">
        <f t="shared" si="38"/>
        <v>0</v>
      </c>
      <c r="L293" s="214">
        <f t="shared" si="39"/>
        <v>0</v>
      </c>
      <c r="M293" s="214">
        <v>415.5</v>
      </c>
      <c r="N293" s="214">
        <f>+M293*1000/(51*1*110*60)*T293</f>
        <v>8.6408199643493759</v>
      </c>
      <c r="O293" s="214"/>
      <c r="P293" s="214">
        <f t="shared" si="40"/>
        <v>0</v>
      </c>
      <c r="Q293" s="214"/>
      <c r="R293" s="19">
        <f t="shared" si="41"/>
        <v>0</v>
      </c>
      <c r="S293" s="214">
        <f t="shared" si="42"/>
        <v>0</v>
      </c>
      <c r="T293" s="20">
        <v>7</v>
      </c>
      <c r="U293" s="20"/>
      <c r="V293" s="21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12">
        <v>300383</v>
      </c>
      <c r="B294" s="208" t="s">
        <v>87</v>
      </c>
      <c r="C294" s="256" t="s">
        <v>100</v>
      </c>
      <c r="D294" s="256" t="s">
        <v>102</v>
      </c>
      <c r="E294" s="216" t="s">
        <v>41</v>
      </c>
      <c r="F294" s="215"/>
      <c r="G294" s="214"/>
      <c r="H294" s="214"/>
      <c r="I294" s="214"/>
      <c r="J294" s="214"/>
      <c r="K294" s="214">
        <f t="shared" si="38"/>
        <v>0</v>
      </c>
      <c r="L294" s="214">
        <f t="shared" si="39"/>
        <v>0</v>
      </c>
      <c r="M294" s="214">
        <v>415.5</v>
      </c>
      <c r="N294" s="214">
        <f>+M294*1000/(51*1*110*60)*T294</f>
        <v>8.6408199643493759</v>
      </c>
      <c r="O294" s="214"/>
      <c r="P294" s="214">
        <f t="shared" si="40"/>
        <v>0</v>
      </c>
      <c r="Q294" s="214"/>
      <c r="R294" s="19">
        <f t="shared" si="41"/>
        <v>0</v>
      </c>
      <c r="S294" s="214">
        <f t="shared" si="42"/>
        <v>0</v>
      </c>
      <c r="T294" s="20">
        <v>7</v>
      </c>
      <c r="U294" s="20"/>
      <c r="V294" s="21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12">
        <v>300386</v>
      </c>
      <c r="B295" s="208" t="s">
        <v>87</v>
      </c>
      <c r="C295" s="256" t="s">
        <v>100</v>
      </c>
      <c r="D295" s="256" t="s">
        <v>103</v>
      </c>
      <c r="E295" s="216" t="s">
        <v>66</v>
      </c>
      <c r="F295" s="215"/>
      <c r="G295" s="214"/>
      <c r="H295" s="214"/>
      <c r="I295" s="214"/>
      <c r="J295" s="214"/>
      <c r="K295" s="214">
        <f t="shared" si="38"/>
        <v>0</v>
      </c>
      <c r="L295" s="214">
        <f t="shared" si="39"/>
        <v>0</v>
      </c>
      <c r="M295" s="214">
        <v>415.5</v>
      </c>
      <c r="N295" s="214">
        <f>+M295*1000/(51*1*110*60)*T295</f>
        <v>8.6408199643493759</v>
      </c>
      <c r="O295" s="214"/>
      <c r="P295" s="214">
        <f t="shared" si="40"/>
        <v>0</v>
      </c>
      <c r="Q295" s="214"/>
      <c r="R295" s="19">
        <f t="shared" si="41"/>
        <v>0</v>
      </c>
      <c r="S295" s="214">
        <f t="shared" si="42"/>
        <v>0</v>
      </c>
      <c r="T295" s="20">
        <v>7</v>
      </c>
      <c r="U295" s="20"/>
      <c r="V295" s="21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12">
        <v>300385</v>
      </c>
      <c r="B296" s="208" t="s">
        <v>87</v>
      </c>
      <c r="C296" s="256" t="s">
        <v>100</v>
      </c>
      <c r="D296" s="256" t="s">
        <v>104</v>
      </c>
      <c r="E296" s="216" t="s">
        <v>105</v>
      </c>
      <c r="F296" s="215"/>
      <c r="G296" s="214"/>
      <c r="H296" s="214"/>
      <c r="I296" s="214"/>
      <c r="J296" s="214"/>
      <c r="K296" s="214">
        <f t="shared" si="38"/>
        <v>0</v>
      </c>
      <c r="L296" s="214">
        <f t="shared" si="39"/>
        <v>0</v>
      </c>
      <c r="M296" s="214">
        <v>415.5</v>
      </c>
      <c r="N296" s="214">
        <f>+M296*1000/(51*1*110*60)*T296</f>
        <v>8.6408199643493759</v>
      </c>
      <c r="O296" s="214"/>
      <c r="P296" s="214">
        <f t="shared" si="40"/>
        <v>0</v>
      </c>
      <c r="Q296" s="214"/>
      <c r="R296" s="19">
        <f t="shared" si="41"/>
        <v>0</v>
      </c>
      <c r="S296" s="214">
        <f t="shared" si="42"/>
        <v>0</v>
      </c>
      <c r="T296" s="20">
        <v>7</v>
      </c>
      <c r="U296" s="20"/>
      <c r="V296" s="21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12">
        <v>300352</v>
      </c>
      <c r="B297" s="208" t="s">
        <v>87</v>
      </c>
      <c r="C297" s="256" t="s">
        <v>106</v>
      </c>
      <c r="D297" s="256" t="s">
        <v>101</v>
      </c>
      <c r="E297" s="216" t="s">
        <v>35</v>
      </c>
      <c r="F297" s="215"/>
      <c r="G297" s="214"/>
      <c r="H297" s="214"/>
      <c r="I297" s="214"/>
      <c r="J297" s="214"/>
      <c r="K297" s="214">
        <f t="shared" si="38"/>
        <v>0</v>
      </c>
      <c r="L297" s="214">
        <f t="shared" si="39"/>
        <v>0</v>
      </c>
      <c r="M297" s="214">
        <v>515.9</v>
      </c>
      <c r="N297" s="214">
        <f>+M297*1000/(80*1*110*60)*T297</f>
        <v>6.8395833333333336</v>
      </c>
      <c r="O297" s="214"/>
      <c r="P297" s="214">
        <f t="shared" si="40"/>
        <v>0</v>
      </c>
      <c r="Q297" s="214"/>
      <c r="R297" s="19">
        <f t="shared" si="41"/>
        <v>0</v>
      </c>
      <c r="S297" s="214">
        <f t="shared" si="42"/>
        <v>0</v>
      </c>
      <c r="T297" s="20">
        <v>7</v>
      </c>
      <c r="U297" s="20"/>
      <c r="V297" s="21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12">
        <v>300353</v>
      </c>
      <c r="B298" s="208" t="s">
        <v>87</v>
      </c>
      <c r="C298" s="256" t="s">
        <v>106</v>
      </c>
      <c r="D298" s="256" t="s">
        <v>101</v>
      </c>
      <c r="E298" s="216" t="s">
        <v>105</v>
      </c>
      <c r="F298" s="215"/>
      <c r="G298" s="214"/>
      <c r="H298" s="214"/>
      <c r="I298" s="214"/>
      <c r="J298" s="214"/>
      <c r="K298" s="214">
        <f t="shared" si="38"/>
        <v>0</v>
      </c>
      <c r="L298" s="214">
        <f t="shared" si="39"/>
        <v>0</v>
      </c>
      <c r="M298" s="214">
        <v>515.9</v>
      </c>
      <c r="N298" s="214">
        <f>+M298*1000/(80*1*110*60)*T298</f>
        <v>6.8395833333333336</v>
      </c>
      <c r="O298" s="214"/>
      <c r="P298" s="214">
        <f t="shared" si="40"/>
        <v>0</v>
      </c>
      <c r="Q298" s="214"/>
      <c r="R298" s="19">
        <f t="shared" si="41"/>
        <v>0</v>
      </c>
      <c r="S298" s="214">
        <f t="shared" si="42"/>
        <v>0</v>
      </c>
      <c r="T298" s="20">
        <v>7</v>
      </c>
      <c r="U298" s="20"/>
      <c r="V298" s="21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12">
        <v>300351</v>
      </c>
      <c r="B299" s="208" t="s">
        <v>87</v>
      </c>
      <c r="C299" s="256" t="s">
        <v>106</v>
      </c>
      <c r="D299" s="256" t="s">
        <v>101</v>
      </c>
      <c r="E299" s="216" t="s">
        <v>41</v>
      </c>
      <c r="F299" s="215"/>
      <c r="G299" s="214"/>
      <c r="H299" s="214"/>
      <c r="I299" s="214"/>
      <c r="J299" s="214"/>
      <c r="K299" s="214">
        <f t="shared" si="38"/>
        <v>0</v>
      </c>
      <c r="L299" s="214">
        <f t="shared" si="39"/>
        <v>0</v>
      </c>
      <c r="M299" s="214">
        <v>515.9</v>
      </c>
      <c r="N299" s="214">
        <f>+M299*1000/(80*1*110*60)*T299</f>
        <v>6.8395833333333336</v>
      </c>
      <c r="O299" s="214"/>
      <c r="P299" s="214">
        <f t="shared" si="40"/>
        <v>0</v>
      </c>
      <c r="Q299" s="214"/>
      <c r="R299" s="19">
        <f t="shared" si="41"/>
        <v>0</v>
      </c>
      <c r="S299" s="214">
        <f t="shared" si="42"/>
        <v>0</v>
      </c>
      <c r="T299" s="20">
        <v>7</v>
      </c>
      <c r="U299" s="20"/>
      <c r="V299" s="21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12">
        <v>300354</v>
      </c>
      <c r="B300" s="208" t="s">
        <v>87</v>
      </c>
      <c r="C300" s="256" t="s">
        <v>106</v>
      </c>
      <c r="D300" s="256" t="s">
        <v>101</v>
      </c>
      <c r="E300" s="216" t="s">
        <v>66</v>
      </c>
      <c r="F300" s="215"/>
      <c r="G300" s="214"/>
      <c r="H300" s="214"/>
      <c r="I300" s="214"/>
      <c r="J300" s="214"/>
      <c r="K300" s="214">
        <f t="shared" si="38"/>
        <v>0</v>
      </c>
      <c r="L300" s="214">
        <f t="shared" si="39"/>
        <v>0</v>
      </c>
      <c r="M300" s="214">
        <v>515.9</v>
      </c>
      <c r="N300" s="214">
        <f>+M300*1000/(80*1*110*60)*T300</f>
        <v>6.8395833333333336</v>
      </c>
      <c r="O300" s="214"/>
      <c r="P300" s="214">
        <f t="shared" si="40"/>
        <v>0</v>
      </c>
      <c r="Q300" s="214"/>
      <c r="R300" s="19">
        <f t="shared" si="41"/>
        <v>0</v>
      </c>
      <c r="S300" s="214">
        <f t="shared" si="42"/>
        <v>0</v>
      </c>
      <c r="T300" s="20">
        <v>7</v>
      </c>
      <c r="U300" s="20"/>
      <c r="V300" s="21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12">
        <v>300250</v>
      </c>
      <c r="B301" s="208" t="s">
        <v>87</v>
      </c>
      <c r="C301" s="256" t="s">
        <v>107</v>
      </c>
      <c r="D301" s="256" t="s">
        <v>101</v>
      </c>
      <c r="E301" s="216" t="s">
        <v>35</v>
      </c>
      <c r="F301" s="215"/>
      <c r="G301" s="214"/>
      <c r="H301" s="214"/>
      <c r="I301" s="214"/>
      <c r="J301" s="214"/>
      <c r="K301" s="214">
        <f t="shared" si="38"/>
        <v>0</v>
      </c>
      <c r="L301" s="214">
        <f t="shared" si="39"/>
        <v>0</v>
      </c>
      <c r="M301" s="214">
        <v>412.5</v>
      </c>
      <c r="N301" s="214">
        <f>+M301*1000/(84*1*110*60)*T301</f>
        <v>5.2083333333333339</v>
      </c>
      <c r="O301" s="214"/>
      <c r="P301" s="214">
        <f t="shared" si="40"/>
        <v>0</v>
      </c>
      <c r="Q301" s="214"/>
      <c r="R301" s="19">
        <f t="shared" si="41"/>
        <v>0</v>
      </c>
      <c r="S301" s="214">
        <f t="shared" si="42"/>
        <v>0</v>
      </c>
      <c r="T301" s="20">
        <v>7</v>
      </c>
      <c r="U301" s="20"/>
      <c r="V301" s="21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12">
        <v>300251</v>
      </c>
      <c r="B302" s="208" t="s">
        <v>87</v>
      </c>
      <c r="C302" s="256" t="s">
        <v>107</v>
      </c>
      <c r="D302" s="256" t="s">
        <v>101</v>
      </c>
      <c r="E302" s="216" t="s">
        <v>105</v>
      </c>
      <c r="F302" s="215"/>
      <c r="G302" s="214"/>
      <c r="H302" s="214"/>
      <c r="I302" s="214"/>
      <c r="J302" s="214"/>
      <c r="K302" s="214">
        <f t="shared" si="38"/>
        <v>0</v>
      </c>
      <c r="L302" s="214">
        <f t="shared" si="39"/>
        <v>0</v>
      </c>
      <c r="M302" s="214">
        <v>412.5</v>
      </c>
      <c r="N302" s="214">
        <f>+M302*1000/(84*1*110*60)*T302</f>
        <v>5.2083333333333339</v>
      </c>
      <c r="O302" s="214"/>
      <c r="P302" s="214">
        <f t="shared" si="40"/>
        <v>0</v>
      </c>
      <c r="Q302" s="214"/>
      <c r="R302" s="19">
        <f t="shared" si="41"/>
        <v>0</v>
      </c>
      <c r="S302" s="214">
        <f t="shared" si="42"/>
        <v>0</v>
      </c>
      <c r="T302" s="20">
        <v>7</v>
      </c>
      <c r="U302" s="20"/>
      <c r="V302" s="21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12">
        <v>300254</v>
      </c>
      <c r="B303" s="208" t="s">
        <v>87</v>
      </c>
      <c r="C303" s="256" t="s">
        <v>107</v>
      </c>
      <c r="D303" s="256" t="s">
        <v>101</v>
      </c>
      <c r="E303" s="216" t="s">
        <v>41</v>
      </c>
      <c r="F303" s="215"/>
      <c r="G303" s="214"/>
      <c r="H303" s="214"/>
      <c r="I303" s="214"/>
      <c r="J303" s="214"/>
      <c r="K303" s="214">
        <f t="shared" si="38"/>
        <v>0</v>
      </c>
      <c r="L303" s="214">
        <f t="shared" si="39"/>
        <v>0</v>
      </c>
      <c r="M303" s="214">
        <v>412.5</v>
      </c>
      <c r="N303" s="214">
        <f>+M303*1000/(84*1*110*60)*T303</f>
        <v>5.2083333333333339</v>
      </c>
      <c r="O303" s="214"/>
      <c r="P303" s="214">
        <f t="shared" si="40"/>
        <v>0</v>
      </c>
      <c r="Q303" s="214"/>
      <c r="R303" s="19">
        <f t="shared" si="41"/>
        <v>0</v>
      </c>
      <c r="S303" s="214">
        <f t="shared" si="42"/>
        <v>0</v>
      </c>
      <c r="T303" s="20">
        <v>7</v>
      </c>
      <c r="U303" s="20"/>
      <c r="V303" s="21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12">
        <v>300253</v>
      </c>
      <c r="B304" s="208" t="s">
        <v>87</v>
      </c>
      <c r="C304" s="256" t="s">
        <v>107</v>
      </c>
      <c r="D304" s="256" t="s">
        <v>101</v>
      </c>
      <c r="E304" s="216" t="s">
        <v>66</v>
      </c>
      <c r="F304" s="215"/>
      <c r="G304" s="214"/>
      <c r="H304" s="214"/>
      <c r="I304" s="214"/>
      <c r="J304" s="214"/>
      <c r="K304" s="214">
        <f t="shared" si="38"/>
        <v>0</v>
      </c>
      <c r="L304" s="214">
        <f t="shared" si="39"/>
        <v>0</v>
      </c>
      <c r="M304" s="214">
        <v>412.5</v>
      </c>
      <c r="N304" s="214">
        <f>+M304*1000/(84*1*110*60)*T304</f>
        <v>5.2083333333333339</v>
      </c>
      <c r="O304" s="214"/>
      <c r="P304" s="214">
        <f t="shared" si="40"/>
        <v>0</v>
      </c>
      <c r="Q304" s="214"/>
      <c r="R304" s="19">
        <f t="shared" si="41"/>
        <v>0</v>
      </c>
      <c r="S304" s="214">
        <f t="shared" si="42"/>
        <v>0</v>
      </c>
      <c r="T304" s="20">
        <v>7</v>
      </c>
      <c r="U304" s="20"/>
      <c r="V304" s="21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12">
        <v>300255</v>
      </c>
      <c r="B305" s="208" t="s">
        <v>87</v>
      </c>
      <c r="C305" s="256" t="s">
        <v>107</v>
      </c>
      <c r="D305" s="256" t="s">
        <v>101</v>
      </c>
      <c r="E305" s="216" t="s">
        <v>108</v>
      </c>
      <c r="F305" s="215"/>
      <c r="G305" s="214"/>
      <c r="H305" s="214"/>
      <c r="I305" s="214"/>
      <c r="J305" s="214"/>
      <c r="K305" s="214">
        <f t="shared" si="38"/>
        <v>0</v>
      </c>
      <c r="L305" s="214">
        <f t="shared" si="39"/>
        <v>0</v>
      </c>
      <c r="M305" s="214">
        <v>412.5</v>
      </c>
      <c r="N305" s="214">
        <f>+M305*1000/(84*1*110*60)*T305</f>
        <v>5.2083333333333339</v>
      </c>
      <c r="O305" s="214"/>
      <c r="P305" s="214">
        <f t="shared" si="40"/>
        <v>0</v>
      </c>
      <c r="Q305" s="214"/>
      <c r="R305" s="19">
        <f t="shared" si="41"/>
        <v>0</v>
      </c>
      <c r="S305" s="214">
        <f t="shared" si="42"/>
        <v>0</v>
      </c>
      <c r="T305" s="20">
        <v>7</v>
      </c>
      <c r="U305" s="20"/>
      <c r="V305" s="21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12">
        <v>300392</v>
      </c>
      <c r="B306" s="208" t="s">
        <v>87</v>
      </c>
      <c r="C306" s="267" t="s">
        <v>109</v>
      </c>
      <c r="D306" s="268"/>
      <c r="E306" s="216" t="s">
        <v>105</v>
      </c>
      <c r="F306" s="212"/>
      <c r="G306" s="214"/>
      <c r="H306" s="214"/>
      <c r="I306" s="214"/>
      <c r="J306" s="214"/>
      <c r="K306" s="214">
        <f t="shared" si="38"/>
        <v>0</v>
      </c>
      <c r="L306" s="214">
        <f t="shared" si="39"/>
        <v>0</v>
      </c>
      <c r="M306" s="214">
        <v>523</v>
      </c>
      <c r="N306" s="214">
        <f>+M306*1000/(98*1*80*60)*T306</f>
        <v>7.7827380952380958</v>
      </c>
      <c r="O306" s="214"/>
      <c r="P306" s="214">
        <f t="shared" si="40"/>
        <v>0</v>
      </c>
      <c r="Q306" s="214"/>
      <c r="R306" s="19">
        <f t="shared" si="41"/>
        <v>0</v>
      </c>
      <c r="S306" s="214">
        <f t="shared" si="42"/>
        <v>0</v>
      </c>
      <c r="T306" s="20">
        <v>7</v>
      </c>
      <c r="U306" s="20"/>
      <c r="V306" s="21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212">
        <v>300088</v>
      </c>
      <c r="B307" s="208">
        <v>5001</v>
      </c>
      <c r="C307" s="256" t="s">
        <v>318</v>
      </c>
      <c r="D307" s="256" t="s">
        <v>96</v>
      </c>
      <c r="E307" s="216" t="s">
        <v>39</v>
      </c>
      <c r="F307" s="215">
        <v>1573</v>
      </c>
      <c r="G307" s="214">
        <v>13.5</v>
      </c>
      <c r="H307" s="214">
        <v>0.5</v>
      </c>
      <c r="I307" s="214">
        <f>13+H307</f>
        <v>13.5</v>
      </c>
      <c r="J307" s="214"/>
      <c r="K307" s="214">
        <f t="shared" si="38"/>
        <v>8340.2999999999993</v>
      </c>
      <c r="L307" s="214">
        <f t="shared" si="39"/>
        <v>8340.2999999999993</v>
      </c>
      <c r="M307" s="214">
        <v>617.79999999999995</v>
      </c>
      <c r="N307" s="214">
        <f>+M307*1000/(123*1*80*60)*T307</f>
        <v>3.1392276422764223</v>
      </c>
      <c r="O307" s="214"/>
      <c r="P307" s="214">
        <f t="shared" si="40"/>
        <v>42.379573170731703</v>
      </c>
      <c r="Q307" s="214">
        <v>11.5</v>
      </c>
      <c r="R307" s="19">
        <f t="shared" si="41"/>
        <v>57.5</v>
      </c>
      <c r="S307" s="214">
        <f t="shared" si="42"/>
        <v>15.120426829268297</v>
      </c>
      <c r="T307" s="20">
        <v>3</v>
      </c>
      <c r="U307" s="20">
        <v>5</v>
      </c>
      <c r="V307" s="21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12">
        <v>300089</v>
      </c>
      <c r="B308" s="208" t="s">
        <v>87</v>
      </c>
      <c r="C308" s="256" t="s">
        <v>318</v>
      </c>
      <c r="D308" s="256" t="s">
        <v>96</v>
      </c>
      <c r="E308" s="216" t="s">
        <v>42</v>
      </c>
      <c r="F308" s="215"/>
      <c r="G308" s="214"/>
      <c r="H308" s="214"/>
      <c r="I308" s="214"/>
      <c r="J308" s="214"/>
      <c r="K308" s="214">
        <f t="shared" si="38"/>
        <v>0</v>
      </c>
      <c r="L308" s="214">
        <f t="shared" si="39"/>
        <v>0</v>
      </c>
      <c r="M308" s="214">
        <v>618.6</v>
      </c>
      <c r="N308" s="214">
        <f>+M308*1000/(124*1*80*60)*T308</f>
        <v>3.117943548387097</v>
      </c>
      <c r="O308" s="214"/>
      <c r="P308" s="214">
        <f t="shared" si="40"/>
        <v>0</v>
      </c>
      <c r="Q308" s="214"/>
      <c r="R308" s="19">
        <f t="shared" si="41"/>
        <v>0</v>
      </c>
      <c r="S308" s="214">
        <f t="shared" si="42"/>
        <v>0</v>
      </c>
      <c r="T308" s="20">
        <v>3</v>
      </c>
      <c r="U308" s="20"/>
      <c r="V308" s="21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12">
        <v>300128</v>
      </c>
      <c r="B309" s="208" t="s">
        <v>87</v>
      </c>
      <c r="C309" s="256" t="s">
        <v>112</v>
      </c>
      <c r="D309" s="256" t="s">
        <v>113</v>
      </c>
      <c r="E309" s="216" t="s">
        <v>35</v>
      </c>
      <c r="F309" s="215"/>
      <c r="G309" s="214"/>
      <c r="H309" s="214"/>
      <c r="I309" s="214"/>
      <c r="J309" s="214"/>
      <c r="K309" s="214">
        <f t="shared" si="38"/>
        <v>0</v>
      </c>
      <c r="L309" s="214">
        <f t="shared" si="39"/>
        <v>0</v>
      </c>
      <c r="M309" s="214">
        <v>621.29999999999995</v>
      </c>
      <c r="N309" s="214">
        <f t="shared" ref="N309:N314" si="43">+M309*1000/(130.5*1*80*60)*T309</f>
        <v>3.9674329501915708</v>
      </c>
      <c r="O309" s="214"/>
      <c r="P309" s="214">
        <f t="shared" si="40"/>
        <v>0</v>
      </c>
      <c r="Q309" s="214"/>
      <c r="R309" s="19">
        <f t="shared" si="41"/>
        <v>0</v>
      </c>
      <c r="S309" s="214">
        <f t="shared" si="42"/>
        <v>0</v>
      </c>
      <c r="T309" s="20">
        <v>4</v>
      </c>
      <c r="U309" s="20"/>
      <c r="V309" s="21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12">
        <v>300129</v>
      </c>
      <c r="B310" s="208" t="s">
        <v>87</v>
      </c>
      <c r="C310" s="256" t="s">
        <v>112</v>
      </c>
      <c r="D310" s="256" t="s">
        <v>113</v>
      </c>
      <c r="E310" s="216" t="s">
        <v>41</v>
      </c>
      <c r="F310" s="215"/>
      <c r="G310" s="214"/>
      <c r="H310" s="214"/>
      <c r="I310" s="214"/>
      <c r="J310" s="214"/>
      <c r="K310" s="214">
        <f t="shared" si="38"/>
        <v>0</v>
      </c>
      <c r="L310" s="214">
        <f t="shared" si="39"/>
        <v>0</v>
      </c>
      <c r="M310" s="214">
        <v>621.29999999999995</v>
      </c>
      <c r="N310" s="214">
        <f t="shared" si="43"/>
        <v>3.9674329501915708</v>
      </c>
      <c r="O310" s="214"/>
      <c r="P310" s="214">
        <f t="shared" si="40"/>
        <v>0</v>
      </c>
      <c r="Q310" s="214"/>
      <c r="R310" s="19">
        <f t="shared" si="41"/>
        <v>0</v>
      </c>
      <c r="S310" s="214">
        <f t="shared" si="42"/>
        <v>0</v>
      </c>
      <c r="T310" s="20">
        <v>4</v>
      </c>
      <c r="U310" s="20"/>
      <c r="V310" s="21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12">
        <v>300130</v>
      </c>
      <c r="B311" s="208" t="s">
        <v>87</v>
      </c>
      <c r="C311" s="256" t="s">
        <v>112</v>
      </c>
      <c r="D311" s="256" t="s">
        <v>113</v>
      </c>
      <c r="E311" s="216" t="s">
        <v>37</v>
      </c>
      <c r="F311" s="215"/>
      <c r="G311" s="214"/>
      <c r="H311" s="214"/>
      <c r="I311" s="214"/>
      <c r="J311" s="214"/>
      <c r="K311" s="214">
        <f t="shared" si="38"/>
        <v>0</v>
      </c>
      <c r="L311" s="214">
        <f t="shared" si="39"/>
        <v>0</v>
      </c>
      <c r="M311" s="214">
        <v>621.29999999999995</v>
      </c>
      <c r="N311" s="214">
        <f t="shared" si="43"/>
        <v>3.9674329501915708</v>
      </c>
      <c r="O311" s="214"/>
      <c r="P311" s="214">
        <f t="shared" si="40"/>
        <v>0</v>
      </c>
      <c r="Q311" s="214"/>
      <c r="R311" s="19">
        <f t="shared" si="41"/>
        <v>0</v>
      </c>
      <c r="S311" s="214">
        <f t="shared" si="42"/>
        <v>0</v>
      </c>
      <c r="T311" s="20">
        <v>4</v>
      </c>
      <c r="U311" s="20"/>
      <c r="V311" s="21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12">
        <v>300423</v>
      </c>
      <c r="B312" s="208" t="s">
        <v>300</v>
      </c>
      <c r="C312" s="267" t="s">
        <v>296</v>
      </c>
      <c r="D312" s="268"/>
      <c r="E312" s="216" t="s">
        <v>297</v>
      </c>
      <c r="F312" s="27"/>
      <c r="G312" s="110"/>
      <c r="H312" s="110"/>
      <c r="I312" s="110"/>
      <c r="J312" s="110"/>
      <c r="K312" s="214">
        <f t="shared" si="38"/>
        <v>0</v>
      </c>
      <c r="L312" s="214">
        <f t="shared" si="39"/>
        <v>0</v>
      </c>
      <c r="M312" s="214">
        <v>524.1</v>
      </c>
      <c r="N312" s="214">
        <f t="shared" si="43"/>
        <v>3.3467432950191571</v>
      </c>
      <c r="O312" s="214"/>
      <c r="P312" s="214">
        <f t="shared" si="40"/>
        <v>0</v>
      </c>
      <c r="Q312" s="214"/>
      <c r="R312" s="19">
        <f t="shared" si="41"/>
        <v>0</v>
      </c>
      <c r="S312" s="214">
        <f t="shared" si="42"/>
        <v>0</v>
      </c>
      <c r="T312" s="20">
        <v>4</v>
      </c>
      <c r="U312" s="20"/>
      <c r="V312" s="213"/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12">
        <v>300424</v>
      </c>
      <c r="B313" s="208" t="s">
        <v>300</v>
      </c>
      <c r="C313" s="267" t="s">
        <v>296</v>
      </c>
      <c r="D313" s="268"/>
      <c r="E313" s="216" t="s">
        <v>298</v>
      </c>
      <c r="F313" s="27"/>
      <c r="G313" s="110"/>
      <c r="H313" s="110"/>
      <c r="I313" s="110"/>
      <c r="J313" s="110"/>
      <c r="K313" s="214">
        <f t="shared" si="38"/>
        <v>0</v>
      </c>
      <c r="L313" s="214">
        <f t="shared" si="39"/>
        <v>0</v>
      </c>
      <c r="M313" s="214">
        <v>524.1</v>
      </c>
      <c r="N313" s="214">
        <f t="shared" si="43"/>
        <v>3.3467432950191571</v>
      </c>
      <c r="O313" s="214"/>
      <c r="P313" s="214">
        <f t="shared" si="40"/>
        <v>0</v>
      </c>
      <c r="Q313" s="214"/>
      <c r="R313" s="19">
        <f t="shared" si="41"/>
        <v>0</v>
      </c>
      <c r="S313" s="214">
        <f t="shared" si="42"/>
        <v>0</v>
      </c>
      <c r="T313" s="20">
        <v>4</v>
      </c>
      <c r="U313" s="20"/>
      <c r="V313" s="213"/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12">
        <v>300425</v>
      </c>
      <c r="B314" s="208" t="s">
        <v>300</v>
      </c>
      <c r="C314" s="267" t="s">
        <v>296</v>
      </c>
      <c r="D314" s="268"/>
      <c r="E314" s="216" t="s">
        <v>299</v>
      </c>
      <c r="F314" s="27"/>
      <c r="G314" s="110"/>
      <c r="H314" s="110"/>
      <c r="I314" s="110"/>
      <c r="J314" s="110"/>
      <c r="K314" s="214">
        <f t="shared" si="38"/>
        <v>0</v>
      </c>
      <c r="L314" s="214">
        <f t="shared" si="39"/>
        <v>0</v>
      </c>
      <c r="M314" s="214">
        <v>524.1</v>
      </c>
      <c r="N314" s="214">
        <f t="shared" si="43"/>
        <v>3.3467432950191571</v>
      </c>
      <c r="O314" s="214"/>
      <c r="P314" s="214">
        <f t="shared" si="40"/>
        <v>0</v>
      </c>
      <c r="Q314" s="214"/>
      <c r="R314" s="19">
        <f t="shared" si="41"/>
        <v>0</v>
      </c>
      <c r="S314" s="214">
        <f t="shared" si="42"/>
        <v>0</v>
      </c>
      <c r="T314" s="20">
        <v>4</v>
      </c>
      <c r="U314" s="20"/>
      <c r="V314" s="21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12">
        <v>300390</v>
      </c>
      <c r="B315" s="208" t="s">
        <v>295</v>
      </c>
      <c r="C315" s="267" t="s">
        <v>114</v>
      </c>
      <c r="D315" s="268"/>
      <c r="E315" s="216" t="s">
        <v>115</v>
      </c>
      <c r="F315" s="215"/>
      <c r="G315" s="214"/>
      <c r="H315" s="214"/>
      <c r="I315" s="214"/>
      <c r="J315" s="214"/>
      <c r="K315" s="214">
        <f t="shared" si="38"/>
        <v>0</v>
      </c>
      <c r="L315" s="214">
        <f t="shared" si="39"/>
        <v>0</v>
      </c>
      <c r="M315" s="214">
        <v>417.4</v>
      </c>
      <c r="N315" s="214">
        <f>+M315*1000/(87*1*80*60)*T315</f>
        <v>3.9980842911877397</v>
      </c>
      <c r="O315" s="214"/>
      <c r="P315" s="214">
        <f t="shared" si="40"/>
        <v>0</v>
      </c>
      <c r="Q315" s="214"/>
      <c r="R315" s="19">
        <f t="shared" si="41"/>
        <v>0</v>
      </c>
      <c r="S315" s="214">
        <f t="shared" si="42"/>
        <v>0</v>
      </c>
      <c r="T315" s="20">
        <v>4</v>
      </c>
      <c r="U315" s="20"/>
      <c r="V315" s="21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12">
        <v>300391</v>
      </c>
      <c r="B316" s="208" t="s">
        <v>116</v>
      </c>
      <c r="C316" s="267" t="s">
        <v>114</v>
      </c>
      <c r="D316" s="268"/>
      <c r="E316" s="216" t="s">
        <v>117</v>
      </c>
      <c r="F316" s="215"/>
      <c r="G316" s="214"/>
      <c r="H316" s="214"/>
      <c r="I316" s="214"/>
      <c r="J316" s="214"/>
      <c r="K316" s="214">
        <f t="shared" si="38"/>
        <v>0</v>
      </c>
      <c r="L316" s="214">
        <f t="shared" si="39"/>
        <v>0</v>
      </c>
      <c r="M316" s="214">
        <v>417.4</v>
      </c>
      <c r="N316" s="214">
        <f>+M316*1000/(87*1*80*60)*T316</f>
        <v>3.9980842911877397</v>
      </c>
      <c r="O316" s="214"/>
      <c r="P316" s="214">
        <f t="shared" si="40"/>
        <v>0</v>
      </c>
      <c r="Q316" s="214"/>
      <c r="R316" s="19">
        <f t="shared" si="41"/>
        <v>0</v>
      </c>
      <c r="S316" s="214">
        <f t="shared" si="42"/>
        <v>0</v>
      </c>
      <c r="T316" s="20">
        <v>4</v>
      </c>
      <c r="U316" s="20"/>
      <c r="V316" s="21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12">
        <v>300431</v>
      </c>
      <c r="B317" s="208" t="s">
        <v>300</v>
      </c>
      <c r="C317" s="267" t="s">
        <v>305</v>
      </c>
      <c r="D317" s="268"/>
      <c r="E317" s="216" t="s">
        <v>306</v>
      </c>
      <c r="F317" s="27"/>
      <c r="G317" s="110"/>
      <c r="H317" s="110"/>
      <c r="I317" s="110"/>
      <c r="J317" s="110"/>
      <c r="K317" s="214">
        <f t="shared" si="38"/>
        <v>0</v>
      </c>
      <c r="L317" s="214">
        <f t="shared" si="39"/>
        <v>0</v>
      </c>
      <c r="M317" s="214">
        <v>628.79999999999995</v>
      </c>
      <c r="N317" s="214">
        <f>+M317*1000/(87*1*80*60)*T317</f>
        <v>6.0229885057471266</v>
      </c>
      <c r="O317" s="214"/>
      <c r="P317" s="214">
        <f t="shared" si="40"/>
        <v>0</v>
      </c>
      <c r="Q317" s="214"/>
      <c r="R317" s="19">
        <f t="shared" si="41"/>
        <v>0</v>
      </c>
      <c r="S317" s="214">
        <f t="shared" si="42"/>
        <v>0</v>
      </c>
      <c r="T317" s="20">
        <v>4</v>
      </c>
      <c r="U317" s="20"/>
      <c r="V317" s="213"/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12">
        <v>300432</v>
      </c>
      <c r="B318" s="208" t="s">
        <v>300</v>
      </c>
      <c r="C318" s="267" t="s">
        <v>305</v>
      </c>
      <c r="D318" s="268"/>
      <c r="E318" s="216" t="s">
        <v>307</v>
      </c>
      <c r="F318" s="27"/>
      <c r="G318" s="110"/>
      <c r="H318" s="110"/>
      <c r="I318" s="110"/>
      <c r="J318" s="110"/>
      <c r="K318" s="214">
        <f t="shared" si="38"/>
        <v>0</v>
      </c>
      <c r="L318" s="214">
        <f t="shared" si="39"/>
        <v>0</v>
      </c>
      <c r="M318" s="214">
        <v>628.79999999999995</v>
      </c>
      <c r="N318" s="214">
        <f>+M318*1000/(87*1*80*60)*T318</f>
        <v>6.0229885057471266</v>
      </c>
      <c r="O318" s="214"/>
      <c r="P318" s="214">
        <f t="shared" si="40"/>
        <v>0</v>
      </c>
      <c r="Q318" s="214"/>
      <c r="R318" s="19">
        <f t="shared" si="41"/>
        <v>0</v>
      </c>
      <c r="S318" s="214">
        <f t="shared" si="42"/>
        <v>0</v>
      </c>
      <c r="T318" s="20">
        <v>4</v>
      </c>
      <c r="U318" s="20"/>
      <c r="V318" s="213"/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12">
        <v>300433</v>
      </c>
      <c r="B319" s="208" t="s">
        <v>300</v>
      </c>
      <c r="C319" s="267" t="s">
        <v>305</v>
      </c>
      <c r="D319" s="268"/>
      <c r="E319" s="134" t="s">
        <v>308</v>
      </c>
      <c r="F319" s="27"/>
      <c r="G319" s="110"/>
      <c r="H319" s="110"/>
      <c r="I319" s="110"/>
      <c r="J319" s="110"/>
      <c r="K319" s="214">
        <f t="shared" si="38"/>
        <v>0</v>
      </c>
      <c r="L319" s="214">
        <f t="shared" si="39"/>
        <v>0</v>
      </c>
      <c r="M319" s="214">
        <v>628.79999999999995</v>
      </c>
      <c r="N319" s="214">
        <f>+M319*1000/(87*1*80*60)*T319</f>
        <v>6.0229885057471266</v>
      </c>
      <c r="O319" s="214"/>
      <c r="P319" s="214">
        <f t="shared" si="40"/>
        <v>0</v>
      </c>
      <c r="Q319" s="214"/>
      <c r="R319" s="19">
        <f t="shared" si="41"/>
        <v>0</v>
      </c>
      <c r="S319" s="214">
        <f t="shared" si="42"/>
        <v>0</v>
      </c>
      <c r="T319" s="20">
        <v>4</v>
      </c>
      <c r="U319" s="20"/>
      <c r="V319" s="213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12">
        <v>300074</v>
      </c>
      <c r="B320" s="208" t="s">
        <v>118</v>
      </c>
      <c r="C320" s="256" t="s">
        <v>119</v>
      </c>
      <c r="D320" s="256" t="s">
        <v>120</v>
      </c>
      <c r="E320" s="216" t="s">
        <v>54</v>
      </c>
      <c r="F320" s="215"/>
      <c r="G320" s="214"/>
      <c r="H320" s="214"/>
      <c r="I320" s="214"/>
      <c r="J320" s="214"/>
      <c r="K320" s="214">
        <f t="shared" si="38"/>
        <v>0</v>
      </c>
      <c r="L320" s="214">
        <f t="shared" si="39"/>
        <v>0</v>
      </c>
      <c r="M320" s="214">
        <v>290.8</v>
      </c>
      <c r="N320" s="214">
        <f>+M320*1000/(88*4*13*60)*T320</f>
        <v>3.1774475524475525</v>
      </c>
      <c r="O320" s="214"/>
      <c r="P320" s="214">
        <f t="shared" si="40"/>
        <v>0</v>
      </c>
      <c r="Q320" s="214"/>
      <c r="R320" s="19">
        <f t="shared" si="41"/>
        <v>0</v>
      </c>
      <c r="S320" s="214">
        <f t="shared" si="42"/>
        <v>0</v>
      </c>
      <c r="T320" s="20">
        <v>3</v>
      </c>
      <c r="U320" s="20"/>
      <c r="V320" s="21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12">
        <v>300076</v>
      </c>
      <c r="B321" s="208" t="s">
        <v>118</v>
      </c>
      <c r="C321" s="256" t="s">
        <v>119</v>
      </c>
      <c r="D321" s="256" t="s">
        <v>120</v>
      </c>
      <c r="E321" s="216" t="s">
        <v>35</v>
      </c>
      <c r="F321" s="215"/>
      <c r="G321" s="214"/>
      <c r="H321" s="214"/>
      <c r="I321" s="214"/>
      <c r="J321" s="214"/>
      <c r="K321" s="214">
        <f t="shared" si="38"/>
        <v>0</v>
      </c>
      <c r="L321" s="214">
        <f t="shared" si="39"/>
        <v>0</v>
      </c>
      <c r="M321" s="214">
        <v>303.10000000000002</v>
      </c>
      <c r="N321" s="214">
        <f>+M321*1000/(88*4*12*60)*T321</f>
        <v>4.7837752525252526</v>
      </c>
      <c r="O321" s="214"/>
      <c r="P321" s="214">
        <f t="shared" si="40"/>
        <v>0</v>
      </c>
      <c r="Q321" s="214"/>
      <c r="R321" s="19">
        <f t="shared" si="41"/>
        <v>0</v>
      </c>
      <c r="S321" s="214">
        <f t="shared" si="42"/>
        <v>0</v>
      </c>
      <c r="T321" s="20">
        <v>4</v>
      </c>
      <c r="U321" s="20"/>
      <c r="V321" s="21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12">
        <v>300096</v>
      </c>
      <c r="B322" s="208">
        <v>6502</v>
      </c>
      <c r="C322" s="256" t="s">
        <v>121</v>
      </c>
      <c r="D322" s="256" t="s">
        <v>122</v>
      </c>
      <c r="E322" s="216" t="s">
        <v>37</v>
      </c>
      <c r="F322" s="215"/>
      <c r="G322" s="214"/>
      <c r="H322" s="214"/>
      <c r="I322" s="214"/>
      <c r="J322" s="214"/>
      <c r="K322" s="214">
        <f t="shared" si="38"/>
        <v>0</v>
      </c>
      <c r="L322" s="214">
        <f t="shared" si="39"/>
        <v>0</v>
      </c>
      <c r="M322" s="214">
        <v>480.13</v>
      </c>
      <c r="N322" s="214">
        <f>+M322*1000/(126.5*4*12*60)*T322</f>
        <v>2.6357597716293371</v>
      </c>
      <c r="O322" s="214"/>
      <c r="P322" s="214">
        <f t="shared" si="40"/>
        <v>0</v>
      </c>
      <c r="Q322" s="214"/>
      <c r="R322" s="19">
        <f t="shared" si="41"/>
        <v>0</v>
      </c>
      <c r="S322" s="214">
        <f t="shared" si="42"/>
        <v>0</v>
      </c>
      <c r="T322" s="20">
        <v>2</v>
      </c>
      <c r="U322" s="20"/>
      <c r="V322" s="21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12"/>
      <c r="B323" s="208" t="s">
        <v>118</v>
      </c>
      <c r="C323" s="256" t="s">
        <v>121</v>
      </c>
      <c r="D323" s="256" t="s">
        <v>122</v>
      </c>
      <c r="E323" s="216" t="s">
        <v>35</v>
      </c>
      <c r="F323" s="215"/>
      <c r="G323" s="214"/>
      <c r="H323" s="214"/>
      <c r="I323" s="214"/>
      <c r="J323" s="214"/>
      <c r="K323" s="214">
        <f t="shared" si="38"/>
        <v>0</v>
      </c>
      <c r="L323" s="214">
        <f t="shared" si="39"/>
        <v>0</v>
      </c>
      <c r="M323" s="214">
        <v>480.13</v>
      </c>
      <c r="N323" s="214">
        <f>+M323*1000/(126.5*4*12*60)*T323</f>
        <v>2.6357597716293371</v>
      </c>
      <c r="O323" s="214"/>
      <c r="P323" s="214">
        <f t="shared" si="40"/>
        <v>0</v>
      </c>
      <c r="Q323" s="214"/>
      <c r="R323" s="19">
        <f t="shared" si="41"/>
        <v>0</v>
      </c>
      <c r="S323" s="214">
        <f t="shared" si="42"/>
        <v>0</v>
      </c>
      <c r="T323" s="20">
        <v>2</v>
      </c>
      <c r="U323" s="20"/>
      <c r="V323" s="21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12">
        <v>300097</v>
      </c>
      <c r="B324" s="208">
        <v>6502</v>
      </c>
      <c r="C324" s="256" t="s">
        <v>121</v>
      </c>
      <c r="D324" s="256" t="s">
        <v>122</v>
      </c>
      <c r="E324" s="216" t="s">
        <v>63</v>
      </c>
      <c r="F324" s="215" t="s">
        <v>327</v>
      </c>
      <c r="G324" s="214">
        <v>9.67</v>
      </c>
      <c r="H324" s="214">
        <v>0.93333333333333335</v>
      </c>
      <c r="I324" s="214">
        <f>9+H324-J324/300</f>
        <v>9.6666666666666661</v>
      </c>
      <c r="J324" s="214">
        <v>80</v>
      </c>
      <c r="K324" s="214">
        <f t="shared" si="38"/>
        <v>4642.8571000000002</v>
      </c>
      <c r="L324" s="214">
        <f t="shared" si="39"/>
        <v>4641.2566666666662</v>
      </c>
      <c r="M324" s="214">
        <v>480.13</v>
      </c>
      <c r="N324" s="214">
        <f>+M324*1000/(126.5*4*12*60)*T324</f>
        <v>2.6357597716293371</v>
      </c>
      <c r="O324" s="214"/>
      <c r="P324" s="214">
        <f t="shared" si="40"/>
        <v>25.479011125750258</v>
      </c>
      <c r="Q324" s="214">
        <v>11.5</v>
      </c>
      <c r="R324" s="19">
        <f t="shared" si="41"/>
        <v>23</v>
      </c>
      <c r="S324" s="214">
        <f t="shared" si="42"/>
        <v>-2.4790111257502581</v>
      </c>
      <c r="T324" s="20">
        <v>2</v>
      </c>
      <c r="U324" s="20">
        <v>2</v>
      </c>
      <c r="V324" s="213">
        <f t="array" ref="V324">IF(ISERROR(L324/K324),"",L324/K324)</f>
        <v>0.99965529127886921</v>
      </c>
      <c r="W324" s="20"/>
      <c r="X324" s="20">
        <v>1.2</v>
      </c>
      <c r="Y324" s="20"/>
      <c r="Z324" s="20"/>
      <c r="AA324" s="20"/>
      <c r="AB324" s="20"/>
      <c r="AC324" s="20"/>
    </row>
    <row r="325" spans="1:29" s="2" customFormat="1" ht="21.95" hidden="1" customHeight="1">
      <c r="A325" s="208">
        <v>300294</v>
      </c>
      <c r="B325" s="208" t="s">
        <v>118</v>
      </c>
      <c r="C325" s="256" t="s">
        <v>123</v>
      </c>
      <c r="D325" s="256"/>
      <c r="E325" s="216" t="s">
        <v>41</v>
      </c>
      <c r="F325" s="215"/>
      <c r="G325" s="214"/>
      <c r="H325" s="214"/>
      <c r="I325" s="214"/>
      <c r="J325" s="214"/>
      <c r="K325" s="214">
        <f t="shared" si="38"/>
        <v>0</v>
      </c>
      <c r="L325" s="214">
        <f t="shared" si="39"/>
        <v>0</v>
      </c>
      <c r="M325" s="214">
        <v>373.14</v>
      </c>
      <c r="N325" s="214">
        <f t="shared" ref="N325:N334" si="44">+M325*1000/(90*4*14*60)*T325</f>
        <v>3.7017857142857142</v>
      </c>
      <c r="O325" s="214"/>
      <c r="P325" s="214">
        <f t="shared" si="40"/>
        <v>0</v>
      </c>
      <c r="Q325" s="214"/>
      <c r="R325" s="19">
        <f t="shared" si="41"/>
        <v>0</v>
      </c>
      <c r="S325" s="214">
        <f t="shared" si="42"/>
        <v>0</v>
      </c>
      <c r="T325" s="20">
        <v>3</v>
      </c>
      <c r="U325" s="20"/>
      <c r="V325" s="21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8">
        <v>300295</v>
      </c>
      <c r="B326" s="208" t="s">
        <v>124</v>
      </c>
      <c r="C326" s="256" t="s">
        <v>125</v>
      </c>
      <c r="D326" s="256"/>
      <c r="E326" s="216" t="s">
        <v>126</v>
      </c>
      <c r="F326" s="215"/>
      <c r="G326" s="214"/>
      <c r="H326" s="214"/>
      <c r="I326" s="214"/>
      <c r="J326" s="214"/>
      <c r="K326" s="214">
        <f t="shared" si="38"/>
        <v>0</v>
      </c>
      <c r="L326" s="214">
        <f t="shared" si="39"/>
        <v>0</v>
      </c>
      <c r="M326" s="214">
        <v>373.14</v>
      </c>
      <c r="N326" s="214">
        <f t="shared" si="44"/>
        <v>3.7017857142857142</v>
      </c>
      <c r="O326" s="214"/>
      <c r="P326" s="214">
        <f t="shared" si="40"/>
        <v>0</v>
      </c>
      <c r="Q326" s="214"/>
      <c r="R326" s="19">
        <f t="shared" si="41"/>
        <v>0</v>
      </c>
      <c r="S326" s="214">
        <f t="shared" si="42"/>
        <v>0</v>
      </c>
      <c r="T326" s="20">
        <v>3</v>
      </c>
      <c r="U326" s="20"/>
      <c r="V326" s="21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8">
        <v>300258</v>
      </c>
      <c r="B327" s="208" t="s">
        <v>118</v>
      </c>
      <c r="C327" s="256" t="s">
        <v>123</v>
      </c>
      <c r="D327" s="256"/>
      <c r="E327" s="216" t="s">
        <v>42</v>
      </c>
      <c r="F327" s="215"/>
      <c r="G327" s="214"/>
      <c r="H327" s="214"/>
      <c r="I327" s="214"/>
      <c r="J327" s="214"/>
      <c r="K327" s="214">
        <f t="shared" si="38"/>
        <v>0</v>
      </c>
      <c r="L327" s="214">
        <f t="shared" si="39"/>
        <v>0</v>
      </c>
      <c r="M327" s="214">
        <v>373.14</v>
      </c>
      <c r="N327" s="214">
        <f t="shared" si="44"/>
        <v>3.7017857142857142</v>
      </c>
      <c r="O327" s="214"/>
      <c r="P327" s="214">
        <f t="shared" si="40"/>
        <v>0</v>
      </c>
      <c r="Q327" s="214"/>
      <c r="R327" s="19">
        <f t="shared" si="41"/>
        <v>0</v>
      </c>
      <c r="S327" s="214">
        <f t="shared" si="42"/>
        <v>0</v>
      </c>
      <c r="T327" s="20">
        <v>3</v>
      </c>
      <c r="U327" s="20"/>
      <c r="V327" s="21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8">
        <v>300256</v>
      </c>
      <c r="B328" s="208" t="s">
        <v>118</v>
      </c>
      <c r="C328" s="256" t="s">
        <v>123</v>
      </c>
      <c r="D328" s="256"/>
      <c r="E328" s="216" t="s">
        <v>74</v>
      </c>
      <c r="F328" s="215"/>
      <c r="G328" s="214"/>
      <c r="H328" s="214"/>
      <c r="I328" s="214"/>
      <c r="J328" s="214"/>
      <c r="K328" s="214">
        <f t="shared" si="38"/>
        <v>0</v>
      </c>
      <c r="L328" s="214">
        <f t="shared" si="39"/>
        <v>0</v>
      </c>
      <c r="M328" s="214">
        <v>373.14</v>
      </c>
      <c r="N328" s="214">
        <f t="shared" si="44"/>
        <v>3.7017857142857142</v>
      </c>
      <c r="O328" s="214"/>
      <c r="P328" s="214">
        <f t="shared" si="40"/>
        <v>0</v>
      </c>
      <c r="Q328" s="214"/>
      <c r="R328" s="19">
        <f t="shared" si="41"/>
        <v>0</v>
      </c>
      <c r="S328" s="214">
        <f t="shared" si="42"/>
        <v>0</v>
      </c>
      <c r="T328" s="20">
        <v>3</v>
      </c>
      <c r="U328" s="20"/>
      <c r="V328" s="21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8">
        <v>300259</v>
      </c>
      <c r="B329" s="208" t="s">
        <v>118</v>
      </c>
      <c r="C329" s="256" t="s">
        <v>123</v>
      </c>
      <c r="D329" s="256"/>
      <c r="E329" s="216" t="s">
        <v>40</v>
      </c>
      <c r="F329" s="215"/>
      <c r="G329" s="214"/>
      <c r="H329" s="214"/>
      <c r="I329" s="214"/>
      <c r="J329" s="214"/>
      <c r="K329" s="214">
        <f t="shared" si="38"/>
        <v>0</v>
      </c>
      <c r="L329" s="214">
        <f t="shared" si="39"/>
        <v>0</v>
      </c>
      <c r="M329" s="214">
        <v>373.14</v>
      </c>
      <c r="N329" s="214">
        <f t="shared" si="44"/>
        <v>3.7017857142857142</v>
      </c>
      <c r="O329" s="214"/>
      <c r="P329" s="214">
        <f t="shared" si="40"/>
        <v>0</v>
      </c>
      <c r="Q329" s="214"/>
      <c r="R329" s="19">
        <f t="shared" si="41"/>
        <v>0</v>
      </c>
      <c r="S329" s="214">
        <f t="shared" si="42"/>
        <v>0</v>
      </c>
      <c r="T329" s="20">
        <v>3</v>
      </c>
      <c r="U329" s="20"/>
      <c r="V329" s="21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8">
        <v>300345</v>
      </c>
      <c r="B330" s="208" t="s">
        <v>118</v>
      </c>
      <c r="C330" s="256" t="s">
        <v>127</v>
      </c>
      <c r="D330" s="256"/>
      <c r="E330" s="216" t="s">
        <v>74</v>
      </c>
      <c r="F330" s="215"/>
      <c r="G330" s="41"/>
      <c r="H330" s="41"/>
      <c r="I330" s="41"/>
      <c r="J330" s="41"/>
      <c r="K330" s="214">
        <f t="shared" si="38"/>
        <v>0</v>
      </c>
      <c r="L330" s="214">
        <f t="shared" si="39"/>
        <v>0</v>
      </c>
      <c r="M330" s="214">
        <v>373.14</v>
      </c>
      <c r="N330" s="214">
        <f t="shared" si="44"/>
        <v>3.7017857142857142</v>
      </c>
      <c r="O330" s="41"/>
      <c r="P330" s="214">
        <f t="shared" si="40"/>
        <v>0</v>
      </c>
      <c r="Q330" s="41"/>
      <c r="R330" s="19">
        <f t="shared" si="41"/>
        <v>0</v>
      </c>
      <c r="S330" s="214">
        <f t="shared" si="42"/>
        <v>0</v>
      </c>
      <c r="T330" s="20">
        <v>3</v>
      </c>
      <c r="U330" s="41"/>
      <c r="V330" s="21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8">
        <v>300346</v>
      </c>
      <c r="B331" s="208" t="s">
        <v>118</v>
      </c>
      <c r="C331" s="256" t="s">
        <v>127</v>
      </c>
      <c r="D331" s="256"/>
      <c r="E331" s="216" t="s">
        <v>42</v>
      </c>
      <c r="F331" s="215"/>
      <c r="G331" s="41"/>
      <c r="H331" s="41"/>
      <c r="I331" s="41"/>
      <c r="J331" s="41"/>
      <c r="K331" s="214">
        <f t="shared" si="38"/>
        <v>0</v>
      </c>
      <c r="L331" s="214">
        <f t="shared" si="39"/>
        <v>0</v>
      </c>
      <c r="M331" s="214">
        <v>373.14</v>
      </c>
      <c r="N331" s="214">
        <f t="shared" si="44"/>
        <v>3.7017857142857142</v>
      </c>
      <c r="O331" s="41"/>
      <c r="P331" s="214">
        <f t="shared" si="40"/>
        <v>0</v>
      </c>
      <c r="Q331" s="41"/>
      <c r="R331" s="19">
        <f t="shared" si="41"/>
        <v>0</v>
      </c>
      <c r="S331" s="214">
        <f t="shared" si="42"/>
        <v>0</v>
      </c>
      <c r="T331" s="20">
        <v>3</v>
      </c>
      <c r="U331" s="41"/>
      <c r="V331" s="21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8">
        <v>300347</v>
      </c>
      <c r="B332" s="208" t="s">
        <v>118</v>
      </c>
      <c r="C332" s="256" t="s">
        <v>127</v>
      </c>
      <c r="D332" s="256"/>
      <c r="E332" s="216" t="s">
        <v>41</v>
      </c>
      <c r="F332" s="215"/>
      <c r="G332" s="41"/>
      <c r="H332" s="41"/>
      <c r="I332" s="41"/>
      <c r="J332" s="41"/>
      <c r="K332" s="214">
        <f t="shared" si="38"/>
        <v>0</v>
      </c>
      <c r="L332" s="214">
        <f t="shared" si="39"/>
        <v>0</v>
      </c>
      <c r="M332" s="214">
        <v>373.14</v>
      </c>
      <c r="N332" s="214">
        <f t="shared" si="44"/>
        <v>3.7017857142857142</v>
      </c>
      <c r="O332" s="41"/>
      <c r="P332" s="214">
        <f t="shared" si="40"/>
        <v>0</v>
      </c>
      <c r="Q332" s="41"/>
      <c r="R332" s="19">
        <f t="shared" si="41"/>
        <v>0</v>
      </c>
      <c r="S332" s="214">
        <f t="shared" si="42"/>
        <v>0</v>
      </c>
      <c r="T332" s="20">
        <v>3</v>
      </c>
      <c r="U332" s="41"/>
      <c r="V332" s="21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8">
        <v>300348</v>
      </c>
      <c r="B333" s="208" t="s">
        <v>118</v>
      </c>
      <c r="C333" s="256" t="s">
        <v>127</v>
      </c>
      <c r="D333" s="256"/>
      <c r="E333" s="216" t="s">
        <v>126</v>
      </c>
      <c r="F333" s="215"/>
      <c r="G333" s="41"/>
      <c r="H333" s="41"/>
      <c r="I333" s="41"/>
      <c r="J333" s="41"/>
      <c r="K333" s="214">
        <f t="shared" si="38"/>
        <v>0</v>
      </c>
      <c r="L333" s="214">
        <f t="shared" si="39"/>
        <v>0</v>
      </c>
      <c r="M333" s="214">
        <v>373.14</v>
      </c>
      <c r="N333" s="214">
        <f t="shared" si="44"/>
        <v>3.7017857142857142</v>
      </c>
      <c r="O333" s="41"/>
      <c r="P333" s="214">
        <f t="shared" si="40"/>
        <v>0</v>
      </c>
      <c r="Q333" s="41"/>
      <c r="R333" s="19">
        <f t="shared" si="41"/>
        <v>0</v>
      </c>
      <c r="S333" s="214">
        <f t="shared" si="42"/>
        <v>0</v>
      </c>
      <c r="T333" s="20">
        <v>3</v>
      </c>
      <c r="U333" s="41"/>
      <c r="V333" s="21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8">
        <v>300349</v>
      </c>
      <c r="B334" s="208" t="s">
        <v>118</v>
      </c>
      <c r="C334" s="256" t="s">
        <v>127</v>
      </c>
      <c r="D334" s="256"/>
      <c r="E334" s="216" t="s">
        <v>40</v>
      </c>
      <c r="F334" s="215"/>
      <c r="G334" s="41"/>
      <c r="H334" s="41"/>
      <c r="I334" s="41"/>
      <c r="J334" s="41"/>
      <c r="K334" s="214">
        <f t="shared" si="38"/>
        <v>0</v>
      </c>
      <c r="L334" s="214">
        <f t="shared" si="39"/>
        <v>0</v>
      </c>
      <c r="M334" s="214">
        <v>373.14</v>
      </c>
      <c r="N334" s="214">
        <f t="shared" si="44"/>
        <v>3.7017857142857142</v>
      </c>
      <c r="O334" s="41"/>
      <c r="P334" s="214">
        <f t="shared" si="40"/>
        <v>0</v>
      </c>
      <c r="Q334" s="41"/>
      <c r="R334" s="19">
        <f t="shared" si="41"/>
        <v>0</v>
      </c>
      <c r="S334" s="214">
        <f t="shared" si="42"/>
        <v>0</v>
      </c>
      <c r="T334" s="20">
        <v>3</v>
      </c>
      <c r="U334" s="41"/>
      <c r="V334" s="21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8">
        <v>300298</v>
      </c>
      <c r="B335" s="208" t="s">
        <v>118</v>
      </c>
      <c r="C335" s="256" t="s">
        <v>128</v>
      </c>
      <c r="D335" s="256"/>
      <c r="E335" s="216" t="s">
        <v>54</v>
      </c>
      <c r="F335" s="215"/>
      <c r="G335" s="214"/>
      <c r="H335" s="214"/>
      <c r="I335" s="214"/>
      <c r="J335" s="214"/>
      <c r="K335" s="214">
        <f t="shared" si="38"/>
        <v>0</v>
      </c>
      <c r="L335" s="214">
        <f t="shared" si="39"/>
        <v>0</v>
      </c>
      <c r="M335" s="214">
        <v>380.63</v>
      </c>
      <c r="N335" s="214">
        <f t="shared" ref="N335:N340" si="45">+M335*1000/(94.7*4*15*60)*T335</f>
        <v>4.4659157573624313</v>
      </c>
      <c r="O335" s="214"/>
      <c r="P335" s="214">
        <f t="shared" si="40"/>
        <v>0</v>
      </c>
      <c r="Q335" s="214"/>
      <c r="R335" s="19">
        <f t="shared" si="41"/>
        <v>0</v>
      </c>
      <c r="S335" s="214">
        <f t="shared" si="42"/>
        <v>0</v>
      </c>
      <c r="T335" s="20">
        <v>4</v>
      </c>
      <c r="U335" s="20"/>
      <c r="V335" s="21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8">
        <v>300299</v>
      </c>
      <c r="B336" s="208" t="s">
        <v>118</v>
      </c>
      <c r="C336" s="256" t="s">
        <v>128</v>
      </c>
      <c r="D336" s="256"/>
      <c r="E336" s="216" t="s">
        <v>39</v>
      </c>
      <c r="F336" s="215"/>
      <c r="G336" s="214"/>
      <c r="H336" s="214"/>
      <c r="I336" s="214"/>
      <c r="J336" s="214"/>
      <c r="K336" s="214">
        <f t="shared" si="38"/>
        <v>0</v>
      </c>
      <c r="L336" s="214">
        <f t="shared" si="39"/>
        <v>0</v>
      </c>
      <c r="M336" s="214">
        <v>380.63</v>
      </c>
      <c r="N336" s="214">
        <f t="shared" si="45"/>
        <v>4.4659157573624313</v>
      </c>
      <c r="O336" s="214"/>
      <c r="P336" s="214">
        <f t="shared" si="40"/>
        <v>0</v>
      </c>
      <c r="Q336" s="214"/>
      <c r="R336" s="19">
        <f t="shared" si="41"/>
        <v>0</v>
      </c>
      <c r="S336" s="214">
        <f t="shared" si="42"/>
        <v>0</v>
      </c>
      <c r="T336" s="20">
        <v>4</v>
      </c>
      <c r="U336" s="20"/>
      <c r="V336" s="21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8">
        <v>300296</v>
      </c>
      <c r="B337" s="208" t="s">
        <v>118</v>
      </c>
      <c r="C337" s="256" t="s">
        <v>128</v>
      </c>
      <c r="D337" s="256"/>
      <c r="E337" s="216" t="s">
        <v>41</v>
      </c>
      <c r="F337" s="215"/>
      <c r="G337" s="214"/>
      <c r="H337" s="214"/>
      <c r="I337" s="214"/>
      <c r="J337" s="214"/>
      <c r="K337" s="214">
        <f t="shared" si="38"/>
        <v>0</v>
      </c>
      <c r="L337" s="214">
        <f t="shared" si="39"/>
        <v>0</v>
      </c>
      <c r="M337" s="214">
        <v>380.63</v>
      </c>
      <c r="N337" s="214">
        <f t="shared" si="45"/>
        <v>4.4659157573624313</v>
      </c>
      <c r="O337" s="214"/>
      <c r="P337" s="214">
        <f t="shared" si="40"/>
        <v>0</v>
      </c>
      <c r="Q337" s="214"/>
      <c r="R337" s="19">
        <f t="shared" si="41"/>
        <v>0</v>
      </c>
      <c r="S337" s="214">
        <f t="shared" si="42"/>
        <v>0</v>
      </c>
      <c r="T337" s="20">
        <v>4</v>
      </c>
      <c r="U337" s="20"/>
      <c r="V337" s="21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8">
        <v>300297</v>
      </c>
      <c r="B338" s="208" t="s">
        <v>118</v>
      </c>
      <c r="C338" s="256" t="s">
        <v>128</v>
      </c>
      <c r="D338" s="256"/>
      <c r="E338" s="216" t="s">
        <v>37</v>
      </c>
      <c r="F338" s="215"/>
      <c r="G338" s="214"/>
      <c r="H338" s="214"/>
      <c r="I338" s="214"/>
      <c r="J338" s="214"/>
      <c r="K338" s="214">
        <f t="shared" si="38"/>
        <v>0</v>
      </c>
      <c r="L338" s="214">
        <f t="shared" si="39"/>
        <v>0</v>
      </c>
      <c r="M338" s="214">
        <v>380.63</v>
      </c>
      <c r="N338" s="214">
        <f t="shared" si="45"/>
        <v>4.4659157573624313</v>
      </c>
      <c r="O338" s="214"/>
      <c r="P338" s="214">
        <f t="shared" si="40"/>
        <v>0</v>
      </c>
      <c r="Q338" s="214"/>
      <c r="R338" s="19">
        <f t="shared" si="41"/>
        <v>0</v>
      </c>
      <c r="S338" s="214">
        <f t="shared" si="42"/>
        <v>0</v>
      </c>
      <c r="T338" s="20">
        <v>4</v>
      </c>
      <c r="U338" s="20"/>
      <c r="V338" s="21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8">
        <v>300340</v>
      </c>
      <c r="B339" s="208" t="s">
        <v>118</v>
      </c>
      <c r="C339" s="267" t="s">
        <v>129</v>
      </c>
      <c r="D339" s="268"/>
      <c r="E339" s="216" t="s">
        <v>41</v>
      </c>
      <c r="F339" s="215"/>
      <c r="G339" s="214"/>
      <c r="H339" s="214"/>
      <c r="I339" s="214"/>
      <c r="J339" s="214"/>
      <c r="K339" s="214">
        <f t="shared" si="38"/>
        <v>0</v>
      </c>
      <c r="L339" s="214">
        <f t="shared" si="39"/>
        <v>0</v>
      </c>
      <c r="M339" s="214">
        <v>325.60000000000002</v>
      </c>
      <c r="N339" s="214">
        <f t="shared" si="45"/>
        <v>3.8202510852986036</v>
      </c>
      <c r="O339" s="214"/>
      <c r="P339" s="214">
        <f t="shared" si="40"/>
        <v>0</v>
      </c>
      <c r="Q339" s="214"/>
      <c r="R339" s="19">
        <f t="shared" si="41"/>
        <v>0</v>
      </c>
      <c r="S339" s="214">
        <f t="shared" si="42"/>
        <v>0</v>
      </c>
      <c r="T339" s="20">
        <v>4</v>
      </c>
      <c r="U339" s="20"/>
      <c r="V339" s="21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8">
        <v>300339</v>
      </c>
      <c r="B340" s="208" t="s">
        <v>118</v>
      </c>
      <c r="C340" s="267" t="s">
        <v>129</v>
      </c>
      <c r="D340" s="268"/>
      <c r="E340" s="216" t="s">
        <v>39</v>
      </c>
      <c r="F340" s="215"/>
      <c r="G340" s="214"/>
      <c r="H340" s="214"/>
      <c r="I340" s="214"/>
      <c r="J340" s="214"/>
      <c r="K340" s="214">
        <f t="shared" si="38"/>
        <v>0</v>
      </c>
      <c r="L340" s="214">
        <f t="shared" si="39"/>
        <v>0</v>
      </c>
      <c r="M340" s="214">
        <v>325.60000000000002</v>
      </c>
      <c r="N340" s="214">
        <f t="shared" si="45"/>
        <v>3.8202510852986036</v>
      </c>
      <c r="O340" s="214"/>
      <c r="P340" s="214">
        <f t="shared" si="40"/>
        <v>0</v>
      </c>
      <c r="Q340" s="214"/>
      <c r="R340" s="19">
        <f t="shared" si="41"/>
        <v>0</v>
      </c>
      <c r="S340" s="214">
        <f t="shared" si="42"/>
        <v>0</v>
      </c>
      <c r="T340" s="20">
        <v>4</v>
      </c>
      <c r="U340" s="20"/>
      <c r="V340" s="21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8">
        <v>300303</v>
      </c>
      <c r="B341" s="208" t="s">
        <v>118</v>
      </c>
      <c r="C341" s="256" t="s">
        <v>130</v>
      </c>
      <c r="D341" s="256" t="s">
        <v>131</v>
      </c>
      <c r="E341" s="216" t="s">
        <v>57</v>
      </c>
      <c r="F341" s="215"/>
      <c r="G341" s="214"/>
      <c r="H341" s="214"/>
      <c r="I341" s="214"/>
      <c r="J341" s="214"/>
      <c r="K341" s="214">
        <f t="shared" si="38"/>
        <v>0</v>
      </c>
      <c r="L341" s="214">
        <f t="shared" si="39"/>
        <v>0</v>
      </c>
      <c r="M341" s="214">
        <v>396.92</v>
      </c>
      <c r="N341" s="214">
        <f>+M341*1000/(113.8*4*15*60)*T341</f>
        <v>4.8442686975200155</v>
      </c>
      <c r="O341" s="214"/>
      <c r="P341" s="214">
        <f t="shared" si="40"/>
        <v>0</v>
      </c>
      <c r="Q341" s="214"/>
      <c r="R341" s="19">
        <f t="shared" si="41"/>
        <v>0</v>
      </c>
      <c r="S341" s="214">
        <f t="shared" si="42"/>
        <v>0</v>
      </c>
      <c r="T341" s="20">
        <v>5</v>
      </c>
      <c r="U341" s="20"/>
      <c r="V341" s="21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8">
        <v>300302</v>
      </c>
      <c r="B342" s="208" t="s">
        <v>118</v>
      </c>
      <c r="C342" s="256" t="s">
        <v>130</v>
      </c>
      <c r="D342" s="256" t="s">
        <v>131</v>
      </c>
      <c r="E342" s="216" t="s">
        <v>117</v>
      </c>
      <c r="F342" s="215"/>
      <c r="G342" s="214"/>
      <c r="H342" s="214"/>
      <c r="I342" s="214"/>
      <c r="J342" s="214"/>
      <c r="K342" s="214">
        <f t="shared" si="38"/>
        <v>0</v>
      </c>
      <c r="L342" s="214">
        <f t="shared" si="39"/>
        <v>0</v>
      </c>
      <c r="M342" s="214">
        <v>396.06</v>
      </c>
      <c r="N342" s="214">
        <f>+M342*1000/(113.8*4*15*60)*T342</f>
        <v>4.8337727006444053</v>
      </c>
      <c r="O342" s="214"/>
      <c r="P342" s="214">
        <f t="shared" si="40"/>
        <v>0</v>
      </c>
      <c r="Q342" s="214"/>
      <c r="R342" s="19">
        <f t="shared" si="41"/>
        <v>0</v>
      </c>
      <c r="S342" s="214">
        <f t="shared" si="42"/>
        <v>0</v>
      </c>
      <c r="T342" s="20">
        <v>5</v>
      </c>
      <c r="U342" s="20"/>
      <c r="V342" s="21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8">
        <v>300301</v>
      </c>
      <c r="B343" s="208" t="s">
        <v>118</v>
      </c>
      <c r="C343" s="256" t="s">
        <v>130</v>
      </c>
      <c r="D343" s="256" t="s">
        <v>131</v>
      </c>
      <c r="E343" s="216" t="s">
        <v>132</v>
      </c>
      <c r="F343" s="215"/>
      <c r="G343" s="214"/>
      <c r="H343" s="214"/>
      <c r="I343" s="214"/>
      <c r="J343" s="214"/>
      <c r="K343" s="214">
        <f t="shared" si="38"/>
        <v>0</v>
      </c>
      <c r="L343" s="214">
        <f t="shared" si="39"/>
        <v>0</v>
      </c>
      <c r="M343" s="214">
        <v>401.25</v>
      </c>
      <c r="N343" s="214">
        <f>+M343*1000/(113.8*4*15*60)*T343</f>
        <v>4.8971148213239601</v>
      </c>
      <c r="O343" s="214"/>
      <c r="P343" s="214">
        <f t="shared" si="40"/>
        <v>0</v>
      </c>
      <c r="Q343" s="214"/>
      <c r="R343" s="19">
        <f t="shared" si="41"/>
        <v>0</v>
      </c>
      <c r="S343" s="214">
        <f t="shared" si="42"/>
        <v>0</v>
      </c>
      <c r="T343" s="20">
        <v>5</v>
      </c>
      <c r="U343" s="20"/>
      <c r="V343" s="21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12">
        <v>300304</v>
      </c>
      <c r="B344" s="208" t="s">
        <v>118</v>
      </c>
      <c r="C344" s="256" t="s">
        <v>130</v>
      </c>
      <c r="D344" s="256"/>
      <c r="E344" s="216" t="s">
        <v>133</v>
      </c>
      <c r="F344" s="215"/>
      <c r="G344" s="214"/>
      <c r="H344" s="214"/>
      <c r="I344" s="214"/>
      <c r="J344" s="214"/>
      <c r="K344" s="214">
        <f t="shared" si="38"/>
        <v>0</v>
      </c>
      <c r="L344" s="214">
        <f t="shared" si="39"/>
        <v>0</v>
      </c>
      <c r="M344" s="214">
        <v>401.25</v>
      </c>
      <c r="N344" s="214">
        <f>+M344*1000/(113.8*4*15*60)*T344</f>
        <v>4.8971148213239601</v>
      </c>
      <c r="O344" s="214"/>
      <c r="P344" s="214">
        <f t="shared" si="40"/>
        <v>0</v>
      </c>
      <c r="Q344" s="214"/>
      <c r="R344" s="19">
        <f t="shared" si="41"/>
        <v>0</v>
      </c>
      <c r="S344" s="214">
        <f t="shared" si="42"/>
        <v>0</v>
      </c>
      <c r="T344" s="20">
        <v>5</v>
      </c>
      <c r="U344" s="20"/>
      <c r="V344" s="21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12">
        <v>300300</v>
      </c>
      <c r="B345" s="208" t="s">
        <v>118</v>
      </c>
      <c r="C345" s="256" t="s">
        <v>130</v>
      </c>
      <c r="D345" s="256" t="s">
        <v>131</v>
      </c>
      <c r="E345" s="216" t="s">
        <v>54</v>
      </c>
      <c r="F345" s="215"/>
      <c r="G345" s="214"/>
      <c r="H345" s="214"/>
      <c r="I345" s="214"/>
      <c r="J345" s="214"/>
      <c r="K345" s="214">
        <f t="shared" si="38"/>
        <v>0</v>
      </c>
      <c r="L345" s="214">
        <f t="shared" si="39"/>
        <v>0</v>
      </c>
      <c r="M345" s="214">
        <v>399.07</v>
      </c>
      <c r="N345" s="214">
        <f>+M345*1000/(113.8*4*15*60)*T345</f>
        <v>4.8705086897090411</v>
      </c>
      <c r="O345" s="214"/>
      <c r="P345" s="214">
        <f t="shared" si="40"/>
        <v>0</v>
      </c>
      <c r="Q345" s="214"/>
      <c r="R345" s="19">
        <f t="shared" si="41"/>
        <v>0</v>
      </c>
      <c r="S345" s="214">
        <f t="shared" si="42"/>
        <v>0</v>
      </c>
      <c r="T345" s="20">
        <v>5</v>
      </c>
      <c r="U345" s="20"/>
      <c r="V345" s="21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12">
        <v>300085</v>
      </c>
      <c r="B346" s="208" t="s">
        <v>118</v>
      </c>
      <c r="C346" s="256" t="s">
        <v>134</v>
      </c>
      <c r="D346" s="256" t="s">
        <v>131</v>
      </c>
      <c r="E346" s="216" t="s">
        <v>135</v>
      </c>
      <c r="F346" s="215"/>
      <c r="G346" s="214"/>
      <c r="H346" s="214"/>
      <c r="I346" s="214"/>
      <c r="J346" s="214"/>
      <c r="K346" s="214">
        <f t="shared" si="38"/>
        <v>0</v>
      </c>
      <c r="L346" s="214">
        <f t="shared" si="39"/>
        <v>0</v>
      </c>
      <c r="M346" s="214">
        <v>394.3</v>
      </c>
      <c r="N346" s="214">
        <f>+M346*1000/(104.2*4*15*60)*T346</f>
        <v>6.3067818298144598</v>
      </c>
      <c r="O346" s="214"/>
      <c r="P346" s="214">
        <f t="shared" si="40"/>
        <v>0</v>
      </c>
      <c r="Q346" s="214"/>
      <c r="R346" s="19">
        <f t="shared" si="41"/>
        <v>0</v>
      </c>
      <c r="S346" s="214">
        <f t="shared" si="42"/>
        <v>0</v>
      </c>
      <c r="T346" s="20">
        <v>6</v>
      </c>
      <c r="U346" s="20"/>
      <c r="V346" s="21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12">
        <v>300087</v>
      </c>
      <c r="B347" s="208" t="s">
        <v>118</v>
      </c>
      <c r="C347" s="256" t="s">
        <v>134</v>
      </c>
      <c r="D347" s="256" t="s">
        <v>131</v>
      </c>
      <c r="E347" s="216" t="s">
        <v>80</v>
      </c>
      <c r="F347" s="215"/>
      <c r="G347" s="214"/>
      <c r="H347" s="214"/>
      <c r="I347" s="214"/>
      <c r="J347" s="214"/>
      <c r="K347" s="214">
        <f t="shared" si="38"/>
        <v>0</v>
      </c>
      <c r="L347" s="214">
        <f t="shared" si="39"/>
        <v>0</v>
      </c>
      <c r="M347" s="214">
        <v>380.1</v>
      </c>
      <c r="N347" s="214">
        <f>+M347*1000/(104.2*4*16*60)*T347</f>
        <v>4.7497300863723604</v>
      </c>
      <c r="O347" s="214"/>
      <c r="P347" s="214">
        <f t="shared" si="40"/>
        <v>0</v>
      </c>
      <c r="Q347" s="214"/>
      <c r="R347" s="19">
        <f t="shared" si="41"/>
        <v>0</v>
      </c>
      <c r="S347" s="214">
        <f t="shared" si="42"/>
        <v>0</v>
      </c>
      <c r="T347" s="20">
        <v>5</v>
      </c>
      <c r="U347" s="20"/>
      <c r="V347" s="21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12">
        <v>300387</v>
      </c>
      <c r="B348" s="208" t="s">
        <v>136</v>
      </c>
      <c r="C348" s="267" t="s">
        <v>137</v>
      </c>
      <c r="D348" s="268"/>
      <c r="E348" s="216" t="s">
        <v>57</v>
      </c>
      <c r="F348" s="215"/>
      <c r="G348" s="214"/>
      <c r="H348" s="214"/>
      <c r="I348" s="214"/>
      <c r="J348" s="214"/>
      <c r="K348" s="214">
        <f t="shared" si="38"/>
        <v>0</v>
      </c>
      <c r="L348" s="214">
        <f t="shared" si="39"/>
        <v>0</v>
      </c>
      <c r="M348" s="214">
        <v>352.29</v>
      </c>
      <c r="N348" s="214">
        <f>+M348*1000/(104.2*4*16*60)*T348</f>
        <v>4.4022162907869484</v>
      </c>
      <c r="O348" s="214"/>
      <c r="P348" s="214">
        <f t="shared" si="40"/>
        <v>0</v>
      </c>
      <c r="Q348" s="214"/>
      <c r="R348" s="19">
        <f t="shared" si="41"/>
        <v>0</v>
      </c>
      <c r="S348" s="214">
        <f t="shared" si="42"/>
        <v>0</v>
      </c>
      <c r="T348" s="20">
        <v>5</v>
      </c>
      <c r="U348" s="20"/>
      <c r="V348" s="21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12">
        <v>300388</v>
      </c>
      <c r="B349" s="208" t="s">
        <v>138</v>
      </c>
      <c r="C349" s="267" t="s">
        <v>137</v>
      </c>
      <c r="D349" s="268"/>
      <c r="E349" s="216" t="s">
        <v>117</v>
      </c>
      <c r="F349" s="215"/>
      <c r="G349" s="214"/>
      <c r="H349" s="214"/>
      <c r="I349" s="214"/>
      <c r="J349" s="214"/>
      <c r="K349" s="214">
        <f t="shared" si="38"/>
        <v>0</v>
      </c>
      <c r="L349" s="214">
        <f t="shared" si="39"/>
        <v>0</v>
      </c>
      <c r="M349" s="214">
        <v>352.29</v>
      </c>
      <c r="N349" s="214">
        <f>+M349*1000/(104.2*4*16*60)*T349</f>
        <v>4.4022162907869484</v>
      </c>
      <c r="O349" s="214"/>
      <c r="P349" s="214">
        <f t="shared" si="40"/>
        <v>0</v>
      </c>
      <c r="Q349" s="214"/>
      <c r="R349" s="19">
        <f t="shared" si="41"/>
        <v>0</v>
      </c>
      <c r="S349" s="214">
        <f t="shared" si="42"/>
        <v>0</v>
      </c>
      <c r="T349" s="20">
        <v>5</v>
      </c>
      <c r="U349" s="20"/>
      <c r="V349" s="21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12">
        <v>300123</v>
      </c>
      <c r="B350" s="208" t="s">
        <v>118</v>
      </c>
      <c r="C350" s="256" t="s">
        <v>139</v>
      </c>
      <c r="D350" s="256" t="s">
        <v>140</v>
      </c>
      <c r="E350" s="216" t="s">
        <v>135</v>
      </c>
      <c r="F350" s="215"/>
      <c r="G350" s="214"/>
      <c r="H350" s="214"/>
      <c r="I350" s="214"/>
      <c r="J350" s="214"/>
      <c r="K350" s="214">
        <f t="shared" si="38"/>
        <v>0</v>
      </c>
      <c r="L350" s="214">
        <f t="shared" si="39"/>
        <v>0</v>
      </c>
      <c r="M350" s="214">
        <v>557</v>
      </c>
      <c r="N350" s="214">
        <f>+M350*1000/(126.5*4*15*60)*T350</f>
        <v>6.1155028546332888</v>
      </c>
      <c r="O350" s="214"/>
      <c r="P350" s="214">
        <f t="shared" si="40"/>
        <v>0</v>
      </c>
      <c r="Q350" s="214"/>
      <c r="R350" s="19">
        <f t="shared" si="41"/>
        <v>0</v>
      </c>
      <c r="S350" s="214">
        <f t="shared" si="42"/>
        <v>0</v>
      </c>
      <c r="T350" s="20">
        <v>5</v>
      </c>
      <c r="U350" s="20"/>
      <c r="V350" s="21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12">
        <v>300270</v>
      </c>
      <c r="B351" s="208" t="s">
        <v>118</v>
      </c>
      <c r="C351" s="256" t="s">
        <v>141</v>
      </c>
      <c r="D351" s="256"/>
      <c r="E351" s="216" t="s">
        <v>142</v>
      </c>
      <c r="F351" s="215"/>
      <c r="G351" s="214"/>
      <c r="H351" s="214"/>
      <c r="I351" s="214"/>
      <c r="J351" s="214"/>
      <c r="K351" s="214">
        <f t="shared" si="38"/>
        <v>0</v>
      </c>
      <c r="L351" s="214">
        <f t="shared" si="39"/>
        <v>0</v>
      </c>
      <c r="M351" s="214">
        <v>485.7</v>
      </c>
      <c r="N351" s="214">
        <f>+M351*1000/(126.5*4*15*60)*T351</f>
        <v>4.2661396574440049</v>
      </c>
      <c r="O351" s="214"/>
      <c r="P351" s="214">
        <f t="shared" si="40"/>
        <v>0</v>
      </c>
      <c r="Q351" s="214"/>
      <c r="R351" s="19">
        <f t="shared" si="41"/>
        <v>0</v>
      </c>
      <c r="S351" s="214">
        <f t="shared" si="42"/>
        <v>0</v>
      </c>
      <c r="T351" s="20">
        <v>4</v>
      </c>
      <c r="U351" s="20"/>
      <c r="V351" s="21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12">
        <v>300336</v>
      </c>
      <c r="B352" s="208" t="s">
        <v>118</v>
      </c>
      <c r="C352" s="256" t="s">
        <v>143</v>
      </c>
      <c r="D352" s="256"/>
      <c r="E352" s="216" t="s">
        <v>84</v>
      </c>
      <c r="F352" s="215"/>
      <c r="G352" s="214"/>
      <c r="H352" s="214"/>
      <c r="I352" s="214"/>
      <c r="J352" s="214"/>
      <c r="K352" s="214">
        <f t="shared" si="38"/>
        <v>0</v>
      </c>
      <c r="L352" s="214">
        <f t="shared" si="39"/>
        <v>0</v>
      </c>
      <c r="M352" s="214">
        <v>411.4</v>
      </c>
      <c r="N352" s="214">
        <f>+M352*1000/(104.2*4*16*60)*T352</f>
        <v>2.0563419705694179</v>
      </c>
      <c r="O352" s="214"/>
      <c r="P352" s="214">
        <f t="shared" si="40"/>
        <v>0</v>
      </c>
      <c r="Q352" s="214"/>
      <c r="R352" s="19">
        <f t="shared" si="41"/>
        <v>0</v>
      </c>
      <c r="S352" s="214">
        <f t="shared" si="42"/>
        <v>0</v>
      </c>
      <c r="T352" s="20">
        <v>2</v>
      </c>
      <c r="U352" s="20"/>
      <c r="V352" s="21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12">
        <v>300337</v>
      </c>
      <c r="B353" s="208" t="s">
        <v>118</v>
      </c>
      <c r="C353" s="256" t="s">
        <v>143</v>
      </c>
      <c r="D353" s="256"/>
      <c r="E353" s="216" t="s">
        <v>49</v>
      </c>
      <c r="F353" s="215"/>
      <c r="G353" s="214"/>
      <c r="H353" s="214"/>
      <c r="I353" s="214"/>
      <c r="J353" s="214"/>
      <c r="K353" s="214">
        <f t="shared" si="38"/>
        <v>0</v>
      </c>
      <c r="L353" s="214">
        <f t="shared" si="39"/>
        <v>0</v>
      </c>
      <c r="M353" s="214">
        <v>411.4</v>
      </c>
      <c r="N353" s="214">
        <f>+M353*1000/(104.2*4*16*60)*T353</f>
        <v>2.0563419705694179</v>
      </c>
      <c r="O353" s="214"/>
      <c r="P353" s="214">
        <f t="shared" si="40"/>
        <v>0</v>
      </c>
      <c r="Q353" s="214"/>
      <c r="R353" s="19">
        <f t="shared" si="41"/>
        <v>0</v>
      </c>
      <c r="S353" s="214">
        <f t="shared" si="42"/>
        <v>0</v>
      </c>
      <c r="T353" s="20">
        <v>2</v>
      </c>
      <c r="U353" s="20"/>
      <c r="V353" s="21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12">
        <v>300338</v>
      </c>
      <c r="B354" s="208" t="s">
        <v>118</v>
      </c>
      <c r="C354" s="256" t="s">
        <v>143</v>
      </c>
      <c r="D354" s="256"/>
      <c r="E354" s="216" t="s">
        <v>85</v>
      </c>
      <c r="F354" s="215"/>
      <c r="G354" s="214"/>
      <c r="H354" s="214"/>
      <c r="I354" s="214"/>
      <c r="J354" s="214"/>
      <c r="K354" s="214">
        <f t="shared" si="38"/>
        <v>0</v>
      </c>
      <c r="L354" s="214">
        <f t="shared" si="39"/>
        <v>0</v>
      </c>
      <c r="M354" s="214">
        <v>411.4</v>
      </c>
      <c r="N354" s="214">
        <f>+M354*1000/(104.2*4*16*60)*T354</f>
        <v>2.0563419705694179</v>
      </c>
      <c r="O354" s="214"/>
      <c r="P354" s="214">
        <f t="shared" si="40"/>
        <v>0</v>
      </c>
      <c r="Q354" s="214"/>
      <c r="R354" s="19">
        <f t="shared" si="41"/>
        <v>0</v>
      </c>
      <c r="S354" s="214">
        <f t="shared" si="42"/>
        <v>0</v>
      </c>
      <c r="T354" s="20">
        <v>2</v>
      </c>
      <c r="U354" s="20"/>
      <c r="V354" s="21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12">
        <v>300309</v>
      </c>
      <c r="B355" s="208">
        <v>6504</v>
      </c>
      <c r="C355" s="256" t="s">
        <v>145</v>
      </c>
      <c r="D355" s="256"/>
      <c r="E355" s="216" t="s">
        <v>47</v>
      </c>
      <c r="F355" s="215"/>
      <c r="G355" s="214"/>
      <c r="H355" s="214"/>
      <c r="I355" s="214"/>
      <c r="J355" s="214"/>
      <c r="K355" s="214">
        <f t="shared" si="38"/>
        <v>0</v>
      </c>
      <c r="L355" s="214">
        <f t="shared" si="39"/>
        <v>0</v>
      </c>
      <c r="M355" s="214">
        <v>316.88</v>
      </c>
      <c r="N355" s="214">
        <f>+M355*1000/(75.2*4*16*60)*T355</f>
        <v>6.5841090425531918</v>
      </c>
      <c r="O355" s="214"/>
      <c r="P355" s="214">
        <f t="shared" si="40"/>
        <v>0</v>
      </c>
      <c r="Q355" s="214"/>
      <c r="R355" s="19">
        <f t="shared" si="41"/>
        <v>0</v>
      </c>
      <c r="S355" s="214">
        <f t="shared" si="42"/>
        <v>0</v>
      </c>
      <c r="T355" s="20">
        <v>6</v>
      </c>
      <c r="U355" s="20"/>
      <c r="V355" s="21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12">
        <v>300310</v>
      </c>
      <c r="B356" s="208">
        <v>6504</v>
      </c>
      <c r="C356" s="256" t="s">
        <v>145</v>
      </c>
      <c r="D356" s="256"/>
      <c r="E356" s="216" t="s">
        <v>146</v>
      </c>
      <c r="F356" s="215"/>
      <c r="G356" s="214"/>
      <c r="H356" s="214"/>
      <c r="I356" s="214"/>
      <c r="J356" s="214"/>
      <c r="K356" s="214">
        <f t="shared" si="38"/>
        <v>0</v>
      </c>
      <c r="L356" s="214">
        <f t="shared" si="39"/>
        <v>0</v>
      </c>
      <c r="M356" s="214">
        <v>316.88</v>
      </c>
      <c r="N356" s="214">
        <f>+M356*1000/(75.2*4*16*60)*T356</f>
        <v>6.5841090425531918</v>
      </c>
      <c r="O356" s="214"/>
      <c r="P356" s="214">
        <f t="shared" si="40"/>
        <v>0</v>
      </c>
      <c r="Q356" s="214"/>
      <c r="R356" s="19">
        <f t="shared" si="41"/>
        <v>0</v>
      </c>
      <c r="S356" s="214">
        <f t="shared" si="42"/>
        <v>0</v>
      </c>
      <c r="T356" s="20">
        <v>6</v>
      </c>
      <c r="U356" s="20"/>
      <c r="V356" s="21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12">
        <v>300312</v>
      </c>
      <c r="B357" s="208">
        <v>6504</v>
      </c>
      <c r="C357" s="256" t="s">
        <v>145</v>
      </c>
      <c r="D357" s="256"/>
      <c r="E357" s="216" t="s">
        <v>147</v>
      </c>
      <c r="F357" s="215"/>
      <c r="G357" s="214"/>
      <c r="H357" s="214"/>
      <c r="I357" s="214"/>
      <c r="J357" s="214"/>
      <c r="K357" s="214">
        <f t="shared" si="38"/>
        <v>0</v>
      </c>
      <c r="L357" s="214">
        <f t="shared" si="39"/>
        <v>0</v>
      </c>
      <c r="M357" s="214">
        <v>316.88</v>
      </c>
      <c r="N357" s="214">
        <f>+M357*1000/(75.2*4*16*60)*T357</f>
        <v>6.5841090425531918</v>
      </c>
      <c r="O357" s="214"/>
      <c r="P357" s="214">
        <f t="shared" si="40"/>
        <v>0</v>
      </c>
      <c r="Q357" s="214"/>
      <c r="R357" s="19">
        <f t="shared" si="41"/>
        <v>0</v>
      </c>
      <c r="S357" s="214">
        <f t="shared" si="42"/>
        <v>0</v>
      </c>
      <c r="T357" s="20">
        <v>6</v>
      </c>
      <c r="U357" s="20"/>
      <c r="V357" s="21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12">
        <v>300311</v>
      </c>
      <c r="B358" s="208">
        <v>6504</v>
      </c>
      <c r="C358" s="256" t="s">
        <v>145</v>
      </c>
      <c r="D358" s="256"/>
      <c r="E358" s="216" t="s">
        <v>74</v>
      </c>
      <c r="F358" s="215"/>
      <c r="G358" s="214"/>
      <c r="H358" s="214"/>
      <c r="I358" s="214"/>
      <c r="J358" s="214"/>
      <c r="K358" s="214">
        <f t="shared" si="38"/>
        <v>0</v>
      </c>
      <c r="L358" s="214">
        <f t="shared" si="39"/>
        <v>0</v>
      </c>
      <c r="M358" s="214">
        <v>316.88</v>
      </c>
      <c r="N358" s="214">
        <f>+M358*1000/(75.2*4*16*60)*T358</f>
        <v>6.5841090425531918</v>
      </c>
      <c r="O358" s="214"/>
      <c r="P358" s="214">
        <f t="shared" si="40"/>
        <v>0</v>
      </c>
      <c r="Q358" s="214"/>
      <c r="R358" s="19">
        <f t="shared" si="41"/>
        <v>0</v>
      </c>
      <c r="S358" s="214">
        <f t="shared" si="42"/>
        <v>0</v>
      </c>
      <c r="T358" s="20">
        <v>6</v>
      </c>
      <c r="U358" s="20"/>
      <c r="V358" s="21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12">
        <v>300399</v>
      </c>
      <c r="B359" s="208">
        <v>18501</v>
      </c>
      <c r="C359" s="267" t="s">
        <v>148</v>
      </c>
      <c r="D359" s="268"/>
      <c r="E359" s="216" t="s">
        <v>41</v>
      </c>
      <c r="F359" s="215"/>
      <c r="G359" s="214"/>
      <c r="H359" s="214"/>
      <c r="I359" s="214"/>
      <c r="J359" s="214"/>
      <c r="K359" s="214">
        <f t="shared" si="38"/>
        <v>0</v>
      </c>
      <c r="L359" s="214">
        <f t="shared" si="39"/>
        <v>0</v>
      </c>
      <c r="M359" s="214">
        <v>311.2</v>
      </c>
      <c r="N359" s="214">
        <f>+M359*1000/(100*4*16*60)*T359</f>
        <v>4.8624999999999998</v>
      </c>
      <c r="O359" s="214"/>
      <c r="P359" s="214">
        <f t="shared" si="40"/>
        <v>0</v>
      </c>
      <c r="Q359" s="214"/>
      <c r="R359" s="19">
        <f t="shared" si="41"/>
        <v>0</v>
      </c>
      <c r="S359" s="214">
        <f t="shared" si="42"/>
        <v>0</v>
      </c>
      <c r="T359" s="20">
        <v>6</v>
      </c>
      <c r="U359" s="20"/>
      <c r="V359" s="21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12">
        <v>300400</v>
      </c>
      <c r="B360" s="208">
        <v>18501</v>
      </c>
      <c r="C360" s="267" t="s">
        <v>148</v>
      </c>
      <c r="D360" s="268"/>
      <c r="E360" s="216" t="s">
        <v>66</v>
      </c>
      <c r="F360" s="215"/>
      <c r="G360" s="214"/>
      <c r="H360" s="214"/>
      <c r="I360" s="214"/>
      <c r="J360" s="214"/>
      <c r="K360" s="214">
        <f t="shared" si="38"/>
        <v>0</v>
      </c>
      <c r="L360" s="214">
        <f t="shared" si="39"/>
        <v>0</v>
      </c>
      <c r="M360" s="214">
        <v>311.2</v>
      </c>
      <c r="N360" s="214">
        <f>+M360*1000/(100*4*16*60)*T360</f>
        <v>4.8624999999999998</v>
      </c>
      <c r="O360" s="214"/>
      <c r="P360" s="214">
        <f t="shared" si="40"/>
        <v>0</v>
      </c>
      <c r="Q360" s="214"/>
      <c r="R360" s="19">
        <f t="shared" si="41"/>
        <v>0</v>
      </c>
      <c r="S360" s="214">
        <f t="shared" si="42"/>
        <v>0</v>
      </c>
      <c r="T360" s="20">
        <v>6</v>
      </c>
      <c r="U360" s="20"/>
      <c r="V360" s="21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12">
        <v>300401</v>
      </c>
      <c r="B361" s="208">
        <v>18501</v>
      </c>
      <c r="C361" s="267" t="s">
        <v>148</v>
      </c>
      <c r="D361" s="268"/>
      <c r="E361" s="216" t="s">
        <v>149</v>
      </c>
      <c r="F361" s="215"/>
      <c r="G361" s="214"/>
      <c r="H361" s="214"/>
      <c r="I361" s="214"/>
      <c r="J361" s="214"/>
      <c r="K361" s="214">
        <f t="shared" si="38"/>
        <v>0</v>
      </c>
      <c r="L361" s="214">
        <f t="shared" si="39"/>
        <v>0</v>
      </c>
      <c r="M361" s="214">
        <v>311.2</v>
      </c>
      <c r="N361" s="214">
        <f>+M361*1000/(100*4*16*60)*T361</f>
        <v>4.8624999999999998</v>
      </c>
      <c r="O361" s="214"/>
      <c r="P361" s="214">
        <f t="shared" si="40"/>
        <v>0</v>
      </c>
      <c r="Q361" s="214"/>
      <c r="R361" s="19">
        <f t="shared" si="41"/>
        <v>0</v>
      </c>
      <c r="S361" s="214">
        <f t="shared" si="42"/>
        <v>0</v>
      </c>
      <c r="T361" s="20">
        <v>6</v>
      </c>
      <c r="U361" s="20"/>
      <c r="V361" s="21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12">
        <v>300402</v>
      </c>
      <c r="B362" s="208">
        <v>18501</v>
      </c>
      <c r="C362" s="267" t="s">
        <v>150</v>
      </c>
      <c r="D362" s="268"/>
      <c r="E362" s="216" t="s">
        <v>151</v>
      </c>
      <c r="F362" s="215"/>
      <c r="G362" s="214"/>
      <c r="H362" s="214"/>
      <c r="I362" s="214"/>
      <c r="J362" s="214"/>
      <c r="K362" s="214">
        <f t="shared" si="38"/>
        <v>0</v>
      </c>
      <c r="L362" s="214">
        <f t="shared" si="39"/>
        <v>0</v>
      </c>
      <c r="M362" s="214">
        <v>465.3</v>
      </c>
      <c r="N362" s="214">
        <f>+M362*1000/(137*4*16*60)*T362</f>
        <v>5.3067974452554747</v>
      </c>
      <c r="O362" s="214"/>
      <c r="P362" s="214">
        <f t="shared" si="40"/>
        <v>0</v>
      </c>
      <c r="Q362" s="214"/>
      <c r="R362" s="19">
        <f t="shared" si="41"/>
        <v>0</v>
      </c>
      <c r="S362" s="214">
        <f t="shared" si="42"/>
        <v>0</v>
      </c>
      <c r="T362" s="20">
        <v>6</v>
      </c>
      <c r="U362" s="20"/>
      <c r="V362" s="21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12">
        <v>300403</v>
      </c>
      <c r="B363" s="208">
        <v>18501</v>
      </c>
      <c r="C363" s="267" t="s">
        <v>150</v>
      </c>
      <c r="D363" s="268"/>
      <c r="E363" s="216" t="s">
        <v>152</v>
      </c>
      <c r="F363" s="215"/>
      <c r="G363" s="214"/>
      <c r="H363" s="214"/>
      <c r="I363" s="214"/>
      <c r="J363" s="214"/>
      <c r="K363" s="214">
        <f t="shared" ref="K363:K399" si="46">G363*M363</f>
        <v>0</v>
      </c>
      <c r="L363" s="214">
        <f t="shared" ref="L363:L399" si="47">I363*M363</f>
        <v>0</v>
      </c>
      <c r="M363" s="214">
        <v>465.3</v>
      </c>
      <c r="N363" s="214">
        <f>+M363*1000/(137*4*16*60)*T363</f>
        <v>5.3067974452554747</v>
      </c>
      <c r="O363" s="214"/>
      <c r="P363" s="214">
        <f t="shared" ref="P363:P399" si="48">N363*I363+O363*U363</f>
        <v>0</v>
      </c>
      <c r="Q363" s="214"/>
      <c r="R363" s="19">
        <f t="shared" ref="R363:R399" si="49">Q363*U363</f>
        <v>0</v>
      </c>
      <c r="S363" s="214">
        <f t="shared" ref="S363:S399" si="50">R363-P363</f>
        <v>0</v>
      </c>
      <c r="T363" s="20">
        <v>6</v>
      </c>
      <c r="U363" s="20"/>
      <c r="V363" s="21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12">
        <v>300404</v>
      </c>
      <c r="B364" s="208">
        <v>18501</v>
      </c>
      <c r="C364" s="267" t="s">
        <v>150</v>
      </c>
      <c r="D364" s="268"/>
      <c r="E364" s="216" t="s">
        <v>70</v>
      </c>
      <c r="F364" s="215"/>
      <c r="G364" s="214"/>
      <c r="H364" s="214"/>
      <c r="I364" s="214"/>
      <c r="J364" s="214"/>
      <c r="K364" s="214">
        <f t="shared" si="46"/>
        <v>0</v>
      </c>
      <c r="L364" s="214">
        <f t="shared" si="47"/>
        <v>0</v>
      </c>
      <c r="M364" s="214">
        <v>465.3</v>
      </c>
      <c r="N364" s="214">
        <f>+M364*1000/(137*4*16*60)*T364</f>
        <v>5.3067974452554747</v>
      </c>
      <c r="O364" s="214"/>
      <c r="P364" s="214">
        <f t="shared" si="48"/>
        <v>0</v>
      </c>
      <c r="Q364" s="214"/>
      <c r="R364" s="19">
        <f t="shared" si="49"/>
        <v>0</v>
      </c>
      <c r="S364" s="214">
        <f t="shared" si="50"/>
        <v>0</v>
      </c>
      <c r="T364" s="20">
        <v>6</v>
      </c>
      <c r="U364" s="20"/>
      <c r="V364" s="21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12">
        <v>300405</v>
      </c>
      <c r="B365" s="208">
        <v>18501</v>
      </c>
      <c r="C365" s="267" t="s">
        <v>150</v>
      </c>
      <c r="D365" s="268"/>
      <c r="E365" s="216" t="s">
        <v>35</v>
      </c>
      <c r="F365" s="215"/>
      <c r="G365" s="214"/>
      <c r="H365" s="214"/>
      <c r="I365" s="214"/>
      <c r="J365" s="214"/>
      <c r="K365" s="214">
        <f t="shared" si="46"/>
        <v>0</v>
      </c>
      <c r="L365" s="214">
        <f t="shared" si="47"/>
        <v>0</v>
      </c>
      <c r="M365" s="214">
        <v>465.3</v>
      </c>
      <c r="N365" s="214">
        <f>+M365*1000/(137*4*16*60)*T365</f>
        <v>5.3067974452554747</v>
      </c>
      <c r="O365" s="214"/>
      <c r="P365" s="214">
        <f t="shared" si="48"/>
        <v>0</v>
      </c>
      <c r="Q365" s="214"/>
      <c r="R365" s="19">
        <f t="shared" si="49"/>
        <v>0</v>
      </c>
      <c r="S365" s="214">
        <f t="shared" si="50"/>
        <v>0</v>
      </c>
      <c r="T365" s="20">
        <v>6</v>
      </c>
      <c r="U365" s="20"/>
      <c r="V365" s="21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12">
        <v>300372</v>
      </c>
      <c r="B366" s="208">
        <v>18501</v>
      </c>
      <c r="C366" s="267" t="s">
        <v>153</v>
      </c>
      <c r="D366" s="268"/>
      <c r="E366" s="216" t="s">
        <v>47</v>
      </c>
      <c r="F366" s="215"/>
      <c r="G366" s="214"/>
      <c r="H366" s="214"/>
      <c r="I366" s="214"/>
      <c r="J366" s="214"/>
      <c r="K366" s="214">
        <f t="shared" si="46"/>
        <v>0</v>
      </c>
      <c r="L366" s="214">
        <f t="shared" si="47"/>
        <v>0</v>
      </c>
      <c r="M366" s="214">
        <v>420.58</v>
      </c>
      <c r="N366" s="214">
        <f>+M366*1000/(140*4*16*60)*T366</f>
        <v>4.6939732142857142</v>
      </c>
      <c r="O366" s="214"/>
      <c r="P366" s="214">
        <f t="shared" si="48"/>
        <v>0</v>
      </c>
      <c r="Q366" s="214"/>
      <c r="R366" s="19">
        <f t="shared" si="49"/>
        <v>0</v>
      </c>
      <c r="S366" s="214">
        <f t="shared" si="50"/>
        <v>0</v>
      </c>
      <c r="T366" s="20">
        <v>6</v>
      </c>
      <c r="U366" s="20"/>
      <c r="V366" s="21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12">
        <v>300373</v>
      </c>
      <c r="B367" s="208">
        <v>18501</v>
      </c>
      <c r="C367" s="267" t="s">
        <v>153</v>
      </c>
      <c r="D367" s="268"/>
      <c r="E367" s="216" t="s">
        <v>146</v>
      </c>
      <c r="F367" s="215"/>
      <c r="G367" s="214"/>
      <c r="H367" s="214"/>
      <c r="I367" s="214"/>
      <c r="J367" s="214"/>
      <c r="K367" s="214">
        <f t="shared" si="46"/>
        <v>0</v>
      </c>
      <c r="L367" s="214">
        <f t="shared" si="47"/>
        <v>0</v>
      </c>
      <c r="M367" s="214">
        <v>420.58</v>
      </c>
      <c r="N367" s="214">
        <f>+M367*1000/(140*4*16*60)*T367</f>
        <v>4.6939732142857142</v>
      </c>
      <c r="O367" s="214"/>
      <c r="P367" s="214">
        <f t="shared" si="48"/>
        <v>0</v>
      </c>
      <c r="Q367" s="214"/>
      <c r="R367" s="19">
        <f t="shared" si="49"/>
        <v>0</v>
      </c>
      <c r="S367" s="214">
        <f t="shared" si="50"/>
        <v>0</v>
      </c>
      <c r="T367" s="20">
        <v>6</v>
      </c>
      <c r="U367" s="20"/>
      <c r="V367" s="21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12">
        <v>300374</v>
      </c>
      <c r="B368" s="208">
        <v>18501</v>
      </c>
      <c r="C368" s="267" t="s">
        <v>153</v>
      </c>
      <c r="D368" s="268"/>
      <c r="E368" s="216" t="s">
        <v>147</v>
      </c>
      <c r="F368" s="215"/>
      <c r="G368" s="214"/>
      <c r="H368" s="214"/>
      <c r="I368" s="214"/>
      <c r="J368" s="214"/>
      <c r="K368" s="214">
        <f t="shared" si="46"/>
        <v>0</v>
      </c>
      <c r="L368" s="214">
        <f t="shared" si="47"/>
        <v>0</v>
      </c>
      <c r="M368" s="214">
        <v>420.58</v>
      </c>
      <c r="N368" s="214">
        <f>+M368*1000/(140*4*16*60)*T368</f>
        <v>4.6939732142857142</v>
      </c>
      <c r="O368" s="214"/>
      <c r="P368" s="214">
        <f t="shared" si="48"/>
        <v>0</v>
      </c>
      <c r="Q368" s="214"/>
      <c r="R368" s="19">
        <f t="shared" si="49"/>
        <v>0</v>
      </c>
      <c r="S368" s="214">
        <f t="shared" si="50"/>
        <v>0</v>
      </c>
      <c r="T368" s="20">
        <v>6</v>
      </c>
      <c r="U368" s="20"/>
      <c r="V368" s="21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12">
        <v>300375</v>
      </c>
      <c r="B369" s="208">
        <v>18501</v>
      </c>
      <c r="C369" s="267" t="s">
        <v>153</v>
      </c>
      <c r="D369" s="268"/>
      <c r="E369" s="216" t="s">
        <v>74</v>
      </c>
      <c r="F369" s="215"/>
      <c r="G369" s="214"/>
      <c r="H369" s="214"/>
      <c r="I369" s="214"/>
      <c r="J369" s="214"/>
      <c r="K369" s="214">
        <f t="shared" si="46"/>
        <v>0</v>
      </c>
      <c r="L369" s="214">
        <f t="shared" si="47"/>
        <v>0</v>
      </c>
      <c r="M369" s="214">
        <v>420.58</v>
      </c>
      <c r="N369" s="214">
        <f>+M369*1000/(140*4*16*60)*T369</f>
        <v>4.6939732142857142</v>
      </c>
      <c r="O369" s="214"/>
      <c r="P369" s="214">
        <f t="shared" si="48"/>
        <v>0</v>
      </c>
      <c r="Q369" s="214"/>
      <c r="R369" s="19">
        <f t="shared" si="49"/>
        <v>0</v>
      </c>
      <c r="S369" s="214">
        <f t="shared" si="50"/>
        <v>0</v>
      </c>
      <c r="T369" s="20">
        <v>6</v>
      </c>
      <c r="U369" s="20"/>
      <c r="V369" s="21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12">
        <v>300341</v>
      </c>
      <c r="B370" s="208">
        <v>18501</v>
      </c>
      <c r="C370" s="274" t="s">
        <v>154</v>
      </c>
      <c r="D370" s="275"/>
      <c r="E370" s="216" t="s">
        <v>39</v>
      </c>
      <c r="F370" s="215"/>
      <c r="G370" s="214"/>
      <c r="H370" s="214"/>
      <c r="I370" s="214"/>
      <c r="J370" s="214"/>
      <c r="K370" s="214">
        <f t="shared" si="46"/>
        <v>0</v>
      </c>
      <c r="L370" s="214">
        <f t="shared" si="47"/>
        <v>0</v>
      </c>
      <c r="M370" s="214">
        <v>439.3</v>
      </c>
      <c r="N370" s="214">
        <f>+M370*1000/(169.7*4*13*60)*T370</f>
        <v>4.1485351223123761</v>
      </c>
      <c r="O370" s="214"/>
      <c r="P370" s="214">
        <f t="shared" si="48"/>
        <v>0</v>
      </c>
      <c r="Q370" s="214"/>
      <c r="R370" s="19">
        <f t="shared" si="49"/>
        <v>0</v>
      </c>
      <c r="S370" s="214">
        <f t="shared" si="50"/>
        <v>0</v>
      </c>
      <c r="T370" s="20">
        <v>5</v>
      </c>
      <c r="U370" s="20"/>
      <c r="V370" s="21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12">
        <v>300342</v>
      </c>
      <c r="B371" s="208">
        <v>18501</v>
      </c>
      <c r="C371" s="274" t="s">
        <v>154</v>
      </c>
      <c r="D371" s="275"/>
      <c r="E371" s="216" t="s">
        <v>80</v>
      </c>
      <c r="F371" s="215"/>
      <c r="G371" s="214"/>
      <c r="H371" s="214"/>
      <c r="I371" s="214"/>
      <c r="J371" s="214"/>
      <c r="K371" s="214">
        <f t="shared" si="46"/>
        <v>0</v>
      </c>
      <c r="L371" s="214">
        <f t="shared" si="47"/>
        <v>0</v>
      </c>
      <c r="M371" s="214">
        <v>439.3</v>
      </c>
      <c r="N371" s="214">
        <f t="shared" ref="N371:N376" si="51">+M371*1000/(169.7*4*13*60)*T371</f>
        <v>4.1485351223123761</v>
      </c>
      <c r="O371" s="214"/>
      <c r="P371" s="214">
        <f t="shared" si="48"/>
        <v>0</v>
      </c>
      <c r="Q371" s="214"/>
      <c r="R371" s="19">
        <f t="shared" si="49"/>
        <v>0</v>
      </c>
      <c r="S371" s="214">
        <f t="shared" si="50"/>
        <v>0</v>
      </c>
      <c r="T371" s="20">
        <v>5</v>
      </c>
      <c r="U371" s="20"/>
      <c r="V371" s="21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12">
        <v>300343</v>
      </c>
      <c r="B372" s="208">
        <v>18501</v>
      </c>
      <c r="C372" s="274" t="s">
        <v>154</v>
      </c>
      <c r="D372" s="275"/>
      <c r="E372" s="216" t="s">
        <v>35</v>
      </c>
      <c r="F372" s="215"/>
      <c r="G372" s="214"/>
      <c r="H372" s="214"/>
      <c r="I372" s="214"/>
      <c r="J372" s="214"/>
      <c r="K372" s="214">
        <f t="shared" si="46"/>
        <v>0</v>
      </c>
      <c r="L372" s="214">
        <f t="shared" si="47"/>
        <v>0</v>
      </c>
      <c r="M372" s="214">
        <v>455.4</v>
      </c>
      <c r="N372" s="214">
        <f t="shared" si="51"/>
        <v>4.3005756765332483</v>
      </c>
      <c r="O372" s="214"/>
      <c r="P372" s="214">
        <f t="shared" si="48"/>
        <v>0</v>
      </c>
      <c r="Q372" s="214"/>
      <c r="R372" s="19">
        <f t="shared" si="49"/>
        <v>0</v>
      </c>
      <c r="S372" s="214">
        <f t="shared" si="50"/>
        <v>0</v>
      </c>
      <c r="T372" s="20">
        <v>5</v>
      </c>
      <c r="U372" s="20"/>
      <c r="V372" s="21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12">
        <v>300344</v>
      </c>
      <c r="B373" s="208">
        <v>18501</v>
      </c>
      <c r="C373" s="274" t="s">
        <v>154</v>
      </c>
      <c r="D373" s="275"/>
      <c r="E373" s="216" t="s">
        <v>40</v>
      </c>
      <c r="F373" s="215"/>
      <c r="G373" s="214"/>
      <c r="H373" s="214"/>
      <c r="I373" s="214"/>
      <c r="J373" s="214"/>
      <c r="K373" s="214">
        <f t="shared" si="46"/>
        <v>0</v>
      </c>
      <c r="L373" s="214">
        <f t="shared" si="47"/>
        <v>0</v>
      </c>
      <c r="M373" s="214">
        <v>455.4</v>
      </c>
      <c r="N373" s="214">
        <f t="shared" si="51"/>
        <v>4.3005756765332483</v>
      </c>
      <c r="O373" s="214"/>
      <c r="P373" s="214">
        <f t="shared" si="48"/>
        <v>0</v>
      </c>
      <c r="Q373" s="214"/>
      <c r="R373" s="19">
        <f t="shared" si="49"/>
        <v>0</v>
      </c>
      <c r="S373" s="214">
        <f t="shared" si="50"/>
        <v>0</v>
      </c>
      <c r="T373" s="20">
        <v>5</v>
      </c>
      <c r="U373" s="20"/>
      <c r="V373" s="21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12">
        <v>300396</v>
      </c>
      <c r="B374" s="208">
        <v>18501</v>
      </c>
      <c r="C374" s="274" t="s">
        <v>155</v>
      </c>
      <c r="D374" s="275"/>
      <c r="E374" s="216" t="s">
        <v>41</v>
      </c>
      <c r="F374" s="215"/>
      <c r="G374" s="214"/>
      <c r="H374" s="214"/>
      <c r="I374" s="214"/>
      <c r="J374" s="214"/>
      <c r="K374" s="214">
        <f t="shared" si="46"/>
        <v>0</v>
      </c>
      <c r="L374" s="214">
        <f t="shared" si="47"/>
        <v>0</v>
      </c>
      <c r="M374" s="214">
        <v>417.1</v>
      </c>
      <c r="N374" s="214">
        <f t="shared" si="51"/>
        <v>3.9388891407158937</v>
      </c>
      <c r="O374" s="214"/>
      <c r="P374" s="214">
        <f t="shared" si="48"/>
        <v>0</v>
      </c>
      <c r="Q374" s="214"/>
      <c r="R374" s="19">
        <f t="shared" si="49"/>
        <v>0</v>
      </c>
      <c r="S374" s="214">
        <f t="shared" si="50"/>
        <v>0</v>
      </c>
      <c r="T374" s="20">
        <v>5</v>
      </c>
      <c r="U374" s="20"/>
      <c r="V374" s="21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12">
        <v>300397</v>
      </c>
      <c r="B375" s="208">
        <v>18501</v>
      </c>
      <c r="C375" s="274" t="s">
        <v>155</v>
      </c>
      <c r="D375" s="275"/>
      <c r="E375" s="216" t="s">
        <v>66</v>
      </c>
      <c r="F375" s="215"/>
      <c r="G375" s="214"/>
      <c r="H375" s="214"/>
      <c r="I375" s="214"/>
      <c r="J375" s="214"/>
      <c r="K375" s="214">
        <f t="shared" si="46"/>
        <v>0</v>
      </c>
      <c r="L375" s="214">
        <f t="shared" si="47"/>
        <v>0</v>
      </c>
      <c r="M375" s="214">
        <v>417.1</v>
      </c>
      <c r="N375" s="214">
        <f t="shared" si="51"/>
        <v>3.9388891407158937</v>
      </c>
      <c r="O375" s="214"/>
      <c r="P375" s="214">
        <f t="shared" si="48"/>
        <v>0</v>
      </c>
      <c r="Q375" s="214"/>
      <c r="R375" s="19">
        <f t="shared" si="49"/>
        <v>0</v>
      </c>
      <c r="S375" s="214">
        <f t="shared" si="50"/>
        <v>0</v>
      </c>
      <c r="T375" s="20">
        <v>5</v>
      </c>
      <c r="U375" s="20"/>
      <c r="V375" s="21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12">
        <v>300398</v>
      </c>
      <c r="B376" s="208">
        <v>18501</v>
      </c>
      <c r="C376" s="274" t="s">
        <v>155</v>
      </c>
      <c r="D376" s="275"/>
      <c r="E376" s="216" t="s">
        <v>149</v>
      </c>
      <c r="F376" s="215"/>
      <c r="G376" s="214"/>
      <c r="H376" s="214"/>
      <c r="I376" s="214"/>
      <c r="J376" s="214"/>
      <c r="K376" s="214">
        <f t="shared" si="46"/>
        <v>0</v>
      </c>
      <c r="L376" s="214">
        <f t="shared" si="47"/>
        <v>0</v>
      </c>
      <c r="M376" s="214">
        <v>417.1</v>
      </c>
      <c r="N376" s="214">
        <f t="shared" si="51"/>
        <v>3.9388891407158937</v>
      </c>
      <c r="O376" s="214"/>
      <c r="P376" s="214">
        <f t="shared" si="48"/>
        <v>0</v>
      </c>
      <c r="Q376" s="214"/>
      <c r="R376" s="19">
        <f t="shared" si="49"/>
        <v>0</v>
      </c>
      <c r="S376" s="214">
        <f t="shared" si="50"/>
        <v>0</v>
      </c>
      <c r="T376" s="20">
        <v>5</v>
      </c>
      <c r="U376" s="20"/>
      <c r="V376" s="21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12">
        <v>300271</v>
      </c>
      <c r="B377" s="208">
        <v>18501</v>
      </c>
      <c r="C377" s="256" t="s">
        <v>156</v>
      </c>
      <c r="D377" s="256"/>
      <c r="E377" s="216" t="s">
        <v>142</v>
      </c>
      <c r="F377" s="215"/>
      <c r="G377" s="214"/>
      <c r="H377" s="214"/>
      <c r="I377" s="214"/>
      <c r="J377" s="214"/>
      <c r="K377" s="214">
        <f t="shared" si="46"/>
        <v>0</v>
      </c>
      <c r="L377" s="214">
        <f t="shared" si="47"/>
        <v>0</v>
      </c>
      <c r="M377" s="214">
        <v>580.1</v>
      </c>
      <c r="N377" s="214">
        <f>+M377*1000/(188*4*13*60)*T377</f>
        <v>4.9449331696672125</v>
      </c>
      <c r="O377" s="214"/>
      <c r="P377" s="214">
        <f t="shared" si="48"/>
        <v>0</v>
      </c>
      <c r="Q377" s="214"/>
      <c r="R377" s="19">
        <f t="shared" si="49"/>
        <v>0</v>
      </c>
      <c r="S377" s="214">
        <f t="shared" si="50"/>
        <v>0</v>
      </c>
      <c r="T377" s="20">
        <v>5</v>
      </c>
      <c r="U377" s="20"/>
      <c r="V377" s="21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12">
        <v>300009</v>
      </c>
      <c r="B378" s="208">
        <v>18501</v>
      </c>
      <c r="C378" s="256" t="s">
        <v>157</v>
      </c>
      <c r="D378" s="256" t="s">
        <v>158</v>
      </c>
      <c r="E378" s="216" t="s">
        <v>135</v>
      </c>
      <c r="F378" s="215">
        <v>1533</v>
      </c>
      <c r="G378" s="214">
        <v>12</v>
      </c>
      <c r="H378" s="214"/>
      <c r="I378" s="214">
        <v>10</v>
      </c>
      <c r="J378" s="214"/>
      <c r="K378" s="214">
        <f t="shared" si="46"/>
        <v>6249.5999999999995</v>
      </c>
      <c r="L378" s="214">
        <f t="shared" si="47"/>
        <v>5208</v>
      </c>
      <c r="M378" s="214">
        <v>520.79999999999995</v>
      </c>
      <c r="N378" s="214">
        <f>+M378*1000/(188*4*13*60)*T378</f>
        <v>4.4394435351882153</v>
      </c>
      <c r="O378" s="214"/>
      <c r="P378" s="214">
        <f t="shared" si="48"/>
        <v>44.394435351882152</v>
      </c>
      <c r="Q378" s="214">
        <v>11.5</v>
      </c>
      <c r="R378" s="19">
        <f t="shared" si="49"/>
        <v>92</v>
      </c>
      <c r="S378" s="214">
        <f t="shared" si="50"/>
        <v>47.605564648117848</v>
      </c>
      <c r="T378" s="20">
        <v>5</v>
      </c>
      <c r="U378" s="20">
        <v>8</v>
      </c>
      <c r="V378" s="213">
        <f t="array" ref="V378">IF(ISERROR(L378/K378),"",L378/K378)</f>
        <v>0.83333333333333337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12">
        <v>300010</v>
      </c>
      <c r="B379" s="208">
        <v>18501</v>
      </c>
      <c r="C379" s="256" t="s">
        <v>157</v>
      </c>
      <c r="D379" s="256" t="s">
        <v>158</v>
      </c>
      <c r="E379" s="216" t="s">
        <v>80</v>
      </c>
      <c r="F379" s="215"/>
      <c r="G379" s="214"/>
      <c r="H379" s="214"/>
      <c r="I379" s="214"/>
      <c r="J379" s="115"/>
      <c r="K379" s="214">
        <f t="shared" si="46"/>
        <v>0</v>
      </c>
      <c r="L379" s="214">
        <f t="shared" si="47"/>
        <v>0</v>
      </c>
      <c r="M379" s="214">
        <v>530.9</v>
      </c>
      <c r="N379" s="214">
        <f>+M379*1000/(188*4*13*60)*T379</f>
        <v>4.5255387343153304</v>
      </c>
      <c r="O379" s="214"/>
      <c r="P379" s="214">
        <f t="shared" si="48"/>
        <v>0</v>
      </c>
      <c r="Q379" s="214"/>
      <c r="R379" s="19">
        <f t="shared" si="49"/>
        <v>0</v>
      </c>
      <c r="S379" s="214">
        <f t="shared" si="50"/>
        <v>0</v>
      </c>
      <c r="T379" s="20">
        <v>5</v>
      </c>
      <c r="U379" s="20"/>
      <c r="V379" s="222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12">
        <v>300305</v>
      </c>
      <c r="B380" s="208">
        <v>18501</v>
      </c>
      <c r="C380" s="256" t="s">
        <v>159</v>
      </c>
      <c r="D380" s="256" t="s">
        <v>160</v>
      </c>
      <c r="E380" s="216" t="s">
        <v>57</v>
      </c>
      <c r="F380" s="215"/>
      <c r="G380" s="214"/>
      <c r="H380" s="214"/>
      <c r="I380" s="214"/>
      <c r="J380" s="115"/>
      <c r="K380" s="214">
        <f t="shared" si="46"/>
        <v>0</v>
      </c>
      <c r="L380" s="214">
        <f t="shared" si="47"/>
        <v>0</v>
      </c>
      <c r="M380" s="214">
        <v>530.20000000000005</v>
      </c>
      <c r="N380" s="214">
        <f t="shared" ref="N380:N385" si="52">+M380*1000/(202*4*13*60)*T380</f>
        <v>4.2063340949479562</v>
      </c>
      <c r="O380" s="214"/>
      <c r="P380" s="214">
        <f t="shared" si="48"/>
        <v>0</v>
      </c>
      <c r="Q380" s="214"/>
      <c r="R380" s="19">
        <f t="shared" si="49"/>
        <v>0</v>
      </c>
      <c r="S380" s="214">
        <f t="shared" si="50"/>
        <v>0</v>
      </c>
      <c r="T380" s="20">
        <v>5</v>
      </c>
      <c r="U380" s="20"/>
      <c r="V380" s="222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12">
        <v>300306</v>
      </c>
      <c r="B381" s="208">
        <v>18501</v>
      </c>
      <c r="C381" s="256" t="s">
        <v>159</v>
      </c>
      <c r="D381" s="256" t="s">
        <v>160</v>
      </c>
      <c r="E381" s="216" t="s">
        <v>117</v>
      </c>
      <c r="F381" s="215"/>
      <c r="G381" s="214"/>
      <c r="H381" s="214"/>
      <c r="I381" s="214"/>
      <c r="J381" s="214"/>
      <c r="K381" s="214">
        <f t="shared" si="46"/>
        <v>0</v>
      </c>
      <c r="L381" s="214">
        <f t="shared" si="47"/>
        <v>0</v>
      </c>
      <c r="M381" s="214">
        <v>538.79999999999995</v>
      </c>
      <c r="N381" s="214">
        <f t="shared" si="52"/>
        <v>4.2745620715917747</v>
      </c>
      <c r="O381" s="214"/>
      <c r="P381" s="214">
        <f t="shared" si="48"/>
        <v>0</v>
      </c>
      <c r="Q381" s="214"/>
      <c r="R381" s="19">
        <f t="shared" si="49"/>
        <v>0</v>
      </c>
      <c r="S381" s="214">
        <f t="shared" si="50"/>
        <v>0</v>
      </c>
      <c r="T381" s="20">
        <v>5</v>
      </c>
      <c r="U381" s="20"/>
      <c r="V381" s="222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12">
        <v>300307</v>
      </c>
      <c r="B382" s="208">
        <v>18501</v>
      </c>
      <c r="C382" s="256" t="s">
        <v>159</v>
      </c>
      <c r="D382" s="256" t="s">
        <v>160</v>
      </c>
      <c r="E382" s="216" t="s">
        <v>133</v>
      </c>
      <c r="F382" s="215"/>
      <c r="G382" s="214"/>
      <c r="H382" s="214"/>
      <c r="I382" s="214"/>
      <c r="J382" s="214"/>
      <c r="K382" s="214">
        <f t="shared" si="46"/>
        <v>0</v>
      </c>
      <c r="L382" s="214">
        <f t="shared" si="47"/>
        <v>0</v>
      </c>
      <c r="M382" s="214">
        <v>569</v>
      </c>
      <c r="N382" s="214">
        <f t="shared" si="52"/>
        <v>4.5141533384107637</v>
      </c>
      <c r="O382" s="214"/>
      <c r="P382" s="214">
        <f t="shared" si="48"/>
        <v>0</v>
      </c>
      <c r="Q382" s="214"/>
      <c r="R382" s="19">
        <f t="shared" si="49"/>
        <v>0</v>
      </c>
      <c r="S382" s="214">
        <f t="shared" si="50"/>
        <v>0</v>
      </c>
      <c r="T382" s="20">
        <v>5</v>
      </c>
      <c r="U382" s="20"/>
      <c r="V382" s="222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12">
        <v>300308</v>
      </c>
      <c r="B383" s="208">
        <v>18501</v>
      </c>
      <c r="C383" s="256" t="s">
        <v>159</v>
      </c>
      <c r="D383" s="256" t="s">
        <v>160</v>
      </c>
      <c r="E383" s="216" t="s">
        <v>132</v>
      </c>
      <c r="F383" s="215"/>
      <c r="G383" s="214"/>
      <c r="H383" s="214"/>
      <c r="I383" s="214"/>
      <c r="J383" s="214"/>
      <c r="K383" s="214">
        <f t="shared" si="46"/>
        <v>0</v>
      </c>
      <c r="L383" s="214">
        <f t="shared" si="47"/>
        <v>0</v>
      </c>
      <c r="M383" s="214">
        <v>523.6</v>
      </c>
      <c r="N383" s="214">
        <f t="shared" si="52"/>
        <v>4.1539730896166542</v>
      </c>
      <c r="O383" s="214"/>
      <c r="P383" s="214">
        <f t="shared" si="48"/>
        <v>0</v>
      </c>
      <c r="Q383" s="214"/>
      <c r="R383" s="19">
        <f t="shared" si="49"/>
        <v>0</v>
      </c>
      <c r="S383" s="214">
        <f t="shared" si="50"/>
        <v>0</v>
      </c>
      <c r="T383" s="20">
        <v>5</v>
      </c>
      <c r="U383" s="20"/>
      <c r="V383" s="222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12">
        <v>300182</v>
      </c>
      <c r="B384" s="208">
        <v>18501</v>
      </c>
      <c r="C384" s="256" t="s">
        <v>161</v>
      </c>
      <c r="D384" s="256" t="s">
        <v>160</v>
      </c>
      <c r="E384" s="216" t="s">
        <v>80</v>
      </c>
      <c r="F384" s="215"/>
      <c r="G384" s="214"/>
      <c r="H384" s="214"/>
      <c r="I384" s="214"/>
      <c r="J384" s="214"/>
      <c r="K384" s="214">
        <f t="shared" si="46"/>
        <v>0</v>
      </c>
      <c r="L384" s="214">
        <f t="shared" si="47"/>
        <v>0</v>
      </c>
      <c r="M384" s="214">
        <v>649.1</v>
      </c>
      <c r="N384" s="214">
        <f t="shared" si="52"/>
        <v>5.1496255394770252</v>
      </c>
      <c r="O384" s="214"/>
      <c r="P384" s="214">
        <f t="shared" si="48"/>
        <v>0</v>
      </c>
      <c r="Q384" s="214"/>
      <c r="R384" s="19">
        <f t="shared" si="49"/>
        <v>0</v>
      </c>
      <c r="S384" s="214">
        <f t="shared" si="50"/>
        <v>0</v>
      </c>
      <c r="T384" s="20">
        <v>5</v>
      </c>
      <c r="U384" s="20"/>
      <c r="V384" s="222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12">
        <v>300185</v>
      </c>
      <c r="B385" s="208">
        <v>18501</v>
      </c>
      <c r="C385" s="256" t="s">
        <v>161</v>
      </c>
      <c r="D385" s="256" t="s">
        <v>160</v>
      </c>
      <c r="E385" s="216" t="s">
        <v>135</v>
      </c>
      <c r="F385" s="215"/>
      <c r="G385" s="214"/>
      <c r="H385" s="214"/>
      <c r="I385" s="214"/>
      <c r="J385" s="214"/>
      <c r="K385" s="214">
        <f t="shared" si="46"/>
        <v>0</v>
      </c>
      <c r="L385" s="214">
        <f t="shared" si="47"/>
        <v>0</v>
      </c>
      <c r="M385" s="214">
        <v>638</v>
      </c>
      <c r="N385" s="214">
        <f t="shared" si="52"/>
        <v>6.0738766184310737</v>
      </c>
      <c r="O385" s="214"/>
      <c r="P385" s="214">
        <f t="shared" si="48"/>
        <v>0</v>
      </c>
      <c r="Q385" s="214"/>
      <c r="R385" s="19">
        <f t="shared" si="49"/>
        <v>0</v>
      </c>
      <c r="S385" s="214">
        <f t="shared" si="50"/>
        <v>0</v>
      </c>
      <c r="T385" s="20">
        <v>6</v>
      </c>
      <c r="U385" s="20"/>
      <c r="V385" s="222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12">
        <v>300272</v>
      </c>
      <c r="B386" s="208">
        <v>18502</v>
      </c>
      <c r="C386" s="256" t="s">
        <v>162</v>
      </c>
      <c r="D386" s="256"/>
      <c r="E386" s="216" t="s">
        <v>42</v>
      </c>
      <c r="F386" s="215"/>
      <c r="G386" s="214"/>
      <c r="H386" s="214"/>
      <c r="I386" s="214"/>
      <c r="J386" s="214"/>
      <c r="K386" s="214">
        <f t="shared" si="46"/>
        <v>0</v>
      </c>
      <c r="L386" s="214">
        <f t="shared" si="47"/>
        <v>0</v>
      </c>
      <c r="M386" s="214">
        <v>523.9</v>
      </c>
      <c r="N386" s="214">
        <f>+M386*1000/(128*4*13*60)*T386</f>
        <v>5.247395833333333</v>
      </c>
      <c r="O386" s="214"/>
      <c r="P386" s="214">
        <f t="shared" si="48"/>
        <v>0</v>
      </c>
      <c r="Q386" s="214"/>
      <c r="R386" s="19">
        <f t="shared" si="49"/>
        <v>0</v>
      </c>
      <c r="S386" s="214">
        <f t="shared" si="50"/>
        <v>0</v>
      </c>
      <c r="T386" s="20">
        <v>4</v>
      </c>
      <c r="U386" s="20"/>
      <c r="V386" s="222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12">
        <v>300273</v>
      </c>
      <c r="B387" s="208">
        <v>18502</v>
      </c>
      <c r="C387" s="256" t="s">
        <v>162</v>
      </c>
      <c r="D387" s="256"/>
      <c r="E387" s="216" t="s">
        <v>163</v>
      </c>
      <c r="F387" s="215"/>
      <c r="G387" s="214"/>
      <c r="H387" s="214"/>
      <c r="I387" s="214"/>
      <c r="J387" s="214"/>
      <c r="K387" s="214">
        <f t="shared" si="46"/>
        <v>0</v>
      </c>
      <c r="L387" s="214">
        <f t="shared" si="47"/>
        <v>0</v>
      </c>
      <c r="M387" s="214">
        <v>523.9</v>
      </c>
      <c r="N387" s="214">
        <f>+M387*1000/(128*4*13*60)*T387</f>
        <v>6.5592447916666661</v>
      </c>
      <c r="O387" s="214"/>
      <c r="P387" s="214">
        <f t="shared" si="48"/>
        <v>0</v>
      </c>
      <c r="Q387" s="214"/>
      <c r="R387" s="19">
        <f t="shared" si="49"/>
        <v>0</v>
      </c>
      <c r="S387" s="214">
        <f t="shared" si="50"/>
        <v>0</v>
      </c>
      <c r="T387" s="20">
        <v>5</v>
      </c>
      <c r="U387" s="20"/>
      <c r="V387" s="222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12">
        <v>300274</v>
      </c>
      <c r="B388" s="208">
        <v>18502</v>
      </c>
      <c r="C388" s="256" t="s">
        <v>162</v>
      </c>
      <c r="D388" s="256"/>
      <c r="E388" s="216" t="s">
        <v>146</v>
      </c>
      <c r="F388" s="215"/>
      <c r="G388" s="214"/>
      <c r="H388" s="214"/>
      <c r="I388" s="214"/>
      <c r="J388" s="214"/>
      <c r="K388" s="214">
        <f t="shared" si="46"/>
        <v>0</v>
      </c>
      <c r="L388" s="214">
        <f t="shared" si="47"/>
        <v>0</v>
      </c>
      <c r="M388" s="214">
        <v>523.9</v>
      </c>
      <c r="N388" s="214">
        <f>+M388*1000/(128*4*13*60)*T388</f>
        <v>5.247395833333333</v>
      </c>
      <c r="O388" s="214"/>
      <c r="P388" s="214">
        <f t="shared" si="48"/>
        <v>0</v>
      </c>
      <c r="Q388" s="214"/>
      <c r="R388" s="19">
        <f t="shared" si="49"/>
        <v>0</v>
      </c>
      <c r="S388" s="214">
        <f t="shared" si="50"/>
        <v>0</v>
      </c>
      <c r="T388" s="20">
        <v>4</v>
      </c>
      <c r="U388" s="20"/>
      <c r="V388" s="222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12">
        <v>300275</v>
      </c>
      <c r="B389" s="208">
        <v>18502</v>
      </c>
      <c r="C389" s="256" t="s">
        <v>162</v>
      </c>
      <c r="D389" s="256"/>
      <c r="E389" s="216" t="s">
        <v>164</v>
      </c>
      <c r="F389" s="215"/>
      <c r="G389" s="214"/>
      <c r="H389" s="214"/>
      <c r="I389" s="214"/>
      <c r="J389" s="214"/>
      <c r="K389" s="214">
        <f t="shared" si="46"/>
        <v>0</v>
      </c>
      <c r="L389" s="214">
        <f t="shared" si="47"/>
        <v>0</v>
      </c>
      <c r="M389" s="214">
        <v>523.9</v>
      </c>
      <c r="N389" s="214">
        <f>+M389*1000/(128*4*13*60)*T389</f>
        <v>5.247395833333333</v>
      </c>
      <c r="O389" s="214"/>
      <c r="P389" s="214">
        <f t="shared" si="48"/>
        <v>0</v>
      </c>
      <c r="Q389" s="214"/>
      <c r="R389" s="19">
        <f t="shared" si="49"/>
        <v>0</v>
      </c>
      <c r="S389" s="214">
        <f t="shared" si="50"/>
        <v>0</v>
      </c>
      <c r="T389" s="20">
        <v>4</v>
      </c>
      <c r="U389" s="20"/>
      <c r="V389" s="222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12">
        <v>300285</v>
      </c>
      <c r="B390" s="208">
        <v>13001</v>
      </c>
      <c r="C390" s="256" t="s">
        <v>165</v>
      </c>
      <c r="D390" s="256"/>
      <c r="E390" s="216" t="s">
        <v>37</v>
      </c>
      <c r="F390" s="215"/>
      <c r="G390" s="214"/>
      <c r="H390" s="214"/>
      <c r="I390" s="214"/>
      <c r="J390" s="214"/>
      <c r="K390" s="214">
        <f t="shared" si="46"/>
        <v>0</v>
      </c>
      <c r="L390" s="214">
        <f t="shared" si="47"/>
        <v>0</v>
      </c>
      <c r="M390" s="214">
        <v>438.7</v>
      </c>
      <c r="N390" s="214">
        <f t="shared" ref="N390:N395" si="53">+M390*1000/(90*4*18*60)*T390</f>
        <v>5.6417181069958842</v>
      </c>
      <c r="O390" s="214"/>
      <c r="P390" s="214">
        <f t="shared" si="48"/>
        <v>0</v>
      </c>
      <c r="Q390" s="214"/>
      <c r="R390" s="19">
        <f t="shared" si="49"/>
        <v>0</v>
      </c>
      <c r="S390" s="214">
        <f t="shared" si="50"/>
        <v>0</v>
      </c>
      <c r="T390" s="20">
        <v>5</v>
      </c>
      <c r="U390" s="20"/>
      <c r="V390" s="222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12">
        <v>300287</v>
      </c>
      <c r="B391" s="208">
        <v>13001</v>
      </c>
      <c r="C391" s="256" t="s">
        <v>165</v>
      </c>
      <c r="D391" s="256"/>
      <c r="E391" s="216" t="s">
        <v>57</v>
      </c>
      <c r="F391" s="215"/>
      <c r="G391" s="214"/>
      <c r="H391" s="214"/>
      <c r="I391" s="214"/>
      <c r="J391" s="214"/>
      <c r="K391" s="214">
        <f t="shared" si="46"/>
        <v>0</v>
      </c>
      <c r="L391" s="214">
        <f t="shared" si="47"/>
        <v>0</v>
      </c>
      <c r="M391" s="214">
        <v>438.7</v>
      </c>
      <c r="N391" s="214">
        <f t="shared" si="53"/>
        <v>5.6417181069958842</v>
      </c>
      <c r="O391" s="214"/>
      <c r="P391" s="214">
        <f t="shared" si="48"/>
        <v>0</v>
      </c>
      <c r="Q391" s="214"/>
      <c r="R391" s="19">
        <f t="shared" si="49"/>
        <v>0</v>
      </c>
      <c r="S391" s="214">
        <f t="shared" si="50"/>
        <v>0</v>
      </c>
      <c r="T391" s="20">
        <v>5</v>
      </c>
      <c r="U391" s="20"/>
      <c r="V391" s="222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12">
        <v>300284</v>
      </c>
      <c r="B392" s="208">
        <v>13001</v>
      </c>
      <c r="C392" s="256" t="s">
        <v>165</v>
      </c>
      <c r="D392" s="256"/>
      <c r="E392" s="216" t="s">
        <v>41</v>
      </c>
      <c r="F392" s="215"/>
      <c r="G392" s="214"/>
      <c r="H392" s="214"/>
      <c r="I392" s="214"/>
      <c r="J392" s="214"/>
      <c r="K392" s="214">
        <f t="shared" si="46"/>
        <v>0</v>
      </c>
      <c r="L392" s="214">
        <f t="shared" si="47"/>
        <v>0</v>
      </c>
      <c r="M392" s="214">
        <v>438.7</v>
      </c>
      <c r="N392" s="214">
        <f t="shared" si="53"/>
        <v>5.6417181069958842</v>
      </c>
      <c r="O392" s="214"/>
      <c r="P392" s="214">
        <f t="shared" si="48"/>
        <v>0</v>
      </c>
      <c r="Q392" s="214"/>
      <c r="R392" s="19">
        <f t="shared" si="49"/>
        <v>0</v>
      </c>
      <c r="S392" s="214">
        <f t="shared" si="50"/>
        <v>0</v>
      </c>
      <c r="T392" s="20">
        <v>5</v>
      </c>
      <c r="U392" s="20"/>
      <c r="V392" s="222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12">
        <v>300283</v>
      </c>
      <c r="B393" s="208">
        <v>13001</v>
      </c>
      <c r="C393" s="256" t="s">
        <v>165</v>
      </c>
      <c r="D393" s="256"/>
      <c r="E393" s="216" t="s">
        <v>35</v>
      </c>
      <c r="F393" s="215"/>
      <c r="G393" s="214"/>
      <c r="H393" s="214"/>
      <c r="I393" s="214"/>
      <c r="J393" s="209"/>
      <c r="K393" s="209">
        <f t="shared" si="46"/>
        <v>0</v>
      </c>
      <c r="L393" s="209">
        <f t="shared" si="47"/>
        <v>0</v>
      </c>
      <c r="M393" s="214">
        <v>438.7</v>
      </c>
      <c r="N393" s="214">
        <f t="shared" si="53"/>
        <v>5.6417181069958842</v>
      </c>
      <c r="O393" s="209"/>
      <c r="P393" s="214">
        <f t="shared" si="48"/>
        <v>0</v>
      </c>
      <c r="Q393" s="214"/>
      <c r="R393" s="19">
        <f t="shared" si="49"/>
        <v>0</v>
      </c>
      <c r="S393" s="214">
        <f t="shared" si="50"/>
        <v>0</v>
      </c>
      <c r="T393" s="20">
        <v>5</v>
      </c>
      <c r="U393" s="20"/>
      <c r="V393" s="222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12">
        <v>300289</v>
      </c>
      <c r="B394" s="208">
        <v>13001</v>
      </c>
      <c r="C394" s="256" t="s">
        <v>165</v>
      </c>
      <c r="D394" s="256"/>
      <c r="E394" s="216" t="s">
        <v>66</v>
      </c>
      <c r="F394" s="215"/>
      <c r="G394" s="209"/>
      <c r="H394" s="209"/>
      <c r="I394" s="209"/>
      <c r="J394" s="116"/>
      <c r="K394" s="209">
        <f t="shared" si="46"/>
        <v>0</v>
      </c>
      <c r="L394" s="209">
        <f t="shared" si="47"/>
        <v>0</v>
      </c>
      <c r="M394" s="214">
        <v>438.7</v>
      </c>
      <c r="N394" s="214">
        <f t="shared" si="53"/>
        <v>5.6417181069958842</v>
      </c>
      <c r="O394" s="209"/>
      <c r="P394" s="214">
        <f t="shared" si="48"/>
        <v>0</v>
      </c>
      <c r="Q394" s="214"/>
      <c r="R394" s="19">
        <f t="shared" si="49"/>
        <v>0</v>
      </c>
      <c r="S394" s="214">
        <f t="shared" si="50"/>
        <v>0</v>
      </c>
      <c r="T394" s="20">
        <v>5</v>
      </c>
      <c r="U394" s="20"/>
      <c r="V394" s="222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12">
        <v>300288</v>
      </c>
      <c r="B395" s="208">
        <v>13001</v>
      </c>
      <c r="C395" s="256" t="s">
        <v>165</v>
      </c>
      <c r="D395" s="256"/>
      <c r="E395" s="216" t="s">
        <v>166</v>
      </c>
      <c r="F395" s="215"/>
      <c r="G395" s="211"/>
      <c r="H395" s="214"/>
      <c r="I395" s="214"/>
      <c r="J395" s="214"/>
      <c r="K395" s="214">
        <f t="shared" si="46"/>
        <v>0</v>
      </c>
      <c r="L395" s="214">
        <f t="shared" si="47"/>
        <v>0</v>
      </c>
      <c r="M395" s="214">
        <v>438.7</v>
      </c>
      <c r="N395" s="214">
        <f t="shared" si="53"/>
        <v>5.6417181069958842</v>
      </c>
      <c r="O395" s="214"/>
      <c r="P395" s="214">
        <f t="shared" si="48"/>
        <v>0</v>
      </c>
      <c r="Q395" s="214"/>
      <c r="R395" s="19">
        <f t="shared" si="49"/>
        <v>0</v>
      </c>
      <c r="S395" s="214">
        <f t="shared" si="50"/>
        <v>0</v>
      </c>
      <c r="T395" s="20">
        <v>5</v>
      </c>
      <c r="U395" s="20"/>
      <c r="V395" s="222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10">
        <v>300355</v>
      </c>
      <c r="B396" s="208">
        <v>13001</v>
      </c>
      <c r="C396" s="267" t="s">
        <v>168</v>
      </c>
      <c r="D396" s="268"/>
      <c r="E396" s="33" t="s">
        <v>35</v>
      </c>
      <c r="F396" s="215"/>
      <c r="G396" s="211"/>
      <c r="H396" s="214"/>
      <c r="I396" s="214"/>
      <c r="J396" s="214"/>
      <c r="K396" s="209">
        <f t="shared" si="46"/>
        <v>0</v>
      </c>
      <c r="L396" s="214">
        <f t="shared" si="47"/>
        <v>0</v>
      </c>
      <c r="M396" s="214">
        <v>438</v>
      </c>
      <c r="N396" s="214">
        <f>+M396*1000/(110*4*18*60)*T396</f>
        <v>4.6085858585858581</v>
      </c>
      <c r="O396" s="214"/>
      <c r="P396" s="214">
        <f t="shared" si="48"/>
        <v>0</v>
      </c>
      <c r="Q396" s="214"/>
      <c r="R396" s="19">
        <f t="shared" si="49"/>
        <v>0</v>
      </c>
      <c r="S396" s="214">
        <f t="shared" si="50"/>
        <v>0</v>
      </c>
      <c r="T396" s="20">
        <v>5</v>
      </c>
      <c r="U396" s="20"/>
      <c r="V396" s="222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10">
        <v>300356</v>
      </c>
      <c r="B397" s="208">
        <v>13001</v>
      </c>
      <c r="C397" s="267" t="s">
        <v>168</v>
      </c>
      <c r="D397" s="268"/>
      <c r="E397" s="217" t="s">
        <v>41</v>
      </c>
      <c r="F397" s="215"/>
      <c r="G397" s="211"/>
      <c r="H397" s="214"/>
      <c r="I397" s="214"/>
      <c r="J397" s="214"/>
      <c r="K397" s="209">
        <f t="shared" si="46"/>
        <v>0</v>
      </c>
      <c r="L397" s="214">
        <f t="shared" si="47"/>
        <v>0</v>
      </c>
      <c r="M397" s="214">
        <v>438</v>
      </c>
      <c r="N397" s="214">
        <f>+M397*1000/(110*4*18*60)*T397</f>
        <v>4.6085858585858581</v>
      </c>
      <c r="O397" s="214"/>
      <c r="P397" s="214">
        <f t="shared" si="48"/>
        <v>0</v>
      </c>
      <c r="Q397" s="214"/>
      <c r="R397" s="19">
        <f t="shared" si="49"/>
        <v>0</v>
      </c>
      <c r="S397" s="214">
        <f t="shared" si="50"/>
        <v>0</v>
      </c>
      <c r="T397" s="20">
        <v>5</v>
      </c>
      <c r="U397" s="20"/>
      <c r="V397" s="222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10">
        <v>300357</v>
      </c>
      <c r="B398" s="208" t="s">
        <v>170</v>
      </c>
      <c r="C398" s="267" t="s">
        <v>168</v>
      </c>
      <c r="D398" s="268"/>
      <c r="E398" s="217" t="s">
        <v>37</v>
      </c>
      <c r="F398" s="27"/>
      <c r="G398" s="211"/>
      <c r="H398" s="214"/>
      <c r="I398" s="214"/>
      <c r="J398" s="214"/>
      <c r="K398" s="209">
        <f t="shared" si="46"/>
        <v>0</v>
      </c>
      <c r="L398" s="214">
        <f t="shared" si="47"/>
        <v>0</v>
      </c>
      <c r="M398" s="214">
        <v>438</v>
      </c>
      <c r="N398" s="214">
        <f>+M398*1000/(110*4*18*60)*T398</f>
        <v>4.6085858585858581</v>
      </c>
      <c r="O398" s="214"/>
      <c r="P398" s="214">
        <f t="shared" si="48"/>
        <v>0</v>
      </c>
      <c r="Q398" s="214"/>
      <c r="R398" s="19">
        <f t="shared" si="49"/>
        <v>0</v>
      </c>
      <c r="S398" s="214">
        <f t="shared" si="50"/>
        <v>0</v>
      </c>
      <c r="T398" s="20">
        <v>5</v>
      </c>
      <c r="U398" s="20"/>
      <c r="V398" s="222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10">
        <v>300358</v>
      </c>
      <c r="B399" s="208" t="s">
        <v>171</v>
      </c>
      <c r="C399" s="267" t="s">
        <v>168</v>
      </c>
      <c r="D399" s="268"/>
      <c r="E399" s="217" t="s">
        <v>66</v>
      </c>
      <c r="F399" s="27"/>
      <c r="G399" s="211"/>
      <c r="H399" s="214"/>
      <c r="I399" s="214"/>
      <c r="J399" s="214"/>
      <c r="K399" s="209">
        <f t="shared" si="46"/>
        <v>0</v>
      </c>
      <c r="L399" s="214">
        <f t="shared" si="47"/>
        <v>0</v>
      </c>
      <c r="M399" s="214">
        <v>438</v>
      </c>
      <c r="N399" s="214">
        <f>+M399*1000/(110*4*18*60)*T399</f>
        <v>4.6085858585858581</v>
      </c>
      <c r="O399" s="214"/>
      <c r="P399" s="214">
        <f t="shared" si="48"/>
        <v>0</v>
      </c>
      <c r="Q399" s="214"/>
      <c r="R399" s="19">
        <f t="shared" si="49"/>
        <v>0</v>
      </c>
      <c r="S399" s="214">
        <f t="shared" si="50"/>
        <v>0</v>
      </c>
      <c r="T399" s="20">
        <v>5</v>
      </c>
      <c r="U399" s="20"/>
      <c r="V399" s="222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customHeight="1">
      <c r="A400" s="212">
        <v>300438</v>
      </c>
      <c r="B400" s="208">
        <v>13002</v>
      </c>
      <c r="C400" s="256" t="s">
        <v>312</v>
      </c>
      <c r="D400" s="256" t="s">
        <v>89</v>
      </c>
      <c r="E400" s="216" t="s">
        <v>35</v>
      </c>
      <c r="F400" s="27">
        <v>1535</v>
      </c>
      <c r="G400" s="214">
        <v>9</v>
      </c>
      <c r="H400" s="214">
        <v>0.33333333333333331</v>
      </c>
      <c r="I400" s="214">
        <f>8+H400-J400/300</f>
        <v>8</v>
      </c>
      <c r="J400" s="214">
        <v>100</v>
      </c>
      <c r="K400" s="214">
        <f>G400*M400</f>
        <v>3029.4</v>
      </c>
      <c r="L400" s="214">
        <f>I400*M400</f>
        <v>2692.8</v>
      </c>
      <c r="M400" s="214">
        <v>336.6</v>
      </c>
      <c r="N400" s="214">
        <f>+M400*1000/(45*10*18*60)*T400</f>
        <v>1.3851851851851851</v>
      </c>
      <c r="O400" s="214"/>
      <c r="P400" s="214">
        <f>N400*I400+O400*U400</f>
        <v>11.081481481481481</v>
      </c>
      <c r="Q400" s="214">
        <v>11.5</v>
      </c>
      <c r="R400" s="19">
        <f>Q400*U400</f>
        <v>57.5</v>
      </c>
      <c r="S400" s="214">
        <f>R400-P400</f>
        <v>46.418518518518518</v>
      </c>
      <c r="T400" s="20">
        <v>2</v>
      </c>
      <c r="U400" s="20">
        <v>5</v>
      </c>
      <c r="V400" s="222">
        <f t="array" ref="V400">IF(ISERROR(L400/K400),"",L400/K400)</f>
        <v>0.88888888888888895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62.77</v>
      </c>
      <c r="H408" s="164">
        <f t="array" ref="H408">SUM(IF(ISERROR(H215:H407),“”,H215:H407))</f>
        <v>2.3666666666666667</v>
      </c>
      <c r="I408" s="164">
        <f t="array" ref="I408">SUM(IF(ISERROR(I215:I407),“”,I215:I407))</f>
        <v>59.666666666666664</v>
      </c>
      <c r="J408" s="164">
        <f t="array" ref="J408">SUM(IF(ISERROR(J215:J407),“”,J215:J407))</f>
        <v>230</v>
      </c>
      <c r="K408" s="164">
        <f t="array" ref="K408">SUM(IF(ISERROR(K215:K407),“”,K215:K407))</f>
        <v>32192.6731</v>
      </c>
      <c r="L408" s="117">
        <f>SUM(L215:L400)</f>
        <v>30758.282666666662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293.30637930747298</v>
      </c>
      <c r="Q408" s="164"/>
      <c r="R408" s="56">
        <f>SUM((R215:R399),(Y413:Z418))</f>
        <v>349.5</v>
      </c>
      <c r="S408" s="164">
        <f t="array" ref="S408">SUM(IF(ISERROR(S215:S407),“”,S215:S407))</f>
        <v>91.61213921104553</v>
      </c>
      <c r="T408" s="164"/>
      <c r="U408" s="164"/>
      <c r="V408" s="161">
        <f t="array" ref="V408">IF(ISERROR(L408/K408),"",L408/K408)</f>
        <v>0.95544357472653185</v>
      </c>
      <c r="W408" s="164">
        <f t="array" ref="W408">SUM(IF(ISERROR(W215:W407),“”,W215:W407))</f>
        <v>0</v>
      </c>
      <c r="X408" s="164">
        <f t="array" ref="X408">SUM(IF(ISERROR(X215:X407),“”,X215:X407))</f>
        <v>2.7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0.83921710817588835</v>
      </c>
      <c r="P409" s="282"/>
      <c r="Q409" s="282"/>
      <c r="R409" s="283"/>
      <c r="S409" s="44"/>
      <c r="T409" s="45"/>
      <c r="U409" s="45"/>
      <c r="V409" s="45"/>
      <c r="W409" s="284">
        <f>SUM(W408:AC408)</f>
        <v>2.7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160.5</v>
      </c>
      <c r="F411" s="287"/>
      <c r="G411" s="287">
        <v>160.5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5498.5</v>
      </c>
      <c r="F412" s="287"/>
      <c r="G412" s="287">
        <v>5661.3</v>
      </c>
      <c r="H412" s="287"/>
      <c r="I412" s="287">
        <f>G412-E412</f>
        <v>162.80000000000018</v>
      </c>
      <c r="J412" s="287"/>
      <c r="K412" s="289">
        <f t="array" ref="K412">IF(ISERROR(I412/E412),"",I412/E412)</f>
        <v>2.9608074929526267E-2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14</v>
      </c>
      <c r="T412" s="292"/>
      <c r="U412" s="292">
        <v>24</v>
      </c>
      <c r="V412" s="292"/>
      <c r="W412" s="291">
        <f>S412*11</f>
        <v>154</v>
      </c>
      <c r="X412" s="291"/>
      <c r="Y412" s="291">
        <f>U412*11</f>
        <v>264</v>
      </c>
      <c r="Z412" s="291"/>
      <c r="AA412" s="291">
        <f t="shared" ref="AA412:AA419" si="59">Y412-W412</f>
        <v>110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1464</v>
      </c>
      <c r="F413" s="287"/>
      <c r="G413" s="287">
        <v>1464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4</v>
      </c>
      <c r="V413" s="292"/>
      <c r="W413" s="291">
        <f t="shared" ref="W413:W419" si="60">S413*11</f>
        <v>44</v>
      </c>
      <c r="X413" s="291"/>
      <c r="Y413" s="291">
        <f t="shared" ref="Y413:Y419" si="61">U413*11</f>
        <v>44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1</v>
      </c>
      <c r="V414" s="292"/>
      <c r="W414" s="291">
        <f t="shared" si="60"/>
        <v>8.25</v>
      </c>
      <c r="X414" s="291"/>
      <c r="Y414" s="291">
        <f t="shared" si="61"/>
        <v>11</v>
      </c>
      <c r="Z414" s="291"/>
      <c r="AA414" s="291">
        <f t="shared" si="59"/>
        <v>2.75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150877</v>
      </c>
      <c r="H415" s="332"/>
      <c r="I415" s="333">
        <v>150758</v>
      </c>
      <c r="J415" s="334"/>
      <c r="K415" s="297">
        <f>G415-I415</f>
        <v>119</v>
      </c>
      <c r="L415" s="297"/>
      <c r="M415" s="298">
        <f t="array" ref="M415">IF(ISERROR(K415/L408),"",K415/(L408/1000))</f>
        <v>3.8688765978785469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8.25</v>
      </c>
      <c r="X415" s="291"/>
      <c r="Y415" s="291">
        <f t="shared" si="61"/>
        <v>11</v>
      </c>
      <c r="Z415" s="291"/>
      <c r="AA415" s="291">
        <f t="shared" si="59"/>
        <v>2.75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44983.5*60+28672.8*120</f>
        <v>6139746</v>
      </c>
      <c r="H416" s="331"/>
      <c r="I416" s="330">
        <v>6138090</v>
      </c>
      <c r="J416" s="331"/>
      <c r="K416" s="297">
        <f>G416-I416</f>
        <v>1656</v>
      </c>
      <c r="L416" s="297"/>
      <c r="M416" s="298">
        <f t="array" ref="M416">IF(ISERROR(K416/L408),"",K416/(L408/1000))</f>
        <v>53.839156689805662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16.5</v>
      </c>
      <c r="X416" s="291"/>
      <c r="Y416" s="291">
        <f t="shared" si="61"/>
        <v>11</v>
      </c>
      <c r="Z416" s="291"/>
      <c r="AA416" s="291">
        <f t="shared" si="59"/>
        <v>-5.5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+I417+18</f>
        <v>27033</v>
      </c>
      <c r="H417" s="332"/>
      <c r="I417" s="335">
        <v>27015</v>
      </c>
      <c r="J417" s="336"/>
      <c r="K417" s="297">
        <f>G417-I417</f>
        <v>18</v>
      </c>
      <c r="L417" s="297"/>
      <c r="M417" s="301">
        <f t="array" ref="M417">IF(ISERROR(K417/L408),"",K417/(L408/1000))</f>
        <v>0.585208224889192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</v>
      </c>
      <c r="X417" s="291"/>
      <c r="Y417" s="291">
        <f t="shared" si="61"/>
        <v>11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2.56/2+2.56</f>
        <v>3.84</v>
      </c>
      <c r="L418" s="309"/>
      <c r="M418" s="302">
        <f t="array" ref="M418">IF(ISERROR((K418+K419)/L408),"",((K418+K419)*1000)/(L408/1000))</f>
        <v>124.84442130969428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4</v>
      </c>
      <c r="V418" s="292"/>
      <c r="W418" s="291">
        <f t="shared" si="60"/>
        <v>33</v>
      </c>
      <c r="X418" s="291"/>
      <c r="Y418" s="291">
        <f t="shared" si="61"/>
        <v>44</v>
      </c>
      <c r="Z418" s="291"/>
      <c r="AA418" s="291">
        <f t="shared" si="59"/>
        <v>11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25</v>
      </c>
      <c r="T419" s="292"/>
      <c r="U419" s="292">
        <f>SUM(U412:V418)</f>
        <v>36</v>
      </c>
      <c r="V419" s="292"/>
      <c r="W419" s="291">
        <f t="shared" si="60"/>
        <v>275</v>
      </c>
      <c r="X419" s="291"/>
      <c r="Y419" s="291">
        <f t="shared" si="61"/>
        <v>396</v>
      </c>
      <c r="Z419" s="291"/>
      <c r="AA419" s="291">
        <f t="shared" si="59"/>
        <v>121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4.6875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77.67243097643096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62531.4421</v>
      </c>
      <c r="D423" s="345"/>
      <c r="E423" s="341" t="s">
        <v>226</v>
      </c>
      <c r="F423" s="341"/>
      <c r="G423" s="341">
        <f>L199+L408</f>
        <v>60219.985476190472</v>
      </c>
      <c r="H423" s="341"/>
      <c r="I423" s="348" t="s">
        <v>227</v>
      </c>
      <c r="J423" s="348"/>
      <c r="K423" s="347">
        <f>IF(ISERROR(G423/C423),"",G423/C423)</f>
        <v>0.96303528998878585</v>
      </c>
      <c r="L423" s="347"/>
      <c r="M423" s="341" t="s">
        <v>228</v>
      </c>
      <c r="N423" s="341"/>
      <c r="O423" s="342">
        <f>IF(ISERROR(G423/G424),"",G423/G424)</f>
        <v>77.753370530910871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588.29627694708734</v>
      </c>
      <c r="D424" s="345"/>
      <c r="E424" s="346" t="s">
        <v>18</v>
      </c>
      <c r="F424" s="346"/>
      <c r="G424" s="341">
        <f>R199+R408</f>
        <v>774.5</v>
      </c>
      <c r="H424" s="341"/>
      <c r="I424" s="321" t="s">
        <v>176</v>
      </c>
      <c r="J424" s="321"/>
      <c r="K424" s="347">
        <f>IF(ISERROR(C424/G424),"",C424/G424)</f>
        <v>0.75958202317248202</v>
      </c>
      <c r="L424" s="347"/>
      <c r="M424" s="287" t="s">
        <v>230</v>
      </c>
      <c r="N424" s="287"/>
      <c r="O424" s="341">
        <f>W200+W409</f>
        <v>3.7</v>
      </c>
      <c r="P424" s="287"/>
      <c r="Q424" s="287" t="s">
        <v>231</v>
      </c>
      <c r="R424" s="287"/>
      <c r="S424" s="347">
        <f t="array" ref="S424">IF(ISERROR(O424/G424),"",O424/G424)</f>
        <v>4.7772756617172375E-3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259</v>
      </c>
      <c r="D426" s="345"/>
      <c r="E426" s="341" t="s">
        <v>234</v>
      </c>
      <c r="F426" s="341"/>
      <c r="G426" s="301">
        <f t="array" ref="G426">IF(ISERROR(C426/G423),"",C426/(G423/1000))</f>
        <v>4.3008977493427381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3408</v>
      </c>
      <c r="D427" s="345"/>
      <c r="E427" s="341" t="s">
        <v>236</v>
      </c>
      <c r="F427" s="341"/>
      <c r="G427" s="301">
        <f>IF(ISERROR(C427/G423),"",C427/(G423/1000))</f>
        <v>56.592507836911402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37</v>
      </c>
      <c r="D428" s="345"/>
      <c r="E428" s="341" t="s">
        <v>238</v>
      </c>
      <c r="F428" s="341"/>
      <c r="G428" s="301">
        <f>IF(ISERROR(C428/G423),"",C428/(G423/1000))</f>
        <v>0.61441396419181982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7.84</v>
      </c>
      <c r="D429" s="345"/>
      <c r="E429" s="341" t="s">
        <v>240</v>
      </c>
      <c r="F429" s="341"/>
      <c r="G429" s="349">
        <f>IF(ISERROR(C429/G423),"",C429/(G423/1000))</f>
        <v>0.13018933727740181</v>
      </c>
      <c r="H429" s="349"/>
      <c r="I429" s="341" t="s">
        <v>241</v>
      </c>
      <c r="J429" s="341"/>
      <c r="K429" s="350">
        <f>IF(ISERROR(C428/C429),"",C428/C429)</f>
        <v>4.7193877551020407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323.5</v>
      </c>
      <c r="D432" s="354"/>
      <c r="E432" s="341" t="s">
        <v>247</v>
      </c>
      <c r="F432" s="359"/>
      <c r="G432" s="355">
        <f>+G411+G202</f>
        <v>323.5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10978.2</v>
      </c>
      <c r="D433" s="354"/>
      <c r="E433" s="341" t="s">
        <v>251</v>
      </c>
      <c r="F433" s="341"/>
      <c r="G433" s="355">
        <f>+G412+G203</f>
        <v>11510.5</v>
      </c>
      <c r="H433" s="356"/>
      <c r="I433" s="341" t="s">
        <v>252</v>
      </c>
      <c r="J433" s="341"/>
      <c r="K433" s="323">
        <f>G433-C433</f>
        <v>532.29999999999927</v>
      </c>
      <c r="L433" s="325"/>
      <c r="M433" s="357" t="s">
        <v>253</v>
      </c>
      <c r="N433" s="358"/>
      <c r="O433" s="351">
        <f t="array" ref="O433">IF(ISERROR(K433/C433),"",K433/C433)</f>
        <v>4.848700151208752E-2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2412</v>
      </c>
      <c r="D434" s="354"/>
      <c r="E434" s="341" t="s">
        <v>255</v>
      </c>
      <c r="F434" s="359"/>
      <c r="G434" s="355">
        <f>+G413+G204</f>
        <v>2412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>
        <v>2</v>
      </c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52</v>
      </c>
      <c r="R452" s="67">
        <f>R443+R450+R451</f>
        <v>920</v>
      </c>
      <c r="S452" s="123">
        <f t="array" ref="S452">IF(ISERROR(Q452/J452),"",Q452/J452)</f>
        <v>0.91228070175438591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7" topLeftCell="F408" activePane="bottomRight" state="frozen"/>
      <selection pane="topRight" activeCell="F1" sqref="F1"/>
      <selection pane="bottomLeft" activeCell="A28" sqref="A2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customHeight="1">
      <c r="A28" s="226">
        <v>300016</v>
      </c>
      <c r="B28" s="223">
        <v>3004</v>
      </c>
      <c r="C28" s="256" t="s">
        <v>51</v>
      </c>
      <c r="D28" s="256"/>
      <c r="E28" s="230" t="s">
        <v>38</v>
      </c>
      <c r="F28" s="27"/>
      <c r="G28" s="133">
        <v>11</v>
      </c>
      <c r="H28" s="133"/>
      <c r="I28" s="133">
        <f>11-J28/500</f>
        <v>10.44</v>
      </c>
      <c r="J28" s="133">
        <v>280</v>
      </c>
      <c r="K28" s="228">
        <f t="shared" si="0"/>
        <v>5770.6</v>
      </c>
      <c r="L28" s="228">
        <f t="shared" si="1"/>
        <v>5476.8239999999996</v>
      </c>
      <c r="M28" s="228">
        <v>524.6</v>
      </c>
      <c r="N28" s="228">
        <f>+M28*1000/(25.4*20*15*60)*T28</f>
        <v>3.4422572178477688</v>
      </c>
      <c r="O28" s="228"/>
      <c r="P28" s="228">
        <f t="shared" si="2"/>
        <v>35.937165354330702</v>
      </c>
      <c r="Q28" s="228">
        <v>11</v>
      </c>
      <c r="R28" s="19">
        <f t="shared" si="3"/>
        <v>22</v>
      </c>
      <c r="S28" s="228">
        <f t="shared" si="4"/>
        <v>-13.937165354330702</v>
      </c>
      <c r="T28" s="20">
        <v>3</v>
      </c>
      <c r="U28" s="20">
        <v>2</v>
      </c>
      <c r="V28" s="227">
        <f t="array" ref="V28">IF(ISERROR(L28/K28),"",L28/K28)</f>
        <v>0.94909090909090899</v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26">
        <v>3000435</v>
      </c>
      <c r="B29" s="223" t="s">
        <v>43</v>
      </c>
      <c r="C29" s="256" t="s">
        <v>51</v>
      </c>
      <c r="D29" s="256"/>
      <c r="E29" s="230" t="s">
        <v>309</v>
      </c>
      <c r="F29" s="27"/>
      <c r="G29" s="133"/>
      <c r="H29" s="133"/>
      <c r="I29" s="133"/>
      <c r="J29" s="133"/>
      <c r="K29" s="228">
        <f t="shared" si="0"/>
        <v>0</v>
      </c>
      <c r="L29" s="228">
        <f t="shared" si="1"/>
        <v>0</v>
      </c>
      <c r="M29" s="228">
        <v>524.6</v>
      </c>
      <c r="N29" s="228">
        <f>+M29*1000/(25.4*20*15*60)*T29</f>
        <v>3.4422572178477688</v>
      </c>
      <c r="O29" s="228"/>
      <c r="P29" s="228">
        <f t="shared" si="2"/>
        <v>0</v>
      </c>
      <c r="Q29" s="228"/>
      <c r="R29" s="19">
        <f t="shared" si="3"/>
        <v>0</v>
      </c>
      <c r="S29" s="228">
        <f t="shared" si="4"/>
        <v>0</v>
      </c>
      <c r="T29" s="20">
        <v>3</v>
      </c>
      <c r="U29" s="20"/>
      <c r="V29" s="227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26">
        <v>300276</v>
      </c>
      <c r="B30" s="223" t="s">
        <v>43</v>
      </c>
      <c r="C30" s="256" t="s">
        <v>53</v>
      </c>
      <c r="D30" s="256"/>
      <c r="E30" s="230" t="s">
        <v>41</v>
      </c>
      <c r="F30" s="27"/>
      <c r="G30" s="133"/>
      <c r="H30" s="133"/>
      <c r="I30" s="133"/>
      <c r="J30" s="133"/>
      <c r="K30" s="228">
        <f t="shared" si="0"/>
        <v>0</v>
      </c>
      <c r="L30" s="228">
        <f t="shared" si="1"/>
        <v>0</v>
      </c>
      <c r="M30" s="228">
        <v>266</v>
      </c>
      <c r="N30" s="228">
        <f>+M30*1000/(29.8*10*13*60)*T30</f>
        <v>3.4331440371708828</v>
      </c>
      <c r="O30" s="228"/>
      <c r="P30" s="228">
        <f t="shared" si="2"/>
        <v>0</v>
      </c>
      <c r="Q30" s="228"/>
      <c r="R30" s="19">
        <f t="shared" si="3"/>
        <v>0</v>
      </c>
      <c r="S30" s="228">
        <f t="shared" si="4"/>
        <v>0</v>
      </c>
      <c r="T30" s="20">
        <v>3</v>
      </c>
      <c r="U30" s="20"/>
      <c r="V30" s="227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26">
        <v>300277</v>
      </c>
      <c r="B31" s="223" t="s">
        <v>43</v>
      </c>
      <c r="C31" s="256" t="s">
        <v>53</v>
      </c>
      <c r="D31" s="256"/>
      <c r="E31" s="230" t="s">
        <v>39</v>
      </c>
      <c r="F31" s="27"/>
      <c r="G31" s="133"/>
      <c r="H31" s="133"/>
      <c r="I31" s="133"/>
      <c r="J31" s="133"/>
      <c r="K31" s="228">
        <f t="shared" si="0"/>
        <v>0</v>
      </c>
      <c r="L31" s="228">
        <f t="shared" si="1"/>
        <v>0</v>
      </c>
      <c r="M31" s="228">
        <v>266</v>
      </c>
      <c r="N31" s="228">
        <f>+M31*1000/(29.8*10*13*60)*T31</f>
        <v>3.4331440371708828</v>
      </c>
      <c r="O31" s="228"/>
      <c r="P31" s="228">
        <f t="shared" si="2"/>
        <v>0</v>
      </c>
      <c r="Q31" s="228"/>
      <c r="R31" s="19">
        <f t="shared" si="3"/>
        <v>0</v>
      </c>
      <c r="S31" s="228">
        <f t="shared" si="4"/>
        <v>0</v>
      </c>
      <c r="T31" s="20">
        <v>3</v>
      </c>
      <c r="U31" s="20"/>
      <c r="V31" s="227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26">
        <v>300278</v>
      </c>
      <c r="B32" s="223" t="s">
        <v>43</v>
      </c>
      <c r="C32" s="256" t="s">
        <v>53</v>
      </c>
      <c r="D32" s="256"/>
      <c r="E32" s="230" t="s">
        <v>54</v>
      </c>
      <c r="F32" s="27"/>
      <c r="G32" s="133"/>
      <c r="H32" s="133"/>
      <c r="I32" s="133"/>
      <c r="J32" s="133"/>
      <c r="K32" s="228">
        <f t="shared" si="0"/>
        <v>0</v>
      </c>
      <c r="L32" s="228">
        <f t="shared" si="1"/>
        <v>0</v>
      </c>
      <c r="M32" s="228">
        <v>266</v>
      </c>
      <c r="N32" s="228">
        <f>+M32*1000/(29.8*10*13*60)*T32</f>
        <v>3.4331440371708828</v>
      </c>
      <c r="O32" s="228"/>
      <c r="P32" s="228">
        <f t="shared" si="2"/>
        <v>0</v>
      </c>
      <c r="Q32" s="228"/>
      <c r="R32" s="19">
        <f t="shared" si="3"/>
        <v>0</v>
      </c>
      <c r="S32" s="228">
        <f t="shared" si="4"/>
        <v>0</v>
      </c>
      <c r="T32" s="20">
        <v>3</v>
      </c>
      <c r="U32" s="20"/>
      <c r="V32" s="227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26">
        <v>300027</v>
      </c>
      <c r="B33" s="223" t="s">
        <v>55</v>
      </c>
      <c r="C33" s="256" t="s">
        <v>56</v>
      </c>
      <c r="D33" s="256"/>
      <c r="E33" s="230" t="s">
        <v>54</v>
      </c>
      <c r="F33" s="27"/>
      <c r="G33" s="133"/>
      <c r="H33" s="133"/>
      <c r="I33" s="133"/>
      <c r="J33" s="133"/>
      <c r="K33" s="228">
        <f t="shared" si="0"/>
        <v>0</v>
      </c>
      <c r="L33" s="228">
        <f t="shared" si="1"/>
        <v>0</v>
      </c>
      <c r="M33" s="228">
        <v>550.4</v>
      </c>
      <c r="N33" s="228">
        <f>+M33*1000/(31*20*15*60)*T33</f>
        <v>2.9591397849462364</v>
      </c>
      <c r="O33" s="228"/>
      <c r="P33" s="228">
        <f t="shared" si="2"/>
        <v>0</v>
      </c>
      <c r="Q33" s="228"/>
      <c r="R33" s="19">
        <f t="shared" si="3"/>
        <v>0</v>
      </c>
      <c r="S33" s="228">
        <f t="shared" si="4"/>
        <v>0</v>
      </c>
      <c r="T33" s="20">
        <v>3</v>
      </c>
      <c r="U33" s="20"/>
      <c r="V33" s="227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26">
        <v>300028</v>
      </c>
      <c r="B34" s="223" t="s">
        <v>55</v>
      </c>
      <c r="C34" s="256" t="s">
        <v>56</v>
      </c>
      <c r="D34" s="256"/>
      <c r="E34" s="230" t="s">
        <v>35</v>
      </c>
      <c r="F34" s="27"/>
      <c r="G34" s="133"/>
      <c r="H34" s="133"/>
      <c r="I34" s="133"/>
      <c r="J34" s="133"/>
      <c r="K34" s="228">
        <f t="shared" si="0"/>
        <v>0</v>
      </c>
      <c r="L34" s="228">
        <f t="shared" si="1"/>
        <v>0</v>
      </c>
      <c r="M34" s="228">
        <v>550.4</v>
      </c>
      <c r="N34" s="228">
        <f>+M34*1000/(31*20*15*60)*T34</f>
        <v>2.9591397849462364</v>
      </c>
      <c r="O34" s="228"/>
      <c r="P34" s="228">
        <f t="shared" si="2"/>
        <v>0</v>
      </c>
      <c r="Q34" s="228"/>
      <c r="R34" s="19">
        <f t="shared" si="3"/>
        <v>0</v>
      </c>
      <c r="S34" s="228">
        <f t="shared" si="4"/>
        <v>0</v>
      </c>
      <c r="T34" s="20">
        <v>3</v>
      </c>
      <c r="U34" s="20"/>
      <c r="V34" s="227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26">
        <v>300029</v>
      </c>
      <c r="B35" s="223" t="s">
        <v>55</v>
      </c>
      <c r="C35" s="256" t="s">
        <v>56</v>
      </c>
      <c r="D35" s="256"/>
      <c r="E35" s="230" t="s">
        <v>57</v>
      </c>
      <c r="F35" s="27"/>
      <c r="G35" s="133"/>
      <c r="H35" s="133"/>
      <c r="I35" s="133"/>
      <c r="J35" s="133"/>
      <c r="K35" s="228">
        <f t="shared" si="0"/>
        <v>0</v>
      </c>
      <c r="L35" s="228">
        <f t="shared" si="1"/>
        <v>0</v>
      </c>
      <c r="M35" s="228">
        <v>550.4</v>
      </c>
      <c r="N35" s="228">
        <f>+M35*1000/(31*20*15*60)*T35</f>
        <v>2.9591397849462364</v>
      </c>
      <c r="O35" s="228"/>
      <c r="P35" s="228">
        <f t="shared" si="2"/>
        <v>0</v>
      </c>
      <c r="Q35" s="228"/>
      <c r="R35" s="19">
        <f t="shared" si="3"/>
        <v>0</v>
      </c>
      <c r="S35" s="228">
        <f t="shared" si="4"/>
        <v>0</v>
      </c>
      <c r="T35" s="20">
        <v>3</v>
      </c>
      <c r="U35" s="20"/>
      <c r="V35" s="227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26">
        <v>300026</v>
      </c>
      <c r="B36" s="223" t="s">
        <v>55</v>
      </c>
      <c r="C36" s="256" t="s">
        <v>56</v>
      </c>
      <c r="D36" s="256"/>
      <c r="E36" s="230" t="s">
        <v>37</v>
      </c>
      <c r="F36" s="27"/>
      <c r="G36" s="133"/>
      <c r="H36" s="133"/>
      <c r="I36" s="133"/>
      <c r="J36" s="133"/>
      <c r="K36" s="228">
        <f t="shared" si="0"/>
        <v>0</v>
      </c>
      <c r="L36" s="228">
        <f t="shared" si="1"/>
        <v>0</v>
      </c>
      <c r="M36" s="228">
        <v>550.4</v>
      </c>
      <c r="N36" s="228">
        <f>+M36*1000/(31*20*15*60)*T36</f>
        <v>2.9591397849462364</v>
      </c>
      <c r="O36" s="228"/>
      <c r="P36" s="228">
        <f t="shared" si="2"/>
        <v>0</v>
      </c>
      <c r="Q36" s="228"/>
      <c r="R36" s="19">
        <f t="shared" si="3"/>
        <v>0</v>
      </c>
      <c r="S36" s="228">
        <f t="shared" si="4"/>
        <v>0</v>
      </c>
      <c r="T36" s="20">
        <v>3</v>
      </c>
      <c r="U36" s="20"/>
      <c r="V36" s="227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26">
        <v>300032</v>
      </c>
      <c r="B37" s="223">
        <v>3002</v>
      </c>
      <c r="C37" s="256" t="s">
        <v>58</v>
      </c>
      <c r="D37" s="256" t="s">
        <v>59</v>
      </c>
      <c r="E37" s="230" t="s">
        <v>35</v>
      </c>
      <c r="F37" s="27"/>
      <c r="G37" s="133"/>
      <c r="H37" s="133"/>
      <c r="I37" s="133"/>
      <c r="J37" s="133"/>
      <c r="K37" s="228">
        <f t="shared" si="0"/>
        <v>0</v>
      </c>
      <c r="L37" s="228">
        <f t="shared" si="1"/>
        <v>0</v>
      </c>
      <c r="M37" s="228">
        <v>285.7</v>
      </c>
      <c r="N37" s="228">
        <f>+M37*1000/(31*10*13*60)*T37</f>
        <v>7.0893300248138953</v>
      </c>
      <c r="O37" s="228"/>
      <c r="P37" s="228">
        <f t="shared" si="2"/>
        <v>0</v>
      </c>
      <c r="Q37" s="228"/>
      <c r="R37" s="19">
        <f t="shared" si="3"/>
        <v>0</v>
      </c>
      <c r="S37" s="228">
        <f t="shared" si="4"/>
        <v>0</v>
      </c>
      <c r="T37" s="20">
        <v>6</v>
      </c>
      <c r="U37" s="20"/>
      <c r="V37" s="22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26">
        <v>300413</v>
      </c>
      <c r="B38" s="223">
        <v>3002</v>
      </c>
      <c r="C38" s="267" t="s">
        <v>304</v>
      </c>
      <c r="D38" s="268"/>
      <c r="E38" s="230" t="s">
        <v>302</v>
      </c>
      <c r="F38" s="27"/>
      <c r="G38" s="133"/>
      <c r="H38" s="133"/>
      <c r="I38" s="133"/>
      <c r="J38" s="133"/>
      <c r="K38" s="228">
        <f t="shared" si="0"/>
        <v>0</v>
      </c>
      <c r="L38" s="228">
        <f t="shared" si="1"/>
        <v>0</v>
      </c>
      <c r="M38" s="228">
        <v>528.79999999999995</v>
      </c>
      <c r="N38" s="228">
        <f>+M38*1000/(31*10*13*60)*T38</f>
        <v>6.5607940446650126</v>
      </c>
      <c r="O38" s="228"/>
      <c r="P38" s="228">
        <f t="shared" si="2"/>
        <v>0</v>
      </c>
      <c r="Q38" s="228"/>
      <c r="R38" s="19">
        <f t="shared" si="3"/>
        <v>0</v>
      </c>
      <c r="S38" s="228">
        <f t="shared" si="4"/>
        <v>0</v>
      </c>
      <c r="T38" s="20">
        <v>3</v>
      </c>
      <c r="U38" s="20"/>
      <c r="V38" s="227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26">
        <v>300414</v>
      </c>
      <c r="B39" s="223">
        <v>3002</v>
      </c>
      <c r="C39" s="267" t="s">
        <v>304</v>
      </c>
      <c r="D39" s="268"/>
      <c r="E39" s="230" t="s">
        <v>311</v>
      </c>
      <c r="F39" s="27"/>
      <c r="G39" s="133"/>
      <c r="H39" s="133"/>
      <c r="I39" s="133"/>
      <c r="J39" s="133"/>
      <c r="K39" s="228">
        <f t="shared" si="0"/>
        <v>0</v>
      </c>
      <c r="L39" s="228">
        <f t="shared" si="1"/>
        <v>0</v>
      </c>
      <c r="M39" s="228">
        <v>528.79999999999995</v>
      </c>
      <c r="N39" s="228">
        <f>+M39*1000/(31*10*13*60)*T39</f>
        <v>6.5607940446650126</v>
      </c>
      <c r="O39" s="228"/>
      <c r="P39" s="228">
        <f t="shared" si="2"/>
        <v>0</v>
      </c>
      <c r="Q39" s="228"/>
      <c r="R39" s="19">
        <f t="shared" si="3"/>
        <v>0</v>
      </c>
      <c r="S39" s="228">
        <f t="shared" si="4"/>
        <v>0</v>
      </c>
      <c r="T39" s="20">
        <v>3</v>
      </c>
      <c r="U39" s="20"/>
      <c r="V39" s="227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26">
        <v>300415</v>
      </c>
      <c r="B40" s="223">
        <v>3002</v>
      </c>
      <c r="C40" s="267" t="s">
        <v>304</v>
      </c>
      <c r="D40" s="268"/>
      <c r="E40" s="230" t="s">
        <v>303</v>
      </c>
      <c r="F40" s="27"/>
      <c r="G40" s="133"/>
      <c r="H40" s="133"/>
      <c r="I40" s="133"/>
      <c r="J40" s="133"/>
      <c r="K40" s="228">
        <f t="shared" si="0"/>
        <v>0</v>
      </c>
      <c r="L40" s="228">
        <f t="shared" si="1"/>
        <v>0</v>
      </c>
      <c r="M40" s="228">
        <v>528.79999999999995</v>
      </c>
      <c r="N40" s="228">
        <f>+M40*1000/(31*10*13*60)*T40</f>
        <v>6.5607940446650126</v>
      </c>
      <c r="O40" s="228"/>
      <c r="P40" s="228">
        <f t="shared" si="2"/>
        <v>0</v>
      </c>
      <c r="Q40" s="228"/>
      <c r="R40" s="19">
        <f t="shared" si="3"/>
        <v>0</v>
      </c>
      <c r="S40" s="228">
        <f t="shared" si="4"/>
        <v>0</v>
      </c>
      <c r="T40" s="20">
        <v>3</v>
      </c>
      <c r="U40" s="20"/>
      <c r="V40" s="227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26">
        <v>300035</v>
      </c>
      <c r="B41" s="223" t="s">
        <v>60</v>
      </c>
      <c r="C41" s="256" t="s">
        <v>61</v>
      </c>
      <c r="D41" s="256" t="s">
        <v>62</v>
      </c>
      <c r="E41" s="230" t="s">
        <v>35</v>
      </c>
      <c r="F41" s="27"/>
      <c r="G41" s="133"/>
      <c r="H41" s="133"/>
      <c r="I41" s="133"/>
      <c r="J41" s="133"/>
      <c r="K41" s="228">
        <f t="shared" si="0"/>
        <v>0</v>
      </c>
      <c r="L41" s="228">
        <f t="shared" si="1"/>
        <v>0</v>
      </c>
      <c r="M41" s="228">
        <v>366.93</v>
      </c>
      <c r="N41" s="228">
        <f>+M41*1000/(35.8*10*13*60)*T41</f>
        <v>2.6280618822518265</v>
      </c>
      <c r="O41" s="228"/>
      <c r="P41" s="228">
        <f t="shared" si="2"/>
        <v>0</v>
      </c>
      <c r="Q41" s="228"/>
      <c r="R41" s="19">
        <f t="shared" si="3"/>
        <v>0</v>
      </c>
      <c r="S41" s="228">
        <f t="shared" si="4"/>
        <v>0</v>
      </c>
      <c r="T41" s="20">
        <v>2</v>
      </c>
      <c r="U41" s="20"/>
      <c r="V41" s="22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26">
        <v>300036</v>
      </c>
      <c r="B42" s="223" t="s">
        <v>60</v>
      </c>
      <c r="C42" s="256" t="s">
        <v>61</v>
      </c>
      <c r="D42" s="256" t="s">
        <v>62</v>
      </c>
      <c r="E42" s="230" t="s">
        <v>63</v>
      </c>
      <c r="F42" s="27"/>
      <c r="G42" s="133"/>
      <c r="H42" s="133"/>
      <c r="I42" s="133"/>
      <c r="J42" s="133"/>
      <c r="K42" s="228">
        <f t="shared" si="0"/>
        <v>0</v>
      </c>
      <c r="L42" s="228">
        <f t="shared" si="1"/>
        <v>0</v>
      </c>
      <c r="M42" s="228">
        <v>366.93</v>
      </c>
      <c r="N42" s="228">
        <f>+M42*1000/(35.8*10*13*60)*T42</f>
        <v>2.6280618822518265</v>
      </c>
      <c r="O42" s="228"/>
      <c r="P42" s="228">
        <f t="shared" si="2"/>
        <v>0</v>
      </c>
      <c r="Q42" s="228"/>
      <c r="R42" s="19">
        <f t="shared" si="3"/>
        <v>0</v>
      </c>
      <c r="S42" s="228">
        <f t="shared" si="4"/>
        <v>0</v>
      </c>
      <c r="T42" s="20">
        <v>2</v>
      </c>
      <c r="U42" s="20"/>
      <c r="V42" s="22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26">
        <v>300037</v>
      </c>
      <c r="B43" s="223" t="s">
        <v>60</v>
      </c>
      <c r="C43" s="256" t="s">
        <v>61</v>
      </c>
      <c r="D43" s="256" t="s">
        <v>62</v>
      </c>
      <c r="E43" s="230" t="s">
        <v>37</v>
      </c>
      <c r="F43" s="27"/>
      <c r="G43" s="133"/>
      <c r="H43" s="133"/>
      <c r="I43" s="133"/>
      <c r="J43" s="133"/>
      <c r="K43" s="228">
        <f t="shared" si="0"/>
        <v>0</v>
      </c>
      <c r="L43" s="228">
        <f t="shared" si="1"/>
        <v>0</v>
      </c>
      <c r="M43" s="228">
        <v>366.93</v>
      </c>
      <c r="N43" s="228">
        <f>+M43*1000/(35.8*10*13*60)*T43</f>
        <v>2.6280618822518265</v>
      </c>
      <c r="O43" s="228"/>
      <c r="P43" s="228">
        <f t="shared" si="2"/>
        <v>0</v>
      </c>
      <c r="Q43" s="228"/>
      <c r="R43" s="19">
        <f t="shared" si="3"/>
        <v>0</v>
      </c>
      <c r="S43" s="228">
        <f t="shared" si="4"/>
        <v>0</v>
      </c>
      <c r="T43" s="20">
        <v>2</v>
      </c>
      <c r="U43" s="20"/>
      <c r="V43" s="22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26">
        <v>300038</v>
      </c>
      <c r="B44" s="223" t="s">
        <v>60</v>
      </c>
      <c r="C44" s="256" t="s">
        <v>64</v>
      </c>
      <c r="D44" s="256" t="s">
        <v>65</v>
      </c>
      <c r="E44" s="230" t="s">
        <v>35</v>
      </c>
      <c r="F44" s="27"/>
      <c r="G44" s="133"/>
      <c r="H44" s="133"/>
      <c r="I44" s="133"/>
      <c r="J44" s="133"/>
      <c r="K44" s="228">
        <f t="shared" si="0"/>
        <v>0</v>
      </c>
      <c r="L44" s="228">
        <f t="shared" si="1"/>
        <v>0</v>
      </c>
      <c r="M44" s="228">
        <v>301.14</v>
      </c>
      <c r="N44" s="228">
        <f>+M44*1000/(35.8*10*13*60)*T44</f>
        <v>5.3921357971637294</v>
      </c>
      <c r="O44" s="228"/>
      <c r="P44" s="228">
        <f t="shared" si="2"/>
        <v>0</v>
      </c>
      <c r="Q44" s="228"/>
      <c r="R44" s="19">
        <f t="shared" si="3"/>
        <v>0</v>
      </c>
      <c r="S44" s="228">
        <f t="shared" si="4"/>
        <v>0</v>
      </c>
      <c r="T44" s="20">
        <v>5</v>
      </c>
      <c r="U44" s="20"/>
      <c r="V44" s="22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26">
        <v>300039</v>
      </c>
      <c r="B45" s="223" t="s">
        <v>60</v>
      </c>
      <c r="C45" s="256" t="s">
        <v>64</v>
      </c>
      <c r="D45" s="256" t="s">
        <v>65</v>
      </c>
      <c r="E45" s="230" t="s">
        <v>66</v>
      </c>
      <c r="F45" s="27"/>
      <c r="G45" s="133"/>
      <c r="H45" s="133"/>
      <c r="I45" s="133"/>
      <c r="J45" s="133"/>
      <c r="K45" s="228">
        <f t="shared" si="0"/>
        <v>0</v>
      </c>
      <c r="L45" s="228">
        <f t="shared" si="1"/>
        <v>0</v>
      </c>
      <c r="M45" s="228">
        <v>310.39999999999998</v>
      </c>
      <c r="N45" s="228">
        <f>+M45*1000/(35.8*10*13*60)*T45</f>
        <v>5.557942988110586</v>
      </c>
      <c r="O45" s="228"/>
      <c r="P45" s="228">
        <f t="shared" si="2"/>
        <v>0</v>
      </c>
      <c r="Q45" s="228"/>
      <c r="R45" s="19">
        <f t="shared" si="3"/>
        <v>0</v>
      </c>
      <c r="S45" s="228">
        <f t="shared" si="4"/>
        <v>0</v>
      </c>
      <c r="T45" s="20">
        <v>5</v>
      </c>
      <c r="U45" s="20"/>
      <c r="V45" s="22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26">
        <v>300416</v>
      </c>
      <c r="B46" s="223" t="s">
        <v>67</v>
      </c>
      <c r="C46" s="267" t="s">
        <v>68</v>
      </c>
      <c r="D46" s="268"/>
      <c r="E46" s="230" t="s">
        <v>69</v>
      </c>
      <c r="F46" s="229"/>
      <c r="G46" s="133"/>
      <c r="H46" s="133"/>
      <c r="I46" s="133"/>
      <c r="J46" s="133"/>
      <c r="K46" s="228">
        <f t="shared" si="0"/>
        <v>0</v>
      </c>
      <c r="L46" s="228">
        <f t="shared" si="1"/>
        <v>0</v>
      </c>
      <c r="M46" s="228">
        <v>385.6</v>
      </c>
      <c r="N46" s="228">
        <f>+M46*1000/(25.4*20*15*60)*T46</f>
        <v>2.5301837270341205</v>
      </c>
      <c r="O46" s="228"/>
      <c r="P46" s="228">
        <f t="shared" si="2"/>
        <v>0</v>
      </c>
      <c r="Q46" s="228"/>
      <c r="R46" s="19">
        <f t="shared" si="3"/>
        <v>0</v>
      </c>
      <c r="S46" s="228">
        <f t="shared" si="4"/>
        <v>0</v>
      </c>
      <c r="T46" s="20">
        <v>3</v>
      </c>
      <c r="U46" s="20"/>
      <c r="V46" s="227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26">
        <v>300417</v>
      </c>
      <c r="B47" s="223" t="s">
        <v>67</v>
      </c>
      <c r="C47" s="267" t="s">
        <v>68</v>
      </c>
      <c r="D47" s="268"/>
      <c r="E47" s="230" t="s">
        <v>70</v>
      </c>
      <c r="F47" s="229"/>
      <c r="G47" s="133"/>
      <c r="H47" s="133"/>
      <c r="I47" s="133"/>
      <c r="J47" s="133"/>
      <c r="K47" s="228">
        <f t="shared" si="0"/>
        <v>0</v>
      </c>
      <c r="L47" s="228">
        <f t="shared" si="1"/>
        <v>0</v>
      </c>
      <c r="M47" s="228">
        <v>385.6</v>
      </c>
      <c r="N47" s="228">
        <f>+M47*1000/(25.4*20*15*60)*T47</f>
        <v>2.5301837270341205</v>
      </c>
      <c r="O47" s="228"/>
      <c r="P47" s="228">
        <f t="shared" si="2"/>
        <v>0</v>
      </c>
      <c r="Q47" s="228"/>
      <c r="R47" s="19">
        <f t="shared" si="3"/>
        <v>0</v>
      </c>
      <c r="S47" s="228">
        <f t="shared" si="4"/>
        <v>0</v>
      </c>
      <c r="T47" s="20">
        <v>3</v>
      </c>
      <c r="U47" s="20"/>
      <c r="V47" s="227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26">
        <v>300418</v>
      </c>
      <c r="B48" s="223" t="s">
        <v>67</v>
      </c>
      <c r="C48" s="267" t="s">
        <v>68</v>
      </c>
      <c r="D48" s="268"/>
      <c r="E48" s="230" t="s">
        <v>71</v>
      </c>
      <c r="F48" s="229"/>
      <c r="G48" s="133"/>
      <c r="H48" s="133"/>
      <c r="I48" s="133"/>
      <c r="J48" s="133"/>
      <c r="K48" s="228">
        <f t="shared" si="0"/>
        <v>0</v>
      </c>
      <c r="L48" s="228">
        <f t="shared" si="1"/>
        <v>0</v>
      </c>
      <c r="M48" s="228">
        <v>385.6</v>
      </c>
      <c r="N48" s="228">
        <f>+M48*1000/(25.4*20*15*60)*T48</f>
        <v>2.5301837270341205</v>
      </c>
      <c r="O48" s="228"/>
      <c r="P48" s="228">
        <f t="shared" si="2"/>
        <v>0</v>
      </c>
      <c r="Q48" s="228"/>
      <c r="R48" s="19">
        <f t="shared" si="3"/>
        <v>0</v>
      </c>
      <c r="S48" s="228">
        <f t="shared" si="4"/>
        <v>0</v>
      </c>
      <c r="T48" s="20">
        <v>3</v>
      </c>
      <c r="U48" s="20"/>
      <c r="V48" s="227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26">
        <v>300419</v>
      </c>
      <c r="B49" s="223" t="s">
        <v>67</v>
      </c>
      <c r="C49" s="267" t="s">
        <v>68</v>
      </c>
      <c r="D49" s="268"/>
      <c r="E49" s="230" t="s">
        <v>72</v>
      </c>
      <c r="F49" s="229"/>
      <c r="G49" s="133"/>
      <c r="H49" s="133"/>
      <c r="I49" s="133"/>
      <c r="J49" s="133"/>
      <c r="K49" s="228">
        <f t="shared" si="0"/>
        <v>0</v>
      </c>
      <c r="L49" s="228">
        <f t="shared" si="1"/>
        <v>0</v>
      </c>
      <c r="M49" s="228">
        <v>385.6</v>
      </c>
      <c r="N49" s="228">
        <f>+M49*1000/(25.4*20*15*60)*T49</f>
        <v>2.5301837270341205</v>
      </c>
      <c r="O49" s="228"/>
      <c r="P49" s="228">
        <f t="shared" si="2"/>
        <v>0</v>
      </c>
      <c r="Q49" s="228"/>
      <c r="R49" s="19">
        <f t="shared" si="3"/>
        <v>0</v>
      </c>
      <c r="S49" s="228">
        <f t="shared" si="4"/>
        <v>0</v>
      </c>
      <c r="T49" s="20">
        <v>3</v>
      </c>
      <c r="U49" s="20"/>
      <c r="V49" s="227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26">
        <v>300260</v>
      </c>
      <c r="B50" s="223" t="s">
        <v>67</v>
      </c>
      <c r="C50" s="256" t="s">
        <v>73</v>
      </c>
      <c r="D50" s="256"/>
      <c r="E50" s="230" t="s">
        <v>74</v>
      </c>
      <c r="F50" s="27"/>
      <c r="G50" s="133"/>
      <c r="H50" s="133"/>
      <c r="I50" s="133"/>
      <c r="J50" s="133"/>
      <c r="K50" s="228">
        <f t="shared" si="0"/>
        <v>0</v>
      </c>
      <c r="L50" s="228">
        <f t="shared" si="1"/>
        <v>0</v>
      </c>
      <c r="M50" s="228">
        <v>434.33</v>
      </c>
      <c r="N50" s="228">
        <f>+M50*1000/(42.7*10*15*60)*T50</f>
        <v>2.2603695029924538</v>
      </c>
      <c r="O50" s="228"/>
      <c r="P50" s="228">
        <f t="shared" si="2"/>
        <v>0</v>
      </c>
      <c r="Q50" s="228"/>
      <c r="R50" s="19">
        <f t="shared" si="3"/>
        <v>0</v>
      </c>
      <c r="S50" s="228">
        <f t="shared" si="4"/>
        <v>0</v>
      </c>
      <c r="T50" s="20">
        <v>2</v>
      </c>
      <c r="U50" s="20"/>
      <c r="V50" s="22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26">
        <v>300261</v>
      </c>
      <c r="B51" s="223" t="s">
        <v>67</v>
      </c>
      <c r="C51" s="256" t="s">
        <v>73</v>
      </c>
      <c r="D51" s="256"/>
      <c r="E51" s="230" t="s">
        <v>41</v>
      </c>
      <c r="F51" s="27"/>
      <c r="G51" s="133"/>
      <c r="H51" s="133"/>
      <c r="I51" s="133"/>
      <c r="J51" s="133"/>
      <c r="K51" s="228">
        <f t="shared" si="0"/>
        <v>0</v>
      </c>
      <c r="L51" s="228">
        <f t="shared" si="1"/>
        <v>0</v>
      </c>
      <c r="M51" s="228">
        <v>434.33</v>
      </c>
      <c r="N51" s="228">
        <f>+M51*1000/(42.7*10*15*60)*T51</f>
        <v>2.2603695029924538</v>
      </c>
      <c r="O51" s="228"/>
      <c r="P51" s="228">
        <f t="shared" si="2"/>
        <v>0</v>
      </c>
      <c r="Q51" s="228"/>
      <c r="R51" s="19">
        <f t="shared" si="3"/>
        <v>0</v>
      </c>
      <c r="S51" s="228">
        <f t="shared" si="4"/>
        <v>0</v>
      </c>
      <c r="T51" s="20">
        <v>2</v>
      </c>
      <c r="U51" s="20"/>
      <c r="V51" s="22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26">
        <v>300262</v>
      </c>
      <c r="B52" s="223" t="s">
        <v>67</v>
      </c>
      <c r="C52" s="256" t="s">
        <v>73</v>
      </c>
      <c r="D52" s="256"/>
      <c r="E52" s="230" t="s">
        <v>39</v>
      </c>
      <c r="F52" s="27"/>
      <c r="G52" s="133"/>
      <c r="H52" s="133"/>
      <c r="I52" s="133"/>
      <c r="J52" s="133"/>
      <c r="K52" s="228">
        <f t="shared" si="0"/>
        <v>0</v>
      </c>
      <c r="L52" s="228">
        <f t="shared" si="1"/>
        <v>0</v>
      </c>
      <c r="M52" s="228">
        <v>434.33</v>
      </c>
      <c r="N52" s="228">
        <f>+M52*1000/(42.7*10*15*60)*T52</f>
        <v>2.2603695029924538</v>
      </c>
      <c r="O52" s="228"/>
      <c r="P52" s="228">
        <f t="shared" si="2"/>
        <v>0</v>
      </c>
      <c r="Q52" s="228"/>
      <c r="R52" s="19">
        <f t="shared" si="3"/>
        <v>0</v>
      </c>
      <c r="S52" s="228">
        <f t="shared" si="4"/>
        <v>0</v>
      </c>
      <c r="T52" s="20">
        <v>2</v>
      </c>
      <c r="U52" s="20"/>
      <c r="V52" s="22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26">
        <v>300263</v>
      </c>
      <c r="B53" s="223" t="s">
        <v>67</v>
      </c>
      <c r="C53" s="256" t="s">
        <v>73</v>
      </c>
      <c r="D53" s="256"/>
      <c r="E53" s="230" t="s">
        <v>54</v>
      </c>
      <c r="F53" s="27"/>
      <c r="G53" s="133"/>
      <c r="H53" s="133"/>
      <c r="I53" s="133"/>
      <c r="J53" s="133"/>
      <c r="K53" s="228">
        <f t="shared" si="0"/>
        <v>0</v>
      </c>
      <c r="L53" s="228">
        <f t="shared" si="1"/>
        <v>0</v>
      </c>
      <c r="M53" s="228">
        <v>434.33</v>
      </c>
      <c r="N53" s="228">
        <f>+M53*1000/(42.7*10*15*60)*T53</f>
        <v>2.2603695029924538</v>
      </c>
      <c r="O53" s="228"/>
      <c r="P53" s="228">
        <f t="shared" si="2"/>
        <v>0</v>
      </c>
      <c r="Q53" s="228"/>
      <c r="R53" s="19">
        <f t="shared" si="3"/>
        <v>0</v>
      </c>
      <c r="S53" s="228">
        <f t="shared" si="4"/>
        <v>0</v>
      </c>
      <c r="T53" s="20">
        <v>2</v>
      </c>
      <c r="U53" s="20"/>
      <c r="V53" s="22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26">
        <v>300051</v>
      </c>
      <c r="B54" s="223">
        <v>4503</v>
      </c>
      <c r="C54" s="256" t="s">
        <v>75</v>
      </c>
      <c r="D54" s="256" t="s">
        <v>76</v>
      </c>
      <c r="E54" s="230" t="s">
        <v>40</v>
      </c>
      <c r="F54" s="27"/>
      <c r="G54" s="133"/>
      <c r="H54" s="133"/>
      <c r="I54" s="133"/>
      <c r="J54" s="133"/>
      <c r="K54" s="228">
        <f t="shared" si="0"/>
        <v>0</v>
      </c>
      <c r="L54" s="228">
        <f t="shared" si="1"/>
        <v>0</v>
      </c>
      <c r="M54" s="228">
        <v>545.9</v>
      </c>
      <c r="N54" s="228">
        <f>+M54*1000/(41.5*10*16*60)*T54</f>
        <v>2.7404618473895583</v>
      </c>
      <c r="O54" s="228"/>
      <c r="P54" s="228">
        <f t="shared" si="2"/>
        <v>0</v>
      </c>
      <c r="Q54" s="228"/>
      <c r="R54" s="19">
        <f t="shared" si="3"/>
        <v>0</v>
      </c>
      <c r="S54" s="228">
        <f t="shared" si="4"/>
        <v>0</v>
      </c>
      <c r="T54" s="22">
        <v>2</v>
      </c>
      <c r="U54" s="20"/>
      <c r="V54" s="22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26">
        <v>300052</v>
      </c>
      <c r="B55" s="223">
        <v>4503</v>
      </c>
      <c r="C55" s="256" t="s">
        <v>75</v>
      </c>
      <c r="D55" s="256" t="s">
        <v>76</v>
      </c>
      <c r="E55" s="230" t="s">
        <v>39</v>
      </c>
      <c r="F55" s="27"/>
      <c r="G55" s="133">
        <v>2.1</v>
      </c>
      <c r="H55" s="133">
        <v>0.1</v>
      </c>
      <c r="I55" s="133">
        <f>2+H55</f>
        <v>2.1</v>
      </c>
      <c r="J55" s="133"/>
      <c r="K55" s="228">
        <f t="shared" si="0"/>
        <v>1146.3900000000001</v>
      </c>
      <c r="L55" s="228">
        <f t="shared" si="1"/>
        <v>1146.3900000000001</v>
      </c>
      <c r="M55" s="228">
        <v>545.9</v>
      </c>
      <c r="N55" s="228">
        <f>+M55*1000/(41.5*10*16*60)*T55</f>
        <v>2.7404618473895583</v>
      </c>
      <c r="O55" s="228"/>
      <c r="P55" s="228">
        <f t="shared" si="2"/>
        <v>5.7549698795180726</v>
      </c>
      <c r="Q55" s="228">
        <v>3.5</v>
      </c>
      <c r="R55" s="19">
        <f t="shared" si="3"/>
        <v>7</v>
      </c>
      <c r="S55" s="228">
        <f t="shared" si="4"/>
        <v>1.2450301204819274</v>
      </c>
      <c r="T55" s="20">
        <v>2</v>
      </c>
      <c r="U55" s="20">
        <v>2</v>
      </c>
      <c r="V55" s="227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26">
        <v>300054</v>
      </c>
      <c r="B56" s="223" t="s">
        <v>67</v>
      </c>
      <c r="C56" s="256" t="s">
        <v>75</v>
      </c>
      <c r="D56" s="256" t="s">
        <v>76</v>
      </c>
      <c r="E56" s="230" t="s">
        <v>38</v>
      </c>
      <c r="F56" s="27"/>
      <c r="G56" s="133"/>
      <c r="H56" s="133"/>
      <c r="I56" s="133"/>
      <c r="J56" s="133"/>
      <c r="K56" s="228">
        <f t="shared" si="0"/>
        <v>0</v>
      </c>
      <c r="L56" s="228">
        <f t="shared" si="1"/>
        <v>0</v>
      </c>
      <c r="M56" s="228">
        <v>545.9</v>
      </c>
      <c r="N56" s="228">
        <f>+M56*1000/(41.5*10*16*60)*T56</f>
        <v>2.7404618473895583</v>
      </c>
      <c r="O56" s="228"/>
      <c r="P56" s="228">
        <f t="shared" si="2"/>
        <v>0</v>
      </c>
      <c r="Q56" s="228"/>
      <c r="R56" s="19">
        <f t="shared" si="3"/>
        <v>0</v>
      </c>
      <c r="S56" s="228">
        <f t="shared" si="4"/>
        <v>0</v>
      </c>
      <c r="T56" s="20">
        <v>2</v>
      </c>
      <c r="U56" s="20"/>
      <c r="V56" s="23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26">
        <v>300436</v>
      </c>
      <c r="B57" s="223">
        <v>4503</v>
      </c>
      <c r="C57" s="256" t="s">
        <v>75</v>
      </c>
      <c r="D57" s="256" t="s">
        <v>76</v>
      </c>
      <c r="E57" s="230" t="s">
        <v>309</v>
      </c>
      <c r="F57" s="27"/>
      <c r="G57" s="133">
        <v>6.4</v>
      </c>
      <c r="H57" s="133"/>
      <c r="I57" s="133">
        <f>7-J57/500</f>
        <v>6.4</v>
      </c>
      <c r="J57" s="133">
        <v>300</v>
      </c>
      <c r="K57" s="228">
        <f t="shared" si="0"/>
        <v>3493.76</v>
      </c>
      <c r="L57" s="228">
        <f t="shared" si="1"/>
        <v>3493.76</v>
      </c>
      <c r="M57" s="228">
        <v>545.9</v>
      </c>
      <c r="N57" s="228">
        <f>+M57*1000/(41.5*10*16*60)*T57</f>
        <v>2.7404618473895583</v>
      </c>
      <c r="O57" s="228">
        <v>0.5</v>
      </c>
      <c r="P57" s="228">
        <f t="shared" si="2"/>
        <v>18.538955823293175</v>
      </c>
      <c r="Q57" s="228">
        <v>7.5</v>
      </c>
      <c r="R57" s="19">
        <f t="shared" si="3"/>
        <v>15</v>
      </c>
      <c r="S57" s="228">
        <f t="shared" si="4"/>
        <v>-3.5389558232931755</v>
      </c>
      <c r="T57" s="20">
        <v>2</v>
      </c>
      <c r="U57" s="20">
        <v>2</v>
      </c>
      <c r="V57" s="235">
        <f t="array" ref="V57">IF(ISERROR(L57/K57),"",L57/K57)</f>
        <v>1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26">
        <v>300050</v>
      </c>
      <c r="B58" s="223" t="s">
        <v>67</v>
      </c>
      <c r="C58" s="256" t="s">
        <v>77</v>
      </c>
      <c r="D58" s="256" t="s">
        <v>78</v>
      </c>
      <c r="E58" s="230" t="s">
        <v>79</v>
      </c>
      <c r="F58" s="27"/>
      <c r="G58" s="133"/>
      <c r="H58" s="133"/>
      <c r="I58" s="133"/>
      <c r="J58" s="133"/>
      <c r="K58" s="228">
        <f t="shared" si="0"/>
        <v>0</v>
      </c>
      <c r="L58" s="228">
        <f t="shared" si="1"/>
        <v>0</v>
      </c>
      <c r="M58" s="228">
        <v>427.5</v>
      </c>
      <c r="N58" s="228">
        <f>+M58*1000/(45*10*14*60)*T58</f>
        <v>5.6547619047619051</v>
      </c>
      <c r="O58" s="228"/>
      <c r="P58" s="228">
        <f t="shared" si="2"/>
        <v>0</v>
      </c>
      <c r="Q58" s="228"/>
      <c r="R58" s="19">
        <f t="shared" si="3"/>
        <v>0</v>
      </c>
      <c r="S58" s="228">
        <f t="shared" si="4"/>
        <v>0</v>
      </c>
      <c r="T58" s="20">
        <v>5</v>
      </c>
      <c r="U58" s="20"/>
      <c r="V58" s="23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26">
        <v>300045</v>
      </c>
      <c r="B59" s="223" t="s">
        <v>67</v>
      </c>
      <c r="C59" s="256" t="s">
        <v>77</v>
      </c>
      <c r="D59" s="256" t="s">
        <v>78</v>
      </c>
      <c r="E59" s="230" t="s">
        <v>35</v>
      </c>
      <c r="F59" s="27"/>
      <c r="G59" s="133"/>
      <c r="H59" s="133"/>
      <c r="I59" s="133"/>
      <c r="J59" s="133"/>
      <c r="K59" s="228">
        <f t="shared" si="0"/>
        <v>0</v>
      </c>
      <c r="L59" s="228">
        <f t="shared" si="1"/>
        <v>0</v>
      </c>
      <c r="M59" s="228">
        <v>406.6</v>
      </c>
      <c r="N59" s="228">
        <f>+M59*1000/(45*10*13*60)*T59</f>
        <v>5.7920227920227916</v>
      </c>
      <c r="O59" s="228"/>
      <c r="P59" s="228">
        <f t="shared" si="2"/>
        <v>0</v>
      </c>
      <c r="Q59" s="228"/>
      <c r="R59" s="19">
        <f t="shared" si="3"/>
        <v>0</v>
      </c>
      <c r="S59" s="228">
        <f t="shared" si="4"/>
        <v>0</v>
      </c>
      <c r="T59" s="20">
        <v>5</v>
      </c>
      <c r="U59" s="20"/>
      <c r="V59" s="23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26">
        <v>300422</v>
      </c>
      <c r="B60" s="223" t="s">
        <v>67</v>
      </c>
      <c r="C60" s="267" t="s">
        <v>301</v>
      </c>
      <c r="D60" s="268"/>
      <c r="E60" s="230" t="s">
        <v>54</v>
      </c>
      <c r="F60" s="27"/>
      <c r="G60" s="133"/>
      <c r="H60" s="133"/>
      <c r="I60" s="133"/>
      <c r="J60" s="133"/>
      <c r="K60" s="228">
        <f t="shared" si="0"/>
        <v>0</v>
      </c>
      <c r="L60" s="228">
        <f t="shared" si="1"/>
        <v>0</v>
      </c>
      <c r="M60" s="228">
        <v>429.8</v>
      </c>
      <c r="N60" s="228">
        <f>+M60*1000/(45*10*13*60)*T60</f>
        <v>3.6735042735042738</v>
      </c>
      <c r="O60" s="228"/>
      <c r="P60" s="228">
        <f t="shared" si="2"/>
        <v>0</v>
      </c>
      <c r="Q60" s="228"/>
      <c r="R60" s="19">
        <f t="shared" si="3"/>
        <v>0</v>
      </c>
      <c r="S60" s="228">
        <f t="shared" si="4"/>
        <v>0</v>
      </c>
      <c r="T60" s="20">
        <v>3</v>
      </c>
      <c r="U60" s="20"/>
      <c r="V60" s="235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26">
        <v>300421</v>
      </c>
      <c r="B61" s="223" t="s">
        <v>67</v>
      </c>
      <c r="C61" s="267" t="s">
        <v>301</v>
      </c>
      <c r="D61" s="268"/>
      <c r="E61" s="230" t="s">
        <v>80</v>
      </c>
      <c r="F61" s="27"/>
      <c r="G61" s="133"/>
      <c r="H61" s="133"/>
      <c r="I61" s="133"/>
      <c r="J61" s="133"/>
      <c r="K61" s="228">
        <f t="shared" si="0"/>
        <v>0</v>
      </c>
      <c r="L61" s="228">
        <f t="shared" si="1"/>
        <v>0</v>
      </c>
      <c r="M61" s="228">
        <v>429.8</v>
      </c>
      <c r="N61" s="228">
        <f>+M61*1000/(45*10*13*60)*T61</f>
        <v>3.6735042735042738</v>
      </c>
      <c r="O61" s="228"/>
      <c r="P61" s="228">
        <f t="shared" si="2"/>
        <v>0</v>
      </c>
      <c r="Q61" s="228"/>
      <c r="R61" s="19">
        <f t="shared" si="3"/>
        <v>0</v>
      </c>
      <c r="S61" s="228">
        <f t="shared" si="4"/>
        <v>0</v>
      </c>
      <c r="T61" s="20">
        <v>3</v>
      </c>
      <c r="U61" s="20"/>
      <c r="V61" s="235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26">
        <v>300149</v>
      </c>
      <c r="B62" s="223" t="s">
        <v>67</v>
      </c>
      <c r="C62" s="256" t="s">
        <v>81</v>
      </c>
      <c r="D62" s="256" t="s">
        <v>82</v>
      </c>
      <c r="E62" s="230" t="s">
        <v>80</v>
      </c>
      <c r="F62" s="27"/>
      <c r="G62" s="133"/>
      <c r="H62" s="133"/>
      <c r="I62" s="133"/>
      <c r="J62" s="133"/>
      <c r="K62" s="228">
        <f t="shared" si="0"/>
        <v>0</v>
      </c>
      <c r="L62" s="228">
        <f t="shared" si="1"/>
        <v>0</v>
      </c>
      <c r="M62" s="228">
        <v>589.1</v>
      </c>
      <c r="N62" s="228">
        <f>+M62*1000/(67.1*10*13*60)*T62</f>
        <v>3.3767052619511633</v>
      </c>
      <c r="O62" s="228"/>
      <c r="P62" s="228">
        <f t="shared" si="2"/>
        <v>0</v>
      </c>
      <c r="Q62" s="228"/>
      <c r="R62" s="19">
        <f t="shared" si="3"/>
        <v>0</v>
      </c>
      <c r="S62" s="228">
        <f t="shared" si="4"/>
        <v>0</v>
      </c>
      <c r="T62" s="20">
        <v>3</v>
      </c>
      <c r="U62" s="20"/>
      <c r="V62" s="23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26">
        <v>300150</v>
      </c>
      <c r="B63" s="223" t="s">
        <v>67</v>
      </c>
      <c r="C63" s="256" t="s">
        <v>81</v>
      </c>
      <c r="D63" s="256" t="s">
        <v>82</v>
      </c>
      <c r="E63" s="230" t="s">
        <v>54</v>
      </c>
      <c r="F63" s="27"/>
      <c r="G63" s="133"/>
      <c r="H63" s="133"/>
      <c r="I63" s="133"/>
      <c r="J63" s="133"/>
      <c r="K63" s="228">
        <f t="shared" si="0"/>
        <v>0</v>
      </c>
      <c r="L63" s="228">
        <f t="shared" si="1"/>
        <v>0</v>
      </c>
      <c r="M63" s="228">
        <v>589.1</v>
      </c>
      <c r="N63" s="228">
        <f>+M63*1000/(67.1*10*13*60)*T63</f>
        <v>3.3767052619511633</v>
      </c>
      <c r="O63" s="228"/>
      <c r="P63" s="228">
        <f t="shared" si="2"/>
        <v>0</v>
      </c>
      <c r="Q63" s="228"/>
      <c r="R63" s="19">
        <f t="shared" si="3"/>
        <v>0</v>
      </c>
      <c r="S63" s="228">
        <f t="shared" si="4"/>
        <v>0</v>
      </c>
      <c r="T63" s="20">
        <v>3</v>
      </c>
      <c r="U63" s="20"/>
      <c r="V63" s="23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26">
        <v>300330</v>
      </c>
      <c r="B64" s="223" t="s">
        <v>67</v>
      </c>
      <c r="C64" s="267" t="s">
        <v>83</v>
      </c>
      <c r="D64" s="268"/>
      <c r="E64" s="230" t="s">
        <v>84</v>
      </c>
      <c r="F64" s="27"/>
      <c r="G64" s="133"/>
      <c r="H64" s="133"/>
      <c r="I64" s="133"/>
      <c r="J64" s="133"/>
      <c r="K64" s="228">
        <f t="shared" si="0"/>
        <v>0</v>
      </c>
      <c r="L64" s="228">
        <f t="shared" si="1"/>
        <v>0</v>
      </c>
      <c r="M64" s="228">
        <v>416.3</v>
      </c>
      <c r="N64" s="228">
        <f t="shared" ref="N64:N70" si="6">+M64*1000/(45*10*18*60)*T64</f>
        <v>1.7131687242798355</v>
      </c>
      <c r="O64" s="228"/>
      <c r="P64" s="228">
        <f t="shared" si="2"/>
        <v>0</v>
      </c>
      <c r="Q64" s="228"/>
      <c r="R64" s="19">
        <f t="shared" si="3"/>
        <v>0</v>
      </c>
      <c r="S64" s="228">
        <f t="shared" si="4"/>
        <v>0</v>
      </c>
      <c r="T64" s="20">
        <v>2</v>
      </c>
      <c r="U64" s="20"/>
      <c r="V64" s="23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26">
        <v>300331</v>
      </c>
      <c r="B65" s="223" t="s">
        <v>67</v>
      </c>
      <c r="C65" s="267" t="s">
        <v>83</v>
      </c>
      <c r="D65" s="268"/>
      <c r="E65" s="230" t="s">
        <v>49</v>
      </c>
      <c r="F65" s="27"/>
      <c r="G65" s="133"/>
      <c r="H65" s="133"/>
      <c r="I65" s="133"/>
      <c r="J65" s="133"/>
      <c r="K65" s="228">
        <f t="shared" si="0"/>
        <v>0</v>
      </c>
      <c r="L65" s="228">
        <f t="shared" si="1"/>
        <v>0</v>
      </c>
      <c r="M65" s="228">
        <v>416.3</v>
      </c>
      <c r="N65" s="228">
        <f t="shared" si="6"/>
        <v>1.7131687242798355</v>
      </c>
      <c r="O65" s="228"/>
      <c r="P65" s="228">
        <f t="shared" si="2"/>
        <v>0</v>
      </c>
      <c r="Q65" s="228"/>
      <c r="R65" s="19">
        <f t="shared" si="3"/>
        <v>0</v>
      </c>
      <c r="S65" s="228">
        <f t="shared" si="4"/>
        <v>0</v>
      </c>
      <c r="T65" s="20">
        <v>2</v>
      </c>
      <c r="U65" s="20"/>
      <c r="V65" s="235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26">
        <v>300332</v>
      </c>
      <c r="B66" s="223" t="s">
        <v>67</v>
      </c>
      <c r="C66" s="267" t="s">
        <v>83</v>
      </c>
      <c r="D66" s="268"/>
      <c r="E66" s="230" t="s">
        <v>85</v>
      </c>
      <c r="F66" s="27"/>
      <c r="G66" s="133"/>
      <c r="H66" s="133"/>
      <c r="I66" s="133"/>
      <c r="J66" s="133"/>
      <c r="K66" s="228">
        <f t="shared" si="0"/>
        <v>0</v>
      </c>
      <c r="L66" s="228">
        <f t="shared" si="1"/>
        <v>0</v>
      </c>
      <c r="M66" s="228">
        <v>416.3</v>
      </c>
      <c r="N66" s="228">
        <f t="shared" si="6"/>
        <v>1.7131687242798355</v>
      </c>
      <c r="O66" s="228"/>
      <c r="P66" s="228">
        <f t="shared" si="2"/>
        <v>0</v>
      </c>
      <c r="Q66" s="228"/>
      <c r="R66" s="19">
        <f t="shared" si="3"/>
        <v>0</v>
      </c>
      <c r="S66" s="228">
        <f t="shared" si="4"/>
        <v>0</v>
      </c>
      <c r="T66" s="20">
        <v>2</v>
      </c>
      <c r="U66" s="20"/>
      <c r="V66" s="235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26">
        <v>300333</v>
      </c>
      <c r="B67" s="223" t="s">
        <v>67</v>
      </c>
      <c r="C67" s="267" t="s">
        <v>86</v>
      </c>
      <c r="D67" s="268"/>
      <c r="E67" s="230" t="s">
        <v>84</v>
      </c>
      <c r="F67" s="27"/>
      <c r="G67" s="133"/>
      <c r="H67" s="133"/>
      <c r="I67" s="133"/>
      <c r="J67" s="133"/>
      <c r="K67" s="228">
        <f t="shared" si="0"/>
        <v>0</v>
      </c>
      <c r="L67" s="228">
        <f t="shared" si="1"/>
        <v>0</v>
      </c>
      <c r="M67" s="228">
        <v>416.3</v>
      </c>
      <c r="N67" s="228">
        <f t="shared" si="6"/>
        <v>1.7131687242798355</v>
      </c>
      <c r="O67" s="228"/>
      <c r="P67" s="228">
        <f t="shared" si="2"/>
        <v>0</v>
      </c>
      <c r="Q67" s="228"/>
      <c r="R67" s="19">
        <f t="shared" si="3"/>
        <v>0</v>
      </c>
      <c r="S67" s="228">
        <f t="shared" si="4"/>
        <v>0</v>
      </c>
      <c r="T67" s="20">
        <v>2</v>
      </c>
      <c r="U67" s="20"/>
      <c r="V67" s="235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26">
        <v>300334</v>
      </c>
      <c r="B68" s="223" t="s">
        <v>67</v>
      </c>
      <c r="C68" s="267" t="s">
        <v>86</v>
      </c>
      <c r="D68" s="268"/>
      <c r="E68" s="230" t="s">
        <v>85</v>
      </c>
      <c r="F68" s="27"/>
      <c r="G68" s="133"/>
      <c r="H68" s="133"/>
      <c r="I68" s="133"/>
      <c r="J68" s="133"/>
      <c r="K68" s="228">
        <f t="shared" si="0"/>
        <v>0</v>
      </c>
      <c r="L68" s="228">
        <f t="shared" si="1"/>
        <v>0</v>
      </c>
      <c r="M68" s="228">
        <v>416.3</v>
      </c>
      <c r="N68" s="228">
        <f t="shared" si="6"/>
        <v>1.7131687242798355</v>
      </c>
      <c r="O68" s="228"/>
      <c r="P68" s="228">
        <f t="shared" si="2"/>
        <v>0</v>
      </c>
      <c r="Q68" s="228"/>
      <c r="R68" s="19">
        <f t="shared" si="3"/>
        <v>0</v>
      </c>
      <c r="S68" s="228">
        <f t="shared" si="4"/>
        <v>0</v>
      </c>
      <c r="T68" s="20">
        <v>2</v>
      </c>
      <c r="U68" s="20"/>
      <c r="V68" s="235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26">
        <v>300335</v>
      </c>
      <c r="B69" s="223" t="s">
        <v>67</v>
      </c>
      <c r="C69" s="267" t="s">
        <v>86</v>
      </c>
      <c r="D69" s="268"/>
      <c r="E69" s="230" t="s">
        <v>49</v>
      </c>
      <c r="F69" s="27"/>
      <c r="G69" s="133"/>
      <c r="H69" s="133"/>
      <c r="I69" s="133"/>
      <c r="J69" s="133"/>
      <c r="K69" s="228">
        <f t="shared" si="0"/>
        <v>0</v>
      </c>
      <c r="L69" s="228">
        <f t="shared" si="1"/>
        <v>0</v>
      </c>
      <c r="M69" s="228">
        <v>416.3</v>
      </c>
      <c r="N69" s="228">
        <f t="shared" si="6"/>
        <v>1.7131687242798355</v>
      </c>
      <c r="O69" s="228"/>
      <c r="P69" s="228">
        <f t="shared" si="2"/>
        <v>0</v>
      </c>
      <c r="Q69" s="228"/>
      <c r="R69" s="19">
        <f t="shared" si="3"/>
        <v>0</v>
      </c>
      <c r="S69" s="228">
        <f t="shared" si="4"/>
        <v>0</v>
      </c>
      <c r="T69" s="20">
        <v>2</v>
      </c>
      <c r="U69" s="20"/>
      <c r="V69" s="235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26">
        <v>300291</v>
      </c>
      <c r="B70" s="223" t="s">
        <v>87</v>
      </c>
      <c r="C70" s="256" t="s">
        <v>88</v>
      </c>
      <c r="D70" s="256" t="s">
        <v>89</v>
      </c>
      <c r="E70" s="230" t="s">
        <v>42</v>
      </c>
      <c r="F70" s="27"/>
      <c r="G70" s="133"/>
      <c r="H70" s="133"/>
      <c r="I70" s="133"/>
      <c r="J70" s="133"/>
      <c r="K70" s="228">
        <f t="shared" si="0"/>
        <v>0</v>
      </c>
      <c r="L70" s="228">
        <f t="shared" si="1"/>
        <v>0</v>
      </c>
      <c r="M70" s="228">
        <v>517.79999999999995</v>
      </c>
      <c r="N70" s="228">
        <f t="shared" si="6"/>
        <v>4.261728395061728</v>
      </c>
      <c r="O70" s="228"/>
      <c r="P70" s="228">
        <f t="shared" si="2"/>
        <v>0</v>
      </c>
      <c r="Q70" s="228"/>
      <c r="R70" s="19">
        <f t="shared" si="3"/>
        <v>0</v>
      </c>
      <c r="S70" s="228">
        <f t="shared" si="4"/>
        <v>0</v>
      </c>
      <c r="T70" s="20">
        <v>4</v>
      </c>
      <c r="U70" s="20"/>
      <c r="V70" s="23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26">
        <v>300292</v>
      </c>
      <c r="B71" s="223" t="s">
        <v>87</v>
      </c>
      <c r="C71" s="256" t="s">
        <v>88</v>
      </c>
      <c r="D71" s="256" t="s">
        <v>89</v>
      </c>
      <c r="E71" s="230" t="s">
        <v>41</v>
      </c>
      <c r="F71" s="27"/>
      <c r="G71" s="133"/>
      <c r="H71" s="133"/>
      <c r="I71" s="133"/>
      <c r="J71" s="133"/>
      <c r="K71" s="228">
        <f t="shared" si="0"/>
        <v>0</v>
      </c>
      <c r="L71" s="228">
        <f t="shared" si="1"/>
        <v>0</v>
      </c>
      <c r="M71" s="228">
        <v>517.79999999999995</v>
      </c>
      <c r="N71" s="228">
        <f>+M71*1000/(66.8*1*110*60)*T71</f>
        <v>4.6978769733260748</v>
      </c>
      <c r="O71" s="228"/>
      <c r="P71" s="228">
        <f t="shared" si="2"/>
        <v>0</v>
      </c>
      <c r="Q71" s="228"/>
      <c r="R71" s="19">
        <f t="shared" si="3"/>
        <v>0</v>
      </c>
      <c r="S71" s="228">
        <f t="shared" si="4"/>
        <v>0</v>
      </c>
      <c r="T71" s="20">
        <v>4</v>
      </c>
      <c r="U71" s="20"/>
      <c r="V71" s="23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26">
        <v>300293</v>
      </c>
      <c r="B72" s="223" t="s">
        <v>87</v>
      </c>
      <c r="C72" s="256" t="s">
        <v>88</v>
      </c>
      <c r="D72" s="256" t="s">
        <v>89</v>
      </c>
      <c r="E72" s="230" t="s">
        <v>57</v>
      </c>
      <c r="F72" s="27"/>
      <c r="G72" s="133"/>
      <c r="H72" s="133"/>
      <c r="I72" s="133"/>
      <c r="J72" s="133"/>
      <c r="K72" s="228">
        <f t="shared" si="0"/>
        <v>0</v>
      </c>
      <c r="L72" s="228">
        <f t="shared" si="1"/>
        <v>0</v>
      </c>
      <c r="M72" s="228">
        <v>517.9</v>
      </c>
      <c r="N72" s="228">
        <f>+M72*1000/(67.1*1*110*60)*T72</f>
        <v>4.6777762724111467</v>
      </c>
      <c r="O72" s="228"/>
      <c r="P72" s="228">
        <f t="shared" si="2"/>
        <v>0</v>
      </c>
      <c r="Q72" s="228"/>
      <c r="R72" s="19">
        <f t="shared" si="3"/>
        <v>0</v>
      </c>
      <c r="S72" s="228">
        <f t="shared" si="4"/>
        <v>0</v>
      </c>
      <c r="T72" s="20">
        <v>4</v>
      </c>
      <c r="U72" s="20"/>
      <c r="V72" s="23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26">
        <v>300290</v>
      </c>
      <c r="B73" s="223" t="s">
        <v>87</v>
      </c>
      <c r="C73" s="256" t="s">
        <v>88</v>
      </c>
      <c r="D73" s="256" t="s">
        <v>89</v>
      </c>
      <c r="E73" s="230" t="s">
        <v>35</v>
      </c>
      <c r="F73" s="27"/>
      <c r="G73" s="133"/>
      <c r="H73" s="133"/>
      <c r="I73" s="133"/>
      <c r="J73" s="133"/>
      <c r="K73" s="228">
        <f t="shared" si="0"/>
        <v>0</v>
      </c>
      <c r="L73" s="228">
        <f t="shared" si="1"/>
        <v>0</v>
      </c>
      <c r="M73" s="228">
        <v>520</v>
      </c>
      <c r="N73" s="228">
        <f>+M73*1000/(67.5*1*110*60)*T73</f>
        <v>4.6689113355780023</v>
      </c>
      <c r="O73" s="228"/>
      <c r="P73" s="228">
        <f t="shared" si="2"/>
        <v>0</v>
      </c>
      <c r="Q73" s="228"/>
      <c r="R73" s="19">
        <f t="shared" si="3"/>
        <v>0</v>
      </c>
      <c r="S73" s="228">
        <f t="shared" si="4"/>
        <v>0</v>
      </c>
      <c r="T73" s="20">
        <v>4</v>
      </c>
      <c r="U73" s="20"/>
      <c r="V73" s="23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26">
        <v>300389</v>
      </c>
      <c r="B74" s="223" t="s">
        <v>87</v>
      </c>
      <c r="C74" s="256" t="s">
        <v>316</v>
      </c>
      <c r="D74" s="256" t="s">
        <v>89</v>
      </c>
      <c r="E74" s="230" t="s">
        <v>35</v>
      </c>
      <c r="F74" s="27"/>
      <c r="G74" s="133"/>
      <c r="H74" s="133"/>
      <c r="I74" s="133"/>
      <c r="J74" s="133"/>
      <c r="K74" s="228">
        <f t="shared" si="0"/>
        <v>0</v>
      </c>
      <c r="L74" s="228">
        <f t="shared" si="1"/>
        <v>0</v>
      </c>
      <c r="M74" s="228">
        <v>429.4</v>
      </c>
      <c r="N74" s="228">
        <f>+M74*1000/(47*1*110*60)*T74</f>
        <v>5.5370728562217923</v>
      </c>
      <c r="O74" s="228"/>
      <c r="P74" s="228">
        <f t="shared" si="2"/>
        <v>0</v>
      </c>
      <c r="Q74" s="228"/>
      <c r="R74" s="19">
        <f t="shared" si="3"/>
        <v>0</v>
      </c>
      <c r="S74" s="228">
        <f t="shared" si="4"/>
        <v>0</v>
      </c>
      <c r="T74" s="20">
        <v>4</v>
      </c>
      <c r="U74" s="20"/>
      <c r="V74" s="235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26">
        <v>300058</v>
      </c>
      <c r="B75" s="223" t="s">
        <v>87</v>
      </c>
      <c r="C75" s="256" t="s">
        <v>316</v>
      </c>
      <c r="D75" s="256" t="s">
        <v>89</v>
      </c>
      <c r="E75" s="230" t="s">
        <v>42</v>
      </c>
      <c r="F75" s="27"/>
      <c r="G75" s="133"/>
      <c r="H75" s="133"/>
      <c r="I75" s="133"/>
      <c r="J75" s="133"/>
      <c r="K75" s="228">
        <f t="shared" si="0"/>
        <v>0</v>
      </c>
      <c r="L75" s="228">
        <f t="shared" si="1"/>
        <v>0</v>
      </c>
      <c r="M75" s="228">
        <v>419.2</v>
      </c>
      <c r="N75" s="228">
        <f>+M75*1000/(51.5*1*110*60)*T75</f>
        <v>4.9332156516622536</v>
      </c>
      <c r="O75" s="228"/>
      <c r="P75" s="228">
        <f t="shared" si="2"/>
        <v>0</v>
      </c>
      <c r="Q75" s="228"/>
      <c r="R75" s="19">
        <f t="shared" si="3"/>
        <v>0</v>
      </c>
      <c r="S75" s="228">
        <f t="shared" si="4"/>
        <v>0</v>
      </c>
      <c r="T75" s="20">
        <v>4</v>
      </c>
      <c r="U75" s="20"/>
      <c r="V75" s="23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26">
        <v>300061</v>
      </c>
      <c r="B76" s="223" t="s">
        <v>92</v>
      </c>
      <c r="C76" s="256" t="s">
        <v>317</v>
      </c>
      <c r="D76" s="256" t="s">
        <v>96</v>
      </c>
      <c r="E76" s="230" t="s">
        <v>41</v>
      </c>
      <c r="F76" s="27"/>
      <c r="G76" s="133"/>
      <c r="H76" s="133"/>
      <c r="I76" s="133"/>
      <c r="J76" s="133"/>
      <c r="K76" s="228">
        <f t="shared" si="0"/>
        <v>0</v>
      </c>
      <c r="L76" s="228">
        <f t="shared" si="1"/>
        <v>0</v>
      </c>
      <c r="M76" s="228">
        <v>418.4</v>
      </c>
      <c r="N76" s="228">
        <f>+M76*1000/(51*1*110*60)*T76</f>
        <v>4.9720736779560308</v>
      </c>
      <c r="O76" s="228"/>
      <c r="P76" s="228">
        <f t="shared" si="2"/>
        <v>0</v>
      </c>
      <c r="Q76" s="228"/>
      <c r="R76" s="19">
        <f t="shared" si="3"/>
        <v>0</v>
      </c>
      <c r="S76" s="228">
        <f t="shared" si="4"/>
        <v>0</v>
      </c>
      <c r="T76" s="20">
        <v>4</v>
      </c>
      <c r="U76" s="20"/>
      <c r="V76" s="23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26">
        <v>300064</v>
      </c>
      <c r="B77" s="223">
        <v>5002</v>
      </c>
      <c r="C77" s="256" t="s">
        <v>317</v>
      </c>
      <c r="D77" s="256" t="s">
        <v>96</v>
      </c>
      <c r="E77" s="230" t="s">
        <v>35</v>
      </c>
      <c r="F77" s="27"/>
      <c r="G77" s="133"/>
      <c r="H77" s="133"/>
      <c r="I77" s="133"/>
      <c r="J77" s="133"/>
      <c r="K77" s="228">
        <f t="shared" ref="K77:K153" si="7">G77*M77</f>
        <v>0</v>
      </c>
      <c r="L77" s="228">
        <f t="shared" ref="L77:L153" si="8">I77*M77</f>
        <v>0</v>
      </c>
      <c r="M77" s="228">
        <v>419.2</v>
      </c>
      <c r="N77" s="228">
        <f>+M77*1000/(51.9*1*110*60)*T77</f>
        <v>4.8951947217843168</v>
      </c>
      <c r="O77" s="228"/>
      <c r="P77" s="228">
        <f t="shared" ref="P77:P153" si="9">N77*I77+O77*U77</f>
        <v>0</v>
      </c>
      <c r="Q77" s="228"/>
      <c r="R77" s="19">
        <f t="shared" ref="R77:R153" si="10">Q77*U77</f>
        <v>0</v>
      </c>
      <c r="S77" s="228">
        <f t="shared" ref="S77:S153" si="11">R77-P77</f>
        <v>0</v>
      </c>
      <c r="T77" s="20">
        <v>4</v>
      </c>
      <c r="U77" s="20"/>
      <c r="V77" s="23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26">
        <v>300060</v>
      </c>
      <c r="B78" s="223">
        <v>5001</v>
      </c>
      <c r="C78" s="256" t="s">
        <v>317</v>
      </c>
      <c r="D78" s="256" t="s">
        <v>96</v>
      </c>
      <c r="E78" s="230" t="s">
        <v>57</v>
      </c>
      <c r="F78" s="27"/>
      <c r="G78" s="133">
        <v>8.1300000000000008</v>
      </c>
      <c r="H78" s="133"/>
      <c r="I78" s="133">
        <f>9-J78/400</f>
        <v>8.125</v>
      </c>
      <c r="J78" s="133">
        <v>350</v>
      </c>
      <c r="K78" s="228">
        <f t="shared" si="7"/>
        <v>3389.3969999999999</v>
      </c>
      <c r="L78" s="228">
        <f t="shared" si="8"/>
        <v>3387.3125</v>
      </c>
      <c r="M78" s="228">
        <v>416.9</v>
      </c>
      <c r="N78" s="228">
        <f>+M78*1000/(51*1*110*60)*T78</f>
        <v>4.9542483660130721</v>
      </c>
      <c r="O78" s="228">
        <v>0.5</v>
      </c>
      <c r="P78" s="228">
        <f t="shared" si="9"/>
        <v>42.753267973856211</v>
      </c>
      <c r="Q78" s="228">
        <v>10</v>
      </c>
      <c r="R78" s="19">
        <f t="shared" si="10"/>
        <v>50</v>
      </c>
      <c r="S78" s="228">
        <f t="shared" si="11"/>
        <v>7.2467320261437891</v>
      </c>
      <c r="T78" s="20">
        <v>4</v>
      </c>
      <c r="U78" s="20">
        <v>5</v>
      </c>
      <c r="V78" s="235">
        <f t="array" ref="V78">IF(ISERROR(L78/K78),"",L78/K78)</f>
        <v>0.99938499384993851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26">
        <v>300068</v>
      </c>
      <c r="B79" s="223" t="s">
        <v>87</v>
      </c>
      <c r="C79" s="256" t="s">
        <v>98</v>
      </c>
      <c r="D79" s="256" t="s">
        <v>99</v>
      </c>
      <c r="E79" s="230" t="s">
        <v>37</v>
      </c>
      <c r="F79" s="27"/>
      <c r="G79" s="133"/>
      <c r="H79" s="133"/>
      <c r="I79" s="133"/>
      <c r="J79" s="133"/>
      <c r="K79" s="228">
        <f t="shared" si="7"/>
        <v>0</v>
      </c>
      <c r="L79" s="228">
        <f t="shared" si="8"/>
        <v>0</v>
      </c>
      <c r="M79" s="228">
        <v>438.4</v>
      </c>
      <c r="N79" s="228">
        <f>+M79*1000/(50*1*120*60)*T79</f>
        <v>4.8711111111111114</v>
      </c>
      <c r="O79" s="228"/>
      <c r="P79" s="228">
        <f t="shared" si="9"/>
        <v>0</v>
      </c>
      <c r="Q79" s="228"/>
      <c r="R79" s="19">
        <f t="shared" si="10"/>
        <v>0</v>
      </c>
      <c r="S79" s="228">
        <f t="shared" si="11"/>
        <v>0</v>
      </c>
      <c r="T79" s="20">
        <v>4</v>
      </c>
      <c r="U79" s="20"/>
      <c r="V79" s="23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26">
        <v>300065</v>
      </c>
      <c r="B80" s="223" t="s">
        <v>87</v>
      </c>
      <c r="C80" s="256" t="s">
        <v>98</v>
      </c>
      <c r="D80" s="256" t="s">
        <v>99</v>
      </c>
      <c r="E80" s="230" t="s">
        <v>35</v>
      </c>
      <c r="F80" s="27"/>
      <c r="G80" s="133"/>
      <c r="H80" s="133"/>
      <c r="I80" s="133"/>
      <c r="J80" s="133"/>
      <c r="K80" s="228">
        <f t="shared" si="7"/>
        <v>0</v>
      </c>
      <c r="L80" s="228">
        <f t="shared" si="8"/>
        <v>0</v>
      </c>
      <c r="M80" s="228">
        <v>438.8</v>
      </c>
      <c r="N80" s="228">
        <f>+M80*1000/(50*1*120*60)*T80</f>
        <v>4.8755555555555556</v>
      </c>
      <c r="O80" s="228"/>
      <c r="P80" s="228">
        <f t="shared" si="9"/>
        <v>0</v>
      </c>
      <c r="Q80" s="228"/>
      <c r="R80" s="19">
        <f t="shared" si="10"/>
        <v>0</v>
      </c>
      <c r="S80" s="228">
        <f t="shared" si="11"/>
        <v>0</v>
      </c>
      <c r="T80" s="20">
        <v>4</v>
      </c>
      <c r="U80" s="226"/>
      <c r="V80" s="23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26">
        <v>300066</v>
      </c>
      <c r="B81" s="223" t="s">
        <v>87</v>
      </c>
      <c r="C81" s="256" t="s">
        <v>98</v>
      </c>
      <c r="D81" s="256" t="s">
        <v>99</v>
      </c>
      <c r="E81" s="230" t="s">
        <v>66</v>
      </c>
      <c r="F81" s="27"/>
      <c r="G81" s="133"/>
      <c r="H81" s="133"/>
      <c r="I81" s="133"/>
      <c r="J81" s="133"/>
      <c r="K81" s="228">
        <f t="shared" si="7"/>
        <v>0</v>
      </c>
      <c r="L81" s="228">
        <f t="shared" si="8"/>
        <v>0</v>
      </c>
      <c r="M81" s="228">
        <v>438.4</v>
      </c>
      <c r="N81" s="228">
        <f>+M81*1000/(50*1*120*60)*T81</f>
        <v>4.8711111111111114</v>
      </c>
      <c r="O81" s="228"/>
      <c r="P81" s="228">
        <f t="shared" si="9"/>
        <v>0</v>
      </c>
      <c r="Q81" s="228"/>
      <c r="R81" s="19">
        <f t="shared" si="10"/>
        <v>0</v>
      </c>
      <c r="S81" s="228">
        <f t="shared" si="11"/>
        <v>0</v>
      </c>
      <c r="T81" s="20">
        <v>4</v>
      </c>
      <c r="U81" s="226"/>
      <c r="V81" s="235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26">
        <v>300067</v>
      </c>
      <c r="B82" s="223" t="s">
        <v>87</v>
      </c>
      <c r="C82" s="256" t="s">
        <v>98</v>
      </c>
      <c r="D82" s="256" t="s">
        <v>99</v>
      </c>
      <c r="E82" s="230" t="s">
        <v>41</v>
      </c>
      <c r="F82" s="27"/>
      <c r="G82" s="133"/>
      <c r="H82" s="133"/>
      <c r="I82" s="133"/>
      <c r="J82" s="133"/>
      <c r="K82" s="228">
        <f t="shared" si="7"/>
        <v>0</v>
      </c>
      <c r="L82" s="228">
        <f t="shared" si="8"/>
        <v>0</v>
      </c>
      <c r="M82" s="228">
        <v>438.8</v>
      </c>
      <c r="N82" s="228">
        <f>+M82*1000/(50*1*120*60)*T82</f>
        <v>4.8755555555555556</v>
      </c>
      <c r="O82" s="228"/>
      <c r="P82" s="228">
        <f t="shared" si="9"/>
        <v>0</v>
      </c>
      <c r="Q82" s="228"/>
      <c r="R82" s="19">
        <f t="shared" si="10"/>
        <v>0</v>
      </c>
      <c r="S82" s="228">
        <f t="shared" si="11"/>
        <v>0</v>
      </c>
      <c r="T82" s="20">
        <v>4</v>
      </c>
      <c r="U82" s="20"/>
      <c r="V82" s="23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26">
        <v>300437</v>
      </c>
      <c r="B83" s="223" t="s">
        <v>87</v>
      </c>
      <c r="C83" s="256" t="s">
        <v>98</v>
      </c>
      <c r="D83" s="256" t="s">
        <v>99</v>
      </c>
      <c r="E83" s="230" t="s">
        <v>310</v>
      </c>
      <c r="F83" s="27"/>
      <c r="G83" s="133"/>
      <c r="H83" s="133"/>
      <c r="I83" s="133"/>
      <c r="J83" s="133"/>
      <c r="K83" s="228">
        <f t="shared" si="7"/>
        <v>0</v>
      </c>
      <c r="L83" s="228">
        <f t="shared" si="8"/>
        <v>0</v>
      </c>
      <c r="M83" s="228">
        <v>438.8</v>
      </c>
      <c r="N83" s="228">
        <f>+M83*1000/(50*1*120*60)*T83</f>
        <v>4.8755555555555556</v>
      </c>
      <c r="O83" s="228"/>
      <c r="P83" s="228">
        <f t="shared" si="9"/>
        <v>0</v>
      </c>
      <c r="Q83" s="228"/>
      <c r="R83" s="19">
        <f t="shared" si="10"/>
        <v>0</v>
      </c>
      <c r="S83" s="228">
        <f t="shared" si="11"/>
        <v>0</v>
      </c>
      <c r="T83" s="20">
        <v>4</v>
      </c>
      <c r="U83" s="20"/>
      <c r="V83" s="235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26">
        <v>300384</v>
      </c>
      <c r="B84" s="223" t="s">
        <v>87</v>
      </c>
      <c r="C84" s="256" t="s">
        <v>100</v>
      </c>
      <c r="D84" s="256" t="s">
        <v>101</v>
      </c>
      <c r="E84" s="230" t="s">
        <v>35</v>
      </c>
      <c r="F84" s="229"/>
      <c r="G84" s="133"/>
      <c r="H84" s="133"/>
      <c r="I84" s="133"/>
      <c r="J84" s="133"/>
      <c r="K84" s="228">
        <f t="shared" si="7"/>
        <v>0</v>
      </c>
      <c r="L84" s="228">
        <f t="shared" si="8"/>
        <v>0</v>
      </c>
      <c r="M84" s="228">
        <v>415.5</v>
      </c>
      <c r="N84" s="228">
        <f>+M84*1000/(51*1*110*60)*T84</f>
        <v>8.6408199643493759</v>
      </c>
      <c r="O84" s="228"/>
      <c r="P84" s="228">
        <f t="shared" si="9"/>
        <v>0</v>
      </c>
      <c r="Q84" s="228"/>
      <c r="R84" s="19">
        <f t="shared" si="10"/>
        <v>0</v>
      </c>
      <c r="S84" s="228">
        <f t="shared" si="11"/>
        <v>0</v>
      </c>
      <c r="T84" s="20">
        <v>7</v>
      </c>
      <c r="U84" s="20"/>
      <c r="V84" s="23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26">
        <v>300383</v>
      </c>
      <c r="B85" s="223" t="s">
        <v>87</v>
      </c>
      <c r="C85" s="256" t="s">
        <v>100</v>
      </c>
      <c r="D85" s="256" t="s">
        <v>102</v>
      </c>
      <c r="E85" s="230" t="s">
        <v>41</v>
      </c>
      <c r="F85" s="229"/>
      <c r="G85" s="133"/>
      <c r="H85" s="133"/>
      <c r="I85" s="133"/>
      <c r="J85" s="133"/>
      <c r="K85" s="228">
        <f t="shared" si="7"/>
        <v>0</v>
      </c>
      <c r="L85" s="228">
        <f t="shared" si="8"/>
        <v>0</v>
      </c>
      <c r="M85" s="228">
        <v>415.5</v>
      </c>
      <c r="N85" s="228">
        <f>+M85*1000/(51*1*110*60)*T85</f>
        <v>8.6408199643493759</v>
      </c>
      <c r="O85" s="228"/>
      <c r="P85" s="228">
        <f t="shared" si="9"/>
        <v>0</v>
      </c>
      <c r="Q85" s="228"/>
      <c r="R85" s="19">
        <f t="shared" si="10"/>
        <v>0</v>
      </c>
      <c r="S85" s="228">
        <f t="shared" si="11"/>
        <v>0</v>
      </c>
      <c r="T85" s="20">
        <v>7</v>
      </c>
      <c r="U85" s="20"/>
      <c r="V85" s="235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26">
        <v>300386</v>
      </c>
      <c r="B86" s="223" t="s">
        <v>87</v>
      </c>
      <c r="C86" s="256" t="s">
        <v>100</v>
      </c>
      <c r="D86" s="256" t="s">
        <v>103</v>
      </c>
      <c r="E86" s="230" t="s">
        <v>66</v>
      </c>
      <c r="F86" s="229"/>
      <c r="G86" s="133"/>
      <c r="H86" s="133"/>
      <c r="I86" s="133"/>
      <c r="J86" s="133"/>
      <c r="K86" s="228">
        <f t="shared" si="7"/>
        <v>0</v>
      </c>
      <c r="L86" s="228">
        <f t="shared" si="8"/>
        <v>0</v>
      </c>
      <c r="M86" s="228">
        <v>415.5</v>
      </c>
      <c r="N86" s="228">
        <f>+M86*1000/(51*1*110*60)*T86</f>
        <v>8.6408199643493759</v>
      </c>
      <c r="O86" s="228"/>
      <c r="P86" s="228">
        <f t="shared" si="9"/>
        <v>0</v>
      </c>
      <c r="Q86" s="228"/>
      <c r="R86" s="19">
        <f t="shared" si="10"/>
        <v>0</v>
      </c>
      <c r="S86" s="228">
        <f t="shared" si="11"/>
        <v>0</v>
      </c>
      <c r="T86" s="20">
        <v>7</v>
      </c>
      <c r="U86" s="20"/>
      <c r="V86" s="235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26">
        <v>300385</v>
      </c>
      <c r="B87" s="223" t="s">
        <v>87</v>
      </c>
      <c r="C87" s="256" t="s">
        <v>100</v>
      </c>
      <c r="D87" s="256" t="s">
        <v>104</v>
      </c>
      <c r="E87" s="230" t="s">
        <v>105</v>
      </c>
      <c r="F87" s="229"/>
      <c r="G87" s="133"/>
      <c r="H87" s="133"/>
      <c r="I87" s="133"/>
      <c r="J87" s="133"/>
      <c r="K87" s="228">
        <f t="shared" si="7"/>
        <v>0</v>
      </c>
      <c r="L87" s="228">
        <f t="shared" si="8"/>
        <v>0</v>
      </c>
      <c r="M87" s="228">
        <v>415.5</v>
      </c>
      <c r="N87" s="228">
        <f>+M87*1000/(51*1*110*60)*T87</f>
        <v>8.6408199643493759</v>
      </c>
      <c r="O87" s="228"/>
      <c r="P87" s="228">
        <f t="shared" si="9"/>
        <v>0</v>
      </c>
      <c r="Q87" s="228"/>
      <c r="R87" s="19">
        <f t="shared" si="10"/>
        <v>0</v>
      </c>
      <c r="S87" s="228">
        <f t="shared" si="11"/>
        <v>0</v>
      </c>
      <c r="T87" s="20">
        <v>7</v>
      </c>
      <c r="U87" s="20"/>
      <c r="V87" s="235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26">
        <v>300352</v>
      </c>
      <c r="B88" s="223" t="s">
        <v>87</v>
      </c>
      <c r="C88" s="256" t="s">
        <v>106</v>
      </c>
      <c r="D88" s="256" t="s">
        <v>101</v>
      </c>
      <c r="E88" s="230" t="s">
        <v>35</v>
      </c>
      <c r="F88" s="27"/>
      <c r="G88" s="133"/>
      <c r="H88" s="133"/>
      <c r="I88" s="133"/>
      <c r="J88" s="133"/>
      <c r="K88" s="228">
        <f t="shared" si="7"/>
        <v>0</v>
      </c>
      <c r="L88" s="228">
        <f t="shared" si="8"/>
        <v>0</v>
      </c>
      <c r="M88" s="228">
        <v>515.9</v>
      </c>
      <c r="N88" s="228">
        <f>+M88*1000/(80*1*110*60)*T88</f>
        <v>6.8395833333333336</v>
      </c>
      <c r="O88" s="228"/>
      <c r="P88" s="228">
        <f t="shared" si="9"/>
        <v>0</v>
      </c>
      <c r="Q88" s="228"/>
      <c r="R88" s="19">
        <f t="shared" si="10"/>
        <v>0</v>
      </c>
      <c r="S88" s="228">
        <f t="shared" si="11"/>
        <v>0</v>
      </c>
      <c r="T88" s="20">
        <v>7</v>
      </c>
      <c r="U88" s="20"/>
      <c r="V88" s="23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26">
        <v>300353</v>
      </c>
      <c r="B89" s="223" t="s">
        <v>87</v>
      </c>
      <c r="C89" s="256" t="s">
        <v>106</v>
      </c>
      <c r="D89" s="256" t="s">
        <v>101</v>
      </c>
      <c r="E89" s="230" t="s">
        <v>105</v>
      </c>
      <c r="F89" s="27"/>
      <c r="G89" s="133"/>
      <c r="H89" s="133"/>
      <c r="I89" s="133"/>
      <c r="J89" s="133"/>
      <c r="K89" s="228">
        <f t="shared" si="7"/>
        <v>0</v>
      </c>
      <c r="L89" s="228">
        <f t="shared" si="8"/>
        <v>0</v>
      </c>
      <c r="M89" s="228">
        <v>515.9</v>
      </c>
      <c r="N89" s="228">
        <f>+M89*1000/(80*1*110*60)*T89</f>
        <v>6.8395833333333336</v>
      </c>
      <c r="O89" s="228"/>
      <c r="P89" s="228">
        <f t="shared" si="9"/>
        <v>0</v>
      </c>
      <c r="Q89" s="228"/>
      <c r="R89" s="19">
        <f t="shared" si="10"/>
        <v>0</v>
      </c>
      <c r="S89" s="228">
        <f t="shared" si="11"/>
        <v>0</v>
      </c>
      <c r="T89" s="20">
        <v>7</v>
      </c>
      <c r="U89" s="20"/>
      <c r="V89" s="23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26">
        <v>300351</v>
      </c>
      <c r="B90" s="223" t="s">
        <v>87</v>
      </c>
      <c r="C90" s="256" t="s">
        <v>106</v>
      </c>
      <c r="D90" s="256" t="s">
        <v>101</v>
      </c>
      <c r="E90" s="230" t="s">
        <v>41</v>
      </c>
      <c r="F90" s="27"/>
      <c r="G90" s="133"/>
      <c r="H90" s="133"/>
      <c r="I90" s="133"/>
      <c r="J90" s="133"/>
      <c r="K90" s="228">
        <f t="shared" si="7"/>
        <v>0</v>
      </c>
      <c r="L90" s="228">
        <f t="shared" si="8"/>
        <v>0</v>
      </c>
      <c r="M90" s="228">
        <v>515.9</v>
      </c>
      <c r="N90" s="228">
        <f>+M90*1000/(80*1*110*60)*T90</f>
        <v>6.8395833333333336</v>
      </c>
      <c r="O90" s="228"/>
      <c r="P90" s="228">
        <f t="shared" si="9"/>
        <v>0</v>
      </c>
      <c r="Q90" s="228"/>
      <c r="R90" s="19">
        <f t="shared" si="10"/>
        <v>0</v>
      </c>
      <c r="S90" s="228">
        <f t="shared" si="11"/>
        <v>0</v>
      </c>
      <c r="T90" s="20">
        <v>7</v>
      </c>
      <c r="U90" s="20"/>
      <c r="V90" s="23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26">
        <v>300354</v>
      </c>
      <c r="B91" s="223" t="s">
        <v>87</v>
      </c>
      <c r="C91" s="256" t="s">
        <v>106</v>
      </c>
      <c r="D91" s="256" t="s">
        <v>101</v>
      </c>
      <c r="E91" s="230" t="s">
        <v>66</v>
      </c>
      <c r="F91" s="27"/>
      <c r="G91" s="133"/>
      <c r="H91" s="133"/>
      <c r="I91" s="133"/>
      <c r="J91" s="133"/>
      <c r="K91" s="228">
        <f t="shared" si="7"/>
        <v>0</v>
      </c>
      <c r="L91" s="228">
        <f t="shared" si="8"/>
        <v>0</v>
      </c>
      <c r="M91" s="228">
        <v>515.9</v>
      </c>
      <c r="N91" s="228">
        <f>+M91*1000/(80*1*110*60)*T91</f>
        <v>6.8395833333333336</v>
      </c>
      <c r="O91" s="228"/>
      <c r="P91" s="228">
        <f t="shared" si="9"/>
        <v>0</v>
      </c>
      <c r="Q91" s="228"/>
      <c r="R91" s="19">
        <f t="shared" si="10"/>
        <v>0</v>
      </c>
      <c r="S91" s="228">
        <f t="shared" si="11"/>
        <v>0</v>
      </c>
      <c r="T91" s="20">
        <v>7</v>
      </c>
      <c r="U91" s="20"/>
      <c r="V91" s="23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26">
        <v>300250</v>
      </c>
      <c r="B92" s="223" t="s">
        <v>87</v>
      </c>
      <c r="C92" s="256" t="s">
        <v>107</v>
      </c>
      <c r="D92" s="256" t="s">
        <v>101</v>
      </c>
      <c r="E92" s="230" t="s">
        <v>35</v>
      </c>
      <c r="F92" s="27"/>
      <c r="G92" s="133"/>
      <c r="H92" s="133"/>
      <c r="I92" s="133"/>
      <c r="J92" s="133"/>
      <c r="K92" s="228">
        <f t="shared" si="7"/>
        <v>0</v>
      </c>
      <c r="L92" s="228">
        <f t="shared" si="8"/>
        <v>0</v>
      </c>
      <c r="M92" s="228">
        <v>412.5</v>
      </c>
      <c r="N92" s="228">
        <f>+M92*1000/(84*1*110*60)*T92</f>
        <v>5.2083333333333339</v>
      </c>
      <c r="O92" s="228"/>
      <c r="P92" s="228">
        <f t="shared" si="9"/>
        <v>0</v>
      </c>
      <c r="Q92" s="228"/>
      <c r="R92" s="19">
        <f t="shared" si="10"/>
        <v>0</v>
      </c>
      <c r="S92" s="228">
        <f t="shared" si="11"/>
        <v>0</v>
      </c>
      <c r="T92" s="20">
        <v>7</v>
      </c>
      <c r="U92" s="20"/>
      <c r="V92" s="23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26">
        <v>300251</v>
      </c>
      <c r="B93" s="223" t="s">
        <v>87</v>
      </c>
      <c r="C93" s="256" t="s">
        <v>107</v>
      </c>
      <c r="D93" s="256" t="s">
        <v>101</v>
      </c>
      <c r="E93" s="230" t="s">
        <v>105</v>
      </c>
      <c r="F93" s="27"/>
      <c r="G93" s="133"/>
      <c r="H93" s="133"/>
      <c r="I93" s="133"/>
      <c r="J93" s="133"/>
      <c r="K93" s="228">
        <f t="shared" si="7"/>
        <v>0</v>
      </c>
      <c r="L93" s="228">
        <f t="shared" si="8"/>
        <v>0</v>
      </c>
      <c r="M93" s="228">
        <v>412.5</v>
      </c>
      <c r="N93" s="228">
        <f>+M93*1000/(84*1*110*60)*T93</f>
        <v>5.2083333333333339</v>
      </c>
      <c r="O93" s="228"/>
      <c r="P93" s="228">
        <f t="shared" si="9"/>
        <v>0</v>
      </c>
      <c r="Q93" s="228"/>
      <c r="R93" s="19">
        <f t="shared" si="10"/>
        <v>0</v>
      </c>
      <c r="S93" s="228">
        <f t="shared" si="11"/>
        <v>0</v>
      </c>
      <c r="T93" s="20">
        <v>7</v>
      </c>
      <c r="U93" s="20"/>
      <c r="V93" s="23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26">
        <v>300254</v>
      </c>
      <c r="B94" s="223" t="s">
        <v>87</v>
      </c>
      <c r="C94" s="256" t="s">
        <v>107</v>
      </c>
      <c r="D94" s="256" t="s">
        <v>101</v>
      </c>
      <c r="E94" s="230" t="s">
        <v>41</v>
      </c>
      <c r="F94" s="27"/>
      <c r="G94" s="133"/>
      <c r="H94" s="133"/>
      <c r="I94" s="133"/>
      <c r="J94" s="133"/>
      <c r="K94" s="228">
        <f t="shared" si="7"/>
        <v>0</v>
      </c>
      <c r="L94" s="228">
        <f t="shared" si="8"/>
        <v>0</v>
      </c>
      <c r="M94" s="228">
        <v>412.5</v>
      </c>
      <c r="N94" s="228">
        <f>+M94*1000/(84*1*110*60)*T94</f>
        <v>5.2083333333333339</v>
      </c>
      <c r="O94" s="228"/>
      <c r="P94" s="228">
        <f t="shared" si="9"/>
        <v>0</v>
      </c>
      <c r="Q94" s="228"/>
      <c r="R94" s="19">
        <f t="shared" si="10"/>
        <v>0</v>
      </c>
      <c r="S94" s="228">
        <f t="shared" si="11"/>
        <v>0</v>
      </c>
      <c r="T94" s="20">
        <v>7</v>
      </c>
      <c r="U94" s="20"/>
      <c r="V94" s="23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26">
        <v>300253</v>
      </c>
      <c r="B95" s="223" t="s">
        <v>87</v>
      </c>
      <c r="C95" s="256" t="s">
        <v>107</v>
      </c>
      <c r="D95" s="256" t="s">
        <v>101</v>
      </c>
      <c r="E95" s="230" t="s">
        <v>66</v>
      </c>
      <c r="F95" s="27"/>
      <c r="G95" s="133"/>
      <c r="H95" s="133"/>
      <c r="I95" s="133"/>
      <c r="J95" s="133"/>
      <c r="K95" s="228">
        <f t="shared" si="7"/>
        <v>0</v>
      </c>
      <c r="L95" s="228">
        <f t="shared" si="8"/>
        <v>0</v>
      </c>
      <c r="M95" s="228">
        <v>412.5</v>
      </c>
      <c r="N95" s="228">
        <f>+M95*1000/(84*1*110*60)*T95</f>
        <v>5.2083333333333339</v>
      </c>
      <c r="O95" s="228"/>
      <c r="P95" s="228">
        <f t="shared" si="9"/>
        <v>0</v>
      </c>
      <c r="Q95" s="228"/>
      <c r="R95" s="19">
        <f t="shared" si="10"/>
        <v>0</v>
      </c>
      <c r="S95" s="228">
        <f t="shared" si="11"/>
        <v>0</v>
      </c>
      <c r="T95" s="20">
        <v>7</v>
      </c>
      <c r="U95" s="20"/>
      <c r="V95" s="23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26">
        <v>300255</v>
      </c>
      <c r="B96" s="223" t="s">
        <v>87</v>
      </c>
      <c r="C96" s="256" t="s">
        <v>107</v>
      </c>
      <c r="D96" s="256" t="s">
        <v>101</v>
      </c>
      <c r="E96" s="230" t="s">
        <v>108</v>
      </c>
      <c r="F96" s="27"/>
      <c r="G96" s="133"/>
      <c r="H96" s="133"/>
      <c r="I96" s="133"/>
      <c r="J96" s="133"/>
      <c r="K96" s="228">
        <f t="shared" si="7"/>
        <v>0</v>
      </c>
      <c r="L96" s="228">
        <f t="shared" si="8"/>
        <v>0</v>
      </c>
      <c r="M96" s="228">
        <v>412.5</v>
      </c>
      <c r="N96" s="228">
        <f>+M96*1000/(84*1*110*60)*T96</f>
        <v>5.2083333333333339</v>
      </c>
      <c r="O96" s="228"/>
      <c r="P96" s="228">
        <f t="shared" si="9"/>
        <v>0</v>
      </c>
      <c r="Q96" s="228"/>
      <c r="R96" s="19">
        <f t="shared" si="10"/>
        <v>0</v>
      </c>
      <c r="S96" s="228">
        <f t="shared" si="11"/>
        <v>0</v>
      </c>
      <c r="T96" s="20">
        <v>7</v>
      </c>
      <c r="U96" s="20"/>
      <c r="V96" s="23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26">
        <v>300392</v>
      </c>
      <c r="B97" s="223" t="s">
        <v>87</v>
      </c>
      <c r="C97" s="267" t="s">
        <v>109</v>
      </c>
      <c r="D97" s="268"/>
      <c r="E97" s="230" t="s">
        <v>105</v>
      </c>
      <c r="F97" s="187"/>
      <c r="G97" s="133"/>
      <c r="H97" s="133"/>
      <c r="I97" s="133"/>
      <c r="J97" s="133"/>
      <c r="K97" s="228">
        <f t="shared" si="7"/>
        <v>0</v>
      </c>
      <c r="L97" s="228">
        <f t="shared" si="8"/>
        <v>0</v>
      </c>
      <c r="M97" s="228">
        <v>523</v>
      </c>
      <c r="N97" s="228">
        <f>+M97*1000/(98*1*80*60)*T97</f>
        <v>7.7827380952380958</v>
      </c>
      <c r="O97" s="228"/>
      <c r="P97" s="228">
        <f t="shared" si="9"/>
        <v>0</v>
      </c>
      <c r="Q97" s="228"/>
      <c r="R97" s="19">
        <f t="shared" si="10"/>
        <v>0</v>
      </c>
      <c r="S97" s="228">
        <f t="shared" si="11"/>
        <v>0</v>
      </c>
      <c r="T97" s="20">
        <v>7</v>
      </c>
      <c r="U97" s="20"/>
      <c r="V97" s="235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customHeight="1">
      <c r="A98" s="226">
        <v>300088</v>
      </c>
      <c r="B98" s="223">
        <v>5001</v>
      </c>
      <c r="C98" s="256" t="s">
        <v>318</v>
      </c>
      <c r="D98" s="256" t="s">
        <v>96</v>
      </c>
      <c r="E98" s="230" t="s">
        <v>39</v>
      </c>
      <c r="F98" s="27"/>
      <c r="G98" s="133">
        <v>1</v>
      </c>
      <c r="H98" s="133"/>
      <c r="I98" s="133">
        <v>1</v>
      </c>
      <c r="J98" s="133"/>
      <c r="K98" s="228">
        <f t="shared" si="7"/>
        <v>617.79999999999995</v>
      </c>
      <c r="L98" s="228">
        <f t="shared" si="8"/>
        <v>617.79999999999995</v>
      </c>
      <c r="M98" s="228">
        <v>617.79999999999995</v>
      </c>
      <c r="N98" s="228">
        <f>+M98*1000/(123*1*80*60)*T98</f>
        <v>3.1392276422764223</v>
      </c>
      <c r="O98" s="228"/>
      <c r="P98" s="228">
        <f t="shared" si="9"/>
        <v>3.1392276422764223</v>
      </c>
      <c r="Q98" s="228">
        <v>1</v>
      </c>
      <c r="R98" s="19">
        <f t="shared" si="10"/>
        <v>5</v>
      </c>
      <c r="S98" s="228">
        <f t="shared" si="11"/>
        <v>1.8607723577235777</v>
      </c>
      <c r="T98" s="20">
        <v>3</v>
      </c>
      <c r="U98" s="20">
        <v>5</v>
      </c>
      <c r="V98" s="235">
        <f t="array" ref="V98">IF(ISERROR(L98/K98),"",L98/K98)</f>
        <v>1</v>
      </c>
      <c r="W98" s="20"/>
      <c r="X98" s="191">
        <f>50/60*5</f>
        <v>4.166666666666667</v>
      </c>
      <c r="Y98" s="191"/>
      <c r="Z98" s="191"/>
      <c r="AA98" s="191"/>
      <c r="AB98" s="20"/>
      <c r="AC98" s="20"/>
    </row>
    <row r="99" spans="1:29" s="2" customFormat="1" ht="21.95" hidden="1" customHeight="1">
      <c r="A99" s="226">
        <v>300089</v>
      </c>
      <c r="B99" s="223" t="s">
        <v>87</v>
      </c>
      <c r="C99" s="256" t="s">
        <v>318</v>
      </c>
      <c r="D99" s="256" t="s">
        <v>96</v>
      </c>
      <c r="E99" s="230" t="s">
        <v>42</v>
      </c>
      <c r="F99" s="27"/>
      <c r="G99" s="133"/>
      <c r="H99" s="133"/>
      <c r="I99" s="133"/>
      <c r="J99" s="133"/>
      <c r="K99" s="228">
        <f t="shared" si="7"/>
        <v>0</v>
      </c>
      <c r="L99" s="228">
        <f t="shared" si="8"/>
        <v>0</v>
      </c>
      <c r="M99" s="228">
        <v>618.6</v>
      </c>
      <c r="N99" s="228">
        <f>+M99*1000/(124*1*80*60)*T99</f>
        <v>3.117943548387097</v>
      </c>
      <c r="O99" s="228"/>
      <c r="P99" s="228">
        <f t="shared" si="9"/>
        <v>0</v>
      </c>
      <c r="Q99" s="228"/>
      <c r="R99" s="19">
        <f t="shared" si="10"/>
        <v>0</v>
      </c>
      <c r="S99" s="228">
        <f t="shared" si="11"/>
        <v>0</v>
      </c>
      <c r="T99" s="20">
        <v>3</v>
      </c>
      <c r="U99" s="20"/>
      <c r="V99" s="235" t="str">
        <f t="array" ref="V99">IF(ISERROR(L99/K99),"",L99/K99)</f>
        <v/>
      </c>
      <c r="W99" s="20"/>
      <c r="X99" s="191"/>
      <c r="Y99" s="191"/>
      <c r="Z99" s="191"/>
      <c r="AA99" s="191"/>
      <c r="AB99" s="20"/>
      <c r="AC99" s="20"/>
    </row>
    <row r="100" spans="1:29" s="2" customFormat="1" ht="22.5" hidden="1" customHeight="1">
      <c r="A100" s="226">
        <v>300128</v>
      </c>
      <c r="B100" s="223" t="s">
        <v>87</v>
      </c>
      <c r="C100" s="256" t="s">
        <v>112</v>
      </c>
      <c r="D100" s="256" t="s">
        <v>113</v>
      </c>
      <c r="E100" s="230" t="s">
        <v>35</v>
      </c>
      <c r="F100" s="27"/>
      <c r="G100" s="133"/>
      <c r="H100" s="133"/>
      <c r="I100" s="133"/>
      <c r="J100" s="133"/>
      <c r="K100" s="228">
        <f t="shared" si="7"/>
        <v>0</v>
      </c>
      <c r="L100" s="228">
        <f t="shared" si="8"/>
        <v>0</v>
      </c>
      <c r="M100" s="228">
        <v>621.29999999999995</v>
      </c>
      <c r="N100" s="228">
        <f t="shared" ref="N100:N105" si="12">+M100*1000/(130.5*1*80*60)*T100</f>
        <v>3.9674329501915708</v>
      </c>
      <c r="O100" s="228"/>
      <c r="P100" s="228">
        <f t="shared" si="9"/>
        <v>0</v>
      </c>
      <c r="Q100" s="228"/>
      <c r="R100" s="19">
        <f t="shared" si="10"/>
        <v>0</v>
      </c>
      <c r="S100" s="228">
        <f t="shared" si="11"/>
        <v>0</v>
      </c>
      <c r="T100" s="20">
        <v>4</v>
      </c>
      <c r="U100" s="20"/>
      <c r="V100" s="235" t="str">
        <f t="array" ref="V100">IF(ISERROR(L100/K100),"",L100/K100)</f>
        <v/>
      </c>
      <c r="W100" s="20"/>
      <c r="X100" s="191"/>
      <c r="Y100" s="191"/>
      <c r="Z100" s="191"/>
      <c r="AA100" s="191"/>
      <c r="AB100" s="20"/>
      <c r="AC100" s="20"/>
    </row>
    <row r="101" spans="1:29" s="2" customFormat="1" ht="21.95" hidden="1" customHeight="1">
      <c r="A101" s="226">
        <v>300129</v>
      </c>
      <c r="B101" s="223" t="s">
        <v>87</v>
      </c>
      <c r="C101" s="256" t="s">
        <v>112</v>
      </c>
      <c r="D101" s="256" t="s">
        <v>113</v>
      </c>
      <c r="E101" s="230" t="s">
        <v>41</v>
      </c>
      <c r="F101" s="27"/>
      <c r="G101" s="133"/>
      <c r="H101" s="133"/>
      <c r="I101" s="133"/>
      <c r="J101" s="133"/>
      <c r="K101" s="228">
        <f t="shared" si="7"/>
        <v>0</v>
      </c>
      <c r="L101" s="228">
        <f t="shared" si="8"/>
        <v>0</v>
      </c>
      <c r="M101" s="228">
        <v>621.29999999999995</v>
      </c>
      <c r="N101" s="228">
        <f t="shared" si="12"/>
        <v>3.9674329501915708</v>
      </c>
      <c r="O101" s="228"/>
      <c r="P101" s="228">
        <f t="shared" si="9"/>
        <v>0</v>
      </c>
      <c r="Q101" s="228"/>
      <c r="R101" s="19">
        <f t="shared" si="10"/>
        <v>0</v>
      </c>
      <c r="S101" s="228">
        <f t="shared" si="11"/>
        <v>0</v>
      </c>
      <c r="T101" s="20">
        <v>4</v>
      </c>
      <c r="U101" s="20"/>
      <c r="V101" s="235" t="str">
        <f t="array" ref="V101">IF(ISERROR(L101/K101),"",L101/K101)</f>
        <v/>
      </c>
      <c r="W101" s="20"/>
      <c r="X101" s="191"/>
      <c r="Y101" s="191"/>
      <c r="Z101" s="191"/>
      <c r="AA101" s="191"/>
      <c r="AB101" s="20"/>
      <c r="AC101" s="20"/>
    </row>
    <row r="102" spans="1:29" s="2" customFormat="1" ht="21.95" hidden="1" customHeight="1">
      <c r="A102" s="226">
        <v>300130</v>
      </c>
      <c r="B102" s="223" t="s">
        <v>87</v>
      </c>
      <c r="C102" s="256" t="s">
        <v>112</v>
      </c>
      <c r="D102" s="256" t="s">
        <v>113</v>
      </c>
      <c r="E102" s="230" t="s">
        <v>37</v>
      </c>
      <c r="F102" s="27"/>
      <c r="G102" s="133"/>
      <c r="H102" s="133"/>
      <c r="I102" s="133"/>
      <c r="J102" s="133"/>
      <c r="K102" s="228">
        <f t="shared" si="7"/>
        <v>0</v>
      </c>
      <c r="L102" s="228">
        <f t="shared" si="8"/>
        <v>0</v>
      </c>
      <c r="M102" s="228">
        <v>621.29999999999995</v>
      </c>
      <c r="N102" s="228">
        <f t="shared" si="12"/>
        <v>3.9674329501915708</v>
      </c>
      <c r="O102" s="228"/>
      <c r="P102" s="228">
        <f t="shared" si="9"/>
        <v>0</v>
      </c>
      <c r="Q102" s="228"/>
      <c r="R102" s="19">
        <f t="shared" si="10"/>
        <v>0</v>
      </c>
      <c r="S102" s="228">
        <f t="shared" si="11"/>
        <v>0</v>
      </c>
      <c r="T102" s="20">
        <v>4</v>
      </c>
      <c r="U102" s="20"/>
      <c r="V102" s="235" t="str">
        <f t="array" ref="V102">IF(ISERROR(L102/K102),"",L102/K102)</f>
        <v/>
      </c>
      <c r="W102" s="20"/>
      <c r="X102" s="191"/>
      <c r="Y102" s="191"/>
      <c r="Z102" s="191"/>
      <c r="AA102" s="191"/>
      <c r="AB102" s="20"/>
      <c r="AC102" s="20"/>
    </row>
    <row r="103" spans="1:29" s="2" customFormat="1" ht="21.95" hidden="1" customHeight="1">
      <c r="A103" s="226">
        <v>300423</v>
      </c>
      <c r="B103" s="223" t="s">
        <v>300</v>
      </c>
      <c r="C103" s="267" t="s">
        <v>296</v>
      </c>
      <c r="D103" s="268"/>
      <c r="E103" s="230" t="s">
        <v>297</v>
      </c>
      <c r="F103" s="27"/>
      <c r="G103" s="133"/>
      <c r="H103" s="133"/>
      <c r="I103" s="133"/>
      <c r="J103" s="133"/>
      <c r="K103" s="228">
        <f t="shared" si="7"/>
        <v>0</v>
      </c>
      <c r="L103" s="228">
        <f t="shared" si="8"/>
        <v>0</v>
      </c>
      <c r="M103" s="228">
        <v>524.1</v>
      </c>
      <c r="N103" s="228">
        <f t="shared" si="12"/>
        <v>3.3467432950191571</v>
      </c>
      <c r="O103" s="228"/>
      <c r="P103" s="228">
        <f t="shared" si="9"/>
        <v>0</v>
      </c>
      <c r="Q103" s="228"/>
      <c r="R103" s="19">
        <f t="shared" si="10"/>
        <v>0</v>
      </c>
      <c r="S103" s="228">
        <f t="shared" si="11"/>
        <v>0</v>
      </c>
      <c r="T103" s="20">
        <v>4</v>
      </c>
      <c r="U103" s="20"/>
      <c r="V103" s="235" t="str">
        <f t="array" ref="V103">IF(ISERROR(L103/K103),"",L103/K103)</f>
        <v/>
      </c>
      <c r="W103" s="20"/>
      <c r="X103" s="191"/>
      <c r="Y103" s="191"/>
      <c r="Z103" s="191"/>
      <c r="AA103" s="191"/>
      <c r="AB103" s="20"/>
      <c r="AC103" s="20"/>
    </row>
    <row r="104" spans="1:29" s="2" customFormat="1" ht="21.95" hidden="1" customHeight="1">
      <c r="A104" s="226">
        <v>300424</v>
      </c>
      <c r="B104" s="223" t="s">
        <v>300</v>
      </c>
      <c r="C104" s="267" t="s">
        <v>296</v>
      </c>
      <c r="D104" s="268"/>
      <c r="E104" s="230" t="s">
        <v>298</v>
      </c>
      <c r="F104" s="27"/>
      <c r="G104" s="133"/>
      <c r="H104" s="133"/>
      <c r="I104" s="133"/>
      <c r="J104" s="133"/>
      <c r="K104" s="228">
        <f t="shared" si="7"/>
        <v>0</v>
      </c>
      <c r="L104" s="228">
        <f t="shared" si="8"/>
        <v>0</v>
      </c>
      <c r="M104" s="228">
        <v>524.1</v>
      </c>
      <c r="N104" s="228">
        <f t="shared" si="12"/>
        <v>3.3467432950191571</v>
      </c>
      <c r="O104" s="228"/>
      <c r="P104" s="228">
        <f t="shared" si="9"/>
        <v>0</v>
      </c>
      <c r="Q104" s="228"/>
      <c r="R104" s="19">
        <f t="shared" si="10"/>
        <v>0</v>
      </c>
      <c r="S104" s="228">
        <f t="shared" si="11"/>
        <v>0</v>
      </c>
      <c r="T104" s="20">
        <v>4</v>
      </c>
      <c r="U104" s="20"/>
      <c r="V104" s="235" t="str">
        <f t="array" ref="V104">IF(ISERROR(L104/K104),"",L104/K104)</f>
        <v/>
      </c>
      <c r="W104" s="20"/>
      <c r="X104" s="191"/>
      <c r="Y104" s="191"/>
      <c r="Z104" s="191"/>
      <c r="AA104" s="191"/>
      <c r="AB104" s="20"/>
      <c r="AC104" s="20"/>
    </row>
    <row r="105" spans="1:29" s="2" customFormat="1" ht="21.95" hidden="1" customHeight="1">
      <c r="A105" s="226">
        <v>300425</v>
      </c>
      <c r="B105" s="223" t="s">
        <v>300</v>
      </c>
      <c r="C105" s="267" t="s">
        <v>296</v>
      </c>
      <c r="D105" s="268"/>
      <c r="E105" s="230" t="s">
        <v>299</v>
      </c>
      <c r="F105" s="27"/>
      <c r="G105" s="133"/>
      <c r="H105" s="133"/>
      <c r="I105" s="133"/>
      <c r="J105" s="133"/>
      <c r="K105" s="228">
        <f t="shared" si="7"/>
        <v>0</v>
      </c>
      <c r="L105" s="228">
        <f t="shared" si="8"/>
        <v>0</v>
      </c>
      <c r="M105" s="228">
        <v>524.1</v>
      </c>
      <c r="N105" s="228">
        <f t="shared" si="12"/>
        <v>3.3467432950191571</v>
      </c>
      <c r="O105" s="228"/>
      <c r="P105" s="228">
        <f t="shared" si="9"/>
        <v>0</v>
      </c>
      <c r="Q105" s="228"/>
      <c r="R105" s="19">
        <f t="shared" si="10"/>
        <v>0</v>
      </c>
      <c r="S105" s="228">
        <f t="shared" si="11"/>
        <v>0</v>
      </c>
      <c r="T105" s="20">
        <v>4</v>
      </c>
      <c r="U105" s="20"/>
      <c r="V105" s="235" t="str">
        <f t="array" ref="V105">IF(ISERROR(L105/K105),"",L105/K105)</f>
        <v/>
      </c>
      <c r="W105" s="20"/>
      <c r="X105" s="191"/>
      <c r="Y105" s="191"/>
      <c r="Z105" s="191"/>
      <c r="AA105" s="191"/>
      <c r="AB105" s="20"/>
      <c r="AC105" s="20"/>
    </row>
    <row r="106" spans="1:29" s="2" customFormat="1" ht="21.95" hidden="1" customHeight="1">
      <c r="A106" s="226">
        <v>300390</v>
      </c>
      <c r="B106" s="223" t="s">
        <v>300</v>
      </c>
      <c r="C106" s="267" t="s">
        <v>114</v>
      </c>
      <c r="D106" s="268"/>
      <c r="E106" s="230" t="s">
        <v>115</v>
      </c>
      <c r="F106" s="27"/>
      <c r="G106" s="133"/>
      <c r="H106" s="133"/>
      <c r="I106" s="133"/>
      <c r="J106" s="133"/>
      <c r="K106" s="228">
        <f t="shared" si="7"/>
        <v>0</v>
      </c>
      <c r="L106" s="228">
        <f t="shared" si="8"/>
        <v>0</v>
      </c>
      <c r="M106" s="228">
        <v>417.4</v>
      </c>
      <c r="N106" s="228">
        <f>+M106*1000/(87*1*80*60)*T106</f>
        <v>3.9980842911877397</v>
      </c>
      <c r="O106" s="228"/>
      <c r="P106" s="228">
        <f t="shared" si="9"/>
        <v>0</v>
      </c>
      <c r="Q106" s="228"/>
      <c r="R106" s="19">
        <f t="shared" si="10"/>
        <v>0</v>
      </c>
      <c r="S106" s="228">
        <f t="shared" si="11"/>
        <v>0</v>
      </c>
      <c r="T106" s="20">
        <v>4</v>
      </c>
      <c r="U106" s="20"/>
      <c r="V106" s="235" t="str">
        <f t="array" ref="V106">IF(ISERROR(L106/K106),"",L106/K106)</f>
        <v/>
      </c>
      <c r="W106" s="20"/>
      <c r="X106" s="191"/>
      <c r="Y106" s="191"/>
      <c r="Z106" s="191"/>
      <c r="AA106" s="191"/>
      <c r="AB106" s="20"/>
      <c r="AC106" s="20"/>
    </row>
    <row r="107" spans="1:29" s="2" customFormat="1" ht="21.95" hidden="1" customHeight="1">
      <c r="A107" s="226">
        <v>300391</v>
      </c>
      <c r="B107" s="223" t="s">
        <v>300</v>
      </c>
      <c r="C107" s="267" t="s">
        <v>114</v>
      </c>
      <c r="D107" s="268"/>
      <c r="E107" s="230" t="s">
        <v>117</v>
      </c>
      <c r="F107" s="27"/>
      <c r="G107" s="133"/>
      <c r="H107" s="133"/>
      <c r="I107" s="133"/>
      <c r="J107" s="133"/>
      <c r="K107" s="228">
        <f t="shared" si="7"/>
        <v>0</v>
      </c>
      <c r="L107" s="228">
        <f t="shared" si="8"/>
        <v>0</v>
      </c>
      <c r="M107" s="228">
        <v>417.4</v>
      </c>
      <c r="N107" s="228">
        <f>+M107*1000/(87*1*80*60)*T107</f>
        <v>3.9980842911877397</v>
      </c>
      <c r="O107" s="228"/>
      <c r="P107" s="228">
        <f t="shared" si="9"/>
        <v>0</v>
      </c>
      <c r="Q107" s="228"/>
      <c r="R107" s="19">
        <f t="shared" si="10"/>
        <v>0</v>
      </c>
      <c r="S107" s="228">
        <f t="shared" si="11"/>
        <v>0</v>
      </c>
      <c r="T107" s="20">
        <v>4</v>
      </c>
      <c r="U107" s="20"/>
      <c r="V107" s="235" t="str">
        <f t="array" ref="V107">IF(ISERROR(L107/K107),"",L107/K107)</f>
        <v/>
      </c>
      <c r="W107" s="20"/>
      <c r="X107" s="191"/>
      <c r="Y107" s="191"/>
      <c r="Z107" s="191"/>
      <c r="AA107" s="191"/>
      <c r="AB107" s="20"/>
      <c r="AC107" s="20"/>
    </row>
    <row r="108" spans="1:29" s="2" customFormat="1" ht="21.95" hidden="1" customHeight="1">
      <c r="A108" s="226">
        <v>300431</v>
      </c>
      <c r="B108" s="223" t="s">
        <v>300</v>
      </c>
      <c r="C108" s="267" t="s">
        <v>305</v>
      </c>
      <c r="D108" s="268"/>
      <c r="E108" s="230" t="s">
        <v>306</v>
      </c>
      <c r="F108" s="27"/>
      <c r="G108" s="133"/>
      <c r="H108" s="133"/>
      <c r="I108" s="133"/>
      <c r="J108" s="133"/>
      <c r="K108" s="228">
        <f t="shared" si="7"/>
        <v>0</v>
      </c>
      <c r="L108" s="228">
        <f t="shared" si="8"/>
        <v>0</v>
      </c>
      <c r="M108" s="228">
        <v>628.79999999999995</v>
      </c>
      <c r="N108" s="228">
        <f>+M108*1000/(87*1*80*60)*T108</f>
        <v>6.0229885057471266</v>
      </c>
      <c r="O108" s="228"/>
      <c r="P108" s="228">
        <f t="shared" si="9"/>
        <v>0</v>
      </c>
      <c r="Q108" s="228"/>
      <c r="R108" s="19">
        <f t="shared" si="10"/>
        <v>0</v>
      </c>
      <c r="S108" s="228">
        <f t="shared" si="11"/>
        <v>0</v>
      </c>
      <c r="T108" s="20">
        <v>4</v>
      </c>
      <c r="U108" s="20"/>
      <c r="V108" s="235" t="str">
        <f t="array" ref="V108">IF(ISERROR(L108/K108),"",L108/K108)</f>
        <v/>
      </c>
      <c r="W108" s="20"/>
      <c r="X108" s="191"/>
      <c r="Y108" s="191"/>
      <c r="Z108" s="191"/>
      <c r="AA108" s="191"/>
      <c r="AB108" s="20"/>
      <c r="AC108" s="20"/>
    </row>
    <row r="109" spans="1:29" s="2" customFormat="1" ht="21.95" hidden="1" customHeight="1">
      <c r="A109" s="226">
        <v>300432</v>
      </c>
      <c r="B109" s="223" t="s">
        <v>300</v>
      </c>
      <c r="C109" s="267" t="s">
        <v>305</v>
      </c>
      <c r="D109" s="268"/>
      <c r="E109" s="230" t="s">
        <v>307</v>
      </c>
      <c r="F109" s="27"/>
      <c r="G109" s="133"/>
      <c r="H109" s="133"/>
      <c r="I109" s="133"/>
      <c r="J109" s="133"/>
      <c r="K109" s="228">
        <f t="shared" si="7"/>
        <v>0</v>
      </c>
      <c r="L109" s="228">
        <f t="shared" si="8"/>
        <v>0</v>
      </c>
      <c r="M109" s="228">
        <v>628.79999999999995</v>
      </c>
      <c r="N109" s="228">
        <f>+M109*1000/(87*1*80*60)*T109</f>
        <v>6.0229885057471266</v>
      </c>
      <c r="O109" s="228"/>
      <c r="P109" s="228">
        <f t="shared" si="9"/>
        <v>0</v>
      </c>
      <c r="Q109" s="228"/>
      <c r="R109" s="19">
        <f t="shared" si="10"/>
        <v>0</v>
      </c>
      <c r="S109" s="228">
        <f t="shared" si="11"/>
        <v>0</v>
      </c>
      <c r="T109" s="20">
        <v>4</v>
      </c>
      <c r="U109" s="20"/>
      <c r="V109" s="235" t="str">
        <f t="array" ref="V109">IF(ISERROR(L109/K109),"",L109/K109)</f>
        <v/>
      </c>
      <c r="W109" s="20"/>
      <c r="X109" s="191"/>
      <c r="Y109" s="191"/>
      <c r="Z109" s="191"/>
      <c r="AA109" s="191"/>
      <c r="AB109" s="20"/>
      <c r="AC109" s="20"/>
    </row>
    <row r="110" spans="1:29" s="2" customFormat="1" ht="21.95" hidden="1" customHeight="1">
      <c r="A110" s="226">
        <v>300433</v>
      </c>
      <c r="B110" s="223" t="s">
        <v>300</v>
      </c>
      <c r="C110" s="267" t="s">
        <v>305</v>
      </c>
      <c r="D110" s="268"/>
      <c r="E110" s="134" t="s">
        <v>308</v>
      </c>
      <c r="F110" s="27"/>
      <c r="G110" s="133"/>
      <c r="H110" s="133"/>
      <c r="I110" s="133"/>
      <c r="J110" s="133"/>
      <c r="K110" s="228">
        <f t="shared" si="7"/>
        <v>0</v>
      </c>
      <c r="L110" s="228">
        <f t="shared" si="8"/>
        <v>0</v>
      </c>
      <c r="M110" s="228">
        <v>628.79999999999995</v>
      </c>
      <c r="N110" s="228">
        <f>+M110*1000/(87*1*80*60)*T110</f>
        <v>6.0229885057471266</v>
      </c>
      <c r="O110" s="228"/>
      <c r="P110" s="228">
        <f t="shared" si="9"/>
        <v>0</v>
      </c>
      <c r="Q110" s="228"/>
      <c r="R110" s="19">
        <f t="shared" si="10"/>
        <v>0</v>
      </c>
      <c r="S110" s="228">
        <f t="shared" si="11"/>
        <v>0</v>
      </c>
      <c r="T110" s="20">
        <v>4</v>
      </c>
      <c r="U110" s="20"/>
      <c r="V110" s="235" t="str">
        <f t="array" ref="V110">IF(ISERROR(L110/K110),"",L110/K110)</f>
        <v/>
      </c>
      <c r="W110" s="20"/>
      <c r="X110" s="191"/>
      <c r="Y110" s="191"/>
      <c r="Z110" s="191"/>
      <c r="AA110" s="191"/>
      <c r="AB110" s="20"/>
      <c r="AC110" s="20"/>
    </row>
    <row r="111" spans="1:29" s="2" customFormat="1" ht="21.95" hidden="1" customHeight="1">
      <c r="A111" s="226">
        <v>300074</v>
      </c>
      <c r="B111" s="223" t="s">
        <v>118</v>
      </c>
      <c r="C111" s="256" t="s">
        <v>119</v>
      </c>
      <c r="D111" s="256" t="s">
        <v>120</v>
      </c>
      <c r="E111" s="230" t="s">
        <v>54</v>
      </c>
      <c r="F111" s="27"/>
      <c r="G111" s="133"/>
      <c r="H111" s="133"/>
      <c r="I111" s="133"/>
      <c r="J111" s="133"/>
      <c r="K111" s="228">
        <f t="shared" si="7"/>
        <v>0</v>
      </c>
      <c r="L111" s="228">
        <f t="shared" si="8"/>
        <v>0</v>
      </c>
      <c r="M111" s="228">
        <v>290.8</v>
      </c>
      <c r="N111" s="228">
        <f>+M111*1000/(88*4*13*60)*T111</f>
        <v>3.1774475524475525</v>
      </c>
      <c r="O111" s="228"/>
      <c r="P111" s="228">
        <f t="shared" si="9"/>
        <v>0</v>
      </c>
      <c r="Q111" s="228"/>
      <c r="R111" s="19">
        <f t="shared" si="10"/>
        <v>0</v>
      </c>
      <c r="S111" s="228">
        <f t="shared" si="11"/>
        <v>0</v>
      </c>
      <c r="T111" s="20">
        <v>3</v>
      </c>
      <c r="U111" s="20"/>
      <c r="V111" s="235" t="str">
        <f t="array" ref="V111">IF(ISERROR(L111/K111),"",L111/K111)</f>
        <v/>
      </c>
      <c r="W111" s="20"/>
      <c r="X111" s="191"/>
      <c r="Y111" s="191"/>
      <c r="Z111" s="191"/>
      <c r="AA111" s="191"/>
      <c r="AB111" s="20"/>
      <c r="AC111" s="20"/>
    </row>
    <row r="112" spans="1:29" s="2" customFormat="1" ht="21.95" hidden="1" customHeight="1">
      <c r="A112" s="226">
        <v>300076</v>
      </c>
      <c r="B112" s="223" t="s">
        <v>118</v>
      </c>
      <c r="C112" s="256" t="s">
        <v>119</v>
      </c>
      <c r="D112" s="256" t="s">
        <v>120</v>
      </c>
      <c r="E112" s="230" t="s">
        <v>35</v>
      </c>
      <c r="F112" s="27"/>
      <c r="G112" s="133"/>
      <c r="H112" s="133"/>
      <c r="I112" s="133"/>
      <c r="J112" s="133"/>
      <c r="K112" s="228">
        <f t="shared" si="7"/>
        <v>0</v>
      </c>
      <c r="L112" s="228">
        <f t="shared" si="8"/>
        <v>0</v>
      </c>
      <c r="M112" s="228">
        <v>303.10000000000002</v>
      </c>
      <c r="N112" s="228">
        <f>+M112*1000/(88*4*12*60)*T112</f>
        <v>4.7837752525252526</v>
      </c>
      <c r="O112" s="228"/>
      <c r="P112" s="228">
        <f t="shared" si="9"/>
        <v>0</v>
      </c>
      <c r="Q112" s="228"/>
      <c r="R112" s="19">
        <f t="shared" si="10"/>
        <v>0</v>
      </c>
      <c r="S112" s="228">
        <f t="shared" si="11"/>
        <v>0</v>
      </c>
      <c r="T112" s="20">
        <v>4</v>
      </c>
      <c r="U112" s="20"/>
      <c r="V112" s="235" t="str">
        <f t="array" ref="V112">IF(ISERROR(L112/K112),"",L112/K112)</f>
        <v/>
      </c>
      <c r="W112" s="20"/>
      <c r="X112" s="191"/>
      <c r="Y112" s="191"/>
      <c r="Z112" s="191"/>
      <c r="AA112" s="191"/>
      <c r="AB112" s="20"/>
      <c r="AC112" s="20"/>
    </row>
    <row r="113" spans="1:29" s="2" customFormat="1" ht="21.95" hidden="1" customHeight="1">
      <c r="A113" s="226">
        <v>300096</v>
      </c>
      <c r="B113" s="223" t="s">
        <v>118</v>
      </c>
      <c r="C113" s="256" t="s">
        <v>121</v>
      </c>
      <c r="D113" s="256" t="s">
        <v>122</v>
      </c>
      <c r="E113" s="230" t="s">
        <v>37</v>
      </c>
      <c r="F113" s="27"/>
      <c r="G113" s="133"/>
      <c r="H113" s="133"/>
      <c r="I113" s="133"/>
      <c r="J113" s="133"/>
      <c r="K113" s="228">
        <f t="shared" si="7"/>
        <v>0</v>
      </c>
      <c r="L113" s="228">
        <f t="shared" si="8"/>
        <v>0</v>
      </c>
      <c r="M113" s="228">
        <v>480.13</v>
      </c>
      <c r="N113" s="228">
        <f>+M113*1000/(126.5*4*12*60)*T113</f>
        <v>2.6357597716293371</v>
      </c>
      <c r="O113" s="228"/>
      <c r="P113" s="228">
        <f t="shared" si="9"/>
        <v>0</v>
      </c>
      <c r="Q113" s="228"/>
      <c r="R113" s="19">
        <f t="shared" si="10"/>
        <v>0</v>
      </c>
      <c r="S113" s="228">
        <f t="shared" si="11"/>
        <v>0</v>
      </c>
      <c r="T113" s="20">
        <v>2</v>
      </c>
      <c r="U113" s="20"/>
      <c r="V113" s="235" t="str">
        <f t="array" ref="V113">IF(ISERROR(L113/K113),"",L113/K113)</f>
        <v/>
      </c>
      <c r="W113" s="20"/>
      <c r="X113" s="191"/>
      <c r="Y113" s="191"/>
      <c r="Z113" s="191"/>
      <c r="AA113" s="191"/>
      <c r="AB113" s="20"/>
      <c r="AC113" s="20"/>
    </row>
    <row r="114" spans="1:29" s="2" customFormat="1" ht="21.95" hidden="1" customHeight="1">
      <c r="A114" s="226"/>
      <c r="B114" s="223" t="s">
        <v>118</v>
      </c>
      <c r="C114" s="256" t="s">
        <v>121</v>
      </c>
      <c r="D114" s="256" t="s">
        <v>122</v>
      </c>
      <c r="E114" s="230" t="s">
        <v>35</v>
      </c>
      <c r="F114" s="27"/>
      <c r="G114" s="133"/>
      <c r="H114" s="133"/>
      <c r="I114" s="133"/>
      <c r="J114" s="133"/>
      <c r="K114" s="228">
        <f t="shared" si="7"/>
        <v>0</v>
      </c>
      <c r="L114" s="228">
        <f t="shared" si="8"/>
        <v>0</v>
      </c>
      <c r="M114" s="228">
        <v>480.13</v>
      </c>
      <c r="N114" s="228">
        <f>+M114*1000/(126.5*4*12*60)*T114</f>
        <v>2.6357597716293371</v>
      </c>
      <c r="O114" s="228"/>
      <c r="P114" s="228">
        <f t="shared" si="9"/>
        <v>0</v>
      </c>
      <c r="Q114" s="228"/>
      <c r="R114" s="19">
        <f t="shared" si="10"/>
        <v>0</v>
      </c>
      <c r="S114" s="228">
        <f t="shared" si="11"/>
        <v>0</v>
      </c>
      <c r="T114" s="20">
        <v>2</v>
      </c>
      <c r="U114" s="20"/>
      <c r="V114" s="235" t="str">
        <f t="array" ref="V114">IF(ISERROR(L114/K114),"",L114/K114)</f>
        <v/>
      </c>
      <c r="W114" s="20"/>
      <c r="X114" s="191"/>
      <c r="Y114" s="191"/>
      <c r="Z114" s="191"/>
      <c r="AA114" s="191"/>
      <c r="AB114" s="20"/>
      <c r="AC114" s="20"/>
    </row>
    <row r="115" spans="1:29" s="2" customFormat="1" ht="22.5" customHeight="1">
      <c r="A115" s="226">
        <v>300097</v>
      </c>
      <c r="B115" s="223">
        <v>6502</v>
      </c>
      <c r="C115" s="256" t="s">
        <v>121</v>
      </c>
      <c r="D115" s="256" t="s">
        <v>122</v>
      </c>
      <c r="E115" s="230" t="s">
        <v>63</v>
      </c>
      <c r="F115" s="27"/>
      <c r="G115" s="133">
        <v>6.27</v>
      </c>
      <c r="H115" s="133">
        <v>0.26666666666666666</v>
      </c>
      <c r="I115" s="133">
        <f>6+H115</f>
        <v>6.2666666666666666</v>
      </c>
      <c r="J115" s="133"/>
      <c r="K115" s="228">
        <f t="shared" si="7"/>
        <v>3010.4150999999997</v>
      </c>
      <c r="L115" s="228">
        <f t="shared" si="8"/>
        <v>3008.8146666666667</v>
      </c>
      <c r="M115" s="228">
        <v>480.13</v>
      </c>
      <c r="N115" s="228">
        <f>+M115*1000/(126.5*4*12*60)*T115</f>
        <v>2.6357597716293371</v>
      </c>
      <c r="O115" s="228"/>
      <c r="P115" s="228">
        <f t="shared" si="9"/>
        <v>16.51742790221051</v>
      </c>
      <c r="Q115" s="228">
        <v>7</v>
      </c>
      <c r="R115" s="19">
        <f t="shared" si="10"/>
        <v>14</v>
      </c>
      <c r="S115" s="228">
        <f t="shared" si="11"/>
        <v>-2.5174279022105104</v>
      </c>
      <c r="T115" s="20">
        <v>2</v>
      </c>
      <c r="U115" s="20">
        <v>2</v>
      </c>
      <c r="V115" s="235">
        <f t="array" ref="V115">IF(ISERROR(L115/K115),"",L115/K115)</f>
        <v>0.99946836788942062</v>
      </c>
      <c r="W115" s="20"/>
      <c r="X115" s="191"/>
      <c r="Y115" s="191"/>
      <c r="Z115" s="191"/>
      <c r="AA115" s="191">
        <v>2</v>
      </c>
      <c r="AB115" s="20"/>
      <c r="AC115" s="20"/>
    </row>
    <row r="116" spans="1:29" s="2" customFormat="1" ht="21.95" hidden="1" customHeight="1">
      <c r="A116" s="223">
        <v>300294</v>
      </c>
      <c r="B116" s="223" t="s">
        <v>118</v>
      </c>
      <c r="C116" s="256" t="s">
        <v>123</v>
      </c>
      <c r="D116" s="256"/>
      <c r="E116" s="230" t="s">
        <v>41</v>
      </c>
      <c r="F116" s="27"/>
      <c r="G116" s="133"/>
      <c r="H116" s="133"/>
      <c r="I116" s="133"/>
      <c r="J116" s="133"/>
      <c r="K116" s="228">
        <f t="shared" si="7"/>
        <v>0</v>
      </c>
      <c r="L116" s="228">
        <f t="shared" si="8"/>
        <v>0</v>
      </c>
      <c r="M116" s="228">
        <v>373.14</v>
      </c>
      <c r="N116" s="228">
        <f t="shared" ref="N116:N125" si="13">+M116*1000/(90*4*14*60)*T116</f>
        <v>3.7017857142857142</v>
      </c>
      <c r="O116" s="228"/>
      <c r="P116" s="228">
        <f t="shared" si="9"/>
        <v>0</v>
      </c>
      <c r="Q116" s="228"/>
      <c r="R116" s="19">
        <f t="shared" si="10"/>
        <v>0</v>
      </c>
      <c r="S116" s="228">
        <f t="shared" si="11"/>
        <v>0</v>
      </c>
      <c r="T116" s="20">
        <v>3</v>
      </c>
      <c r="U116" s="20"/>
      <c r="V116" s="23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23">
        <v>300295</v>
      </c>
      <c r="B117" s="223" t="s">
        <v>124</v>
      </c>
      <c r="C117" s="256" t="s">
        <v>125</v>
      </c>
      <c r="D117" s="256"/>
      <c r="E117" s="230" t="s">
        <v>126</v>
      </c>
      <c r="F117" s="27"/>
      <c r="G117" s="133"/>
      <c r="H117" s="133"/>
      <c r="I117" s="133"/>
      <c r="J117" s="133"/>
      <c r="K117" s="228">
        <f t="shared" si="7"/>
        <v>0</v>
      </c>
      <c r="L117" s="228">
        <f t="shared" si="8"/>
        <v>0</v>
      </c>
      <c r="M117" s="228">
        <v>373.14</v>
      </c>
      <c r="N117" s="228">
        <f t="shared" si="13"/>
        <v>3.7017857142857142</v>
      </c>
      <c r="O117" s="228"/>
      <c r="P117" s="228">
        <f t="shared" si="9"/>
        <v>0</v>
      </c>
      <c r="Q117" s="228"/>
      <c r="R117" s="19">
        <f t="shared" si="10"/>
        <v>0</v>
      </c>
      <c r="S117" s="228">
        <f t="shared" si="11"/>
        <v>0</v>
      </c>
      <c r="T117" s="20">
        <v>3</v>
      </c>
      <c r="U117" s="20"/>
      <c r="V117" s="23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23">
        <v>300258</v>
      </c>
      <c r="B118" s="223" t="s">
        <v>118</v>
      </c>
      <c r="C118" s="256" t="s">
        <v>123</v>
      </c>
      <c r="D118" s="256"/>
      <c r="E118" s="230" t="s">
        <v>42</v>
      </c>
      <c r="F118" s="27"/>
      <c r="G118" s="133"/>
      <c r="H118" s="133"/>
      <c r="I118" s="133"/>
      <c r="J118" s="133"/>
      <c r="K118" s="228">
        <f t="shared" si="7"/>
        <v>0</v>
      </c>
      <c r="L118" s="228">
        <f t="shared" si="8"/>
        <v>0</v>
      </c>
      <c r="M118" s="228">
        <v>373.14</v>
      </c>
      <c r="N118" s="228">
        <f t="shared" si="13"/>
        <v>3.7017857142857142</v>
      </c>
      <c r="O118" s="228"/>
      <c r="P118" s="228">
        <f t="shared" si="9"/>
        <v>0</v>
      </c>
      <c r="Q118" s="228"/>
      <c r="R118" s="19">
        <f t="shared" si="10"/>
        <v>0</v>
      </c>
      <c r="S118" s="228">
        <f t="shared" si="11"/>
        <v>0</v>
      </c>
      <c r="T118" s="20">
        <v>3</v>
      </c>
      <c r="U118" s="20"/>
      <c r="V118" s="23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23">
        <v>300256</v>
      </c>
      <c r="B119" s="223" t="s">
        <v>118</v>
      </c>
      <c r="C119" s="256" t="s">
        <v>123</v>
      </c>
      <c r="D119" s="256"/>
      <c r="E119" s="230" t="s">
        <v>74</v>
      </c>
      <c r="F119" s="27"/>
      <c r="G119" s="133"/>
      <c r="H119" s="133"/>
      <c r="I119" s="133"/>
      <c r="J119" s="133"/>
      <c r="K119" s="228">
        <f t="shared" si="7"/>
        <v>0</v>
      </c>
      <c r="L119" s="228">
        <f t="shared" si="8"/>
        <v>0</v>
      </c>
      <c r="M119" s="228">
        <v>373.14</v>
      </c>
      <c r="N119" s="228">
        <f t="shared" si="13"/>
        <v>3.7017857142857142</v>
      </c>
      <c r="O119" s="228"/>
      <c r="P119" s="228">
        <f t="shared" si="9"/>
        <v>0</v>
      </c>
      <c r="Q119" s="228"/>
      <c r="R119" s="19">
        <f t="shared" si="10"/>
        <v>0</v>
      </c>
      <c r="S119" s="228">
        <f t="shared" si="11"/>
        <v>0</v>
      </c>
      <c r="T119" s="20">
        <v>3</v>
      </c>
      <c r="U119" s="20"/>
      <c r="V119" s="23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23">
        <v>300259</v>
      </c>
      <c r="B120" s="223" t="s">
        <v>118</v>
      </c>
      <c r="C120" s="256" t="s">
        <v>123</v>
      </c>
      <c r="D120" s="256"/>
      <c r="E120" s="230" t="s">
        <v>40</v>
      </c>
      <c r="F120" s="27"/>
      <c r="G120" s="133"/>
      <c r="H120" s="133"/>
      <c r="I120" s="133"/>
      <c r="J120" s="133"/>
      <c r="K120" s="228">
        <f t="shared" si="7"/>
        <v>0</v>
      </c>
      <c r="L120" s="228">
        <f t="shared" si="8"/>
        <v>0</v>
      </c>
      <c r="M120" s="228">
        <v>373.14</v>
      </c>
      <c r="N120" s="228">
        <f t="shared" si="13"/>
        <v>3.7017857142857142</v>
      </c>
      <c r="O120" s="228"/>
      <c r="P120" s="228">
        <f t="shared" si="9"/>
        <v>0</v>
      </c>
      <c r="Q120" s="228"/>
      <c r="R120" s="19">
        <f t="shared" si="10"/>
        <v>0</v>
      </c>
      <c r="S120" s="228">
        <f t="shared" si="11"/>
        <v>0</v>
      </c>
      <c r="T120" s="20">
        <v>3</v>
      </c>
      <c r="U120" s="20"/>
      <c r="V120" s="23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23">
        <v>300345</v>
      </c>
      <c r="B121" s="223" t="s">
        <v>118</v>
      </c>
      <c r="C121" s="256" t="s">
        <v>127</v>
      </c>
      <c r="D121" s="256"/>
      <c r="E121" s="230" t="s">
        <v>74</v>
      </c>
      <c r="F121" s="27"/>
      <c r="G121" s="133"/>
      <c r="H121" s="133"/>
      <c r="I121" s="133"/>
      <c r="J121" s="133"/>
      <c r="K121" s="228">
        <f t="shared" si="7"/>
        <v>0</v>
      </c>
      <c r="L121" s="228">
        <f t="shared" si="8"/>
        <v>0</v>
      </c>
      <c r="M121" s="228">
        <v>373.14</v>
      </c>
      <c r="N121" s="228">
        <f t="shared" si="13"/>
        <v>3.7017857142857142</v>
      </c>
      <c r="O121" s="41"/>
      <c r="P121" s="228">
        <f t="shared" si="9"/>
        <v>0</v>
      </c>
      <c r="Q121" s="41"/>
      <c r="R121" s="19">
        <f t="shared" si="10"/>
        <v>0</v>
      </c>
      <c r="S121" s="228">
        <f t="shared" si="11"/>
        <v>0</v>
      </c>
      <c r="T121" s="20">
        <v>3</v>
      </c>
      <c r="U121" s="41"/>
      <c r="V121" s="235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23">
        <v>300346</v>
      </c>
      <c r="B122" s="223" t="s">
        <v>118</v>
      </c>
      <c r="C122" s="256" t="s">
        <v>127</v>
      </c>
      <c r="D122" s="256"/>
      <c r="E122" s="230" t="s">
        <v>42</v>
      </c>
      <c r="F122" s="27"/>
      <c r="G122" s="133"/>
      <c r="H122" s="133"/>
      <c r="I122" s="133"/>
      <c r="J122" s="133"/>
      <c r="K122" s="228">
        <f t="shared" si="7"/>
        <v>0</v>
      </c>
      <c r="L122" s="228">
        <f t="shared" si="8"/>
        <v>0</v>
      </c>
      <c r="M122" s="228">
        <v>373.14</v>
      </c>
      <c r="N122" s="228">
        <f t="shared" si="13"/>
        <v>3.7017857142857142</v>
      </c>
      <c r="O122" s="41"/>
      <c r="P122" s="228">
        <f t="shared" si="9"/>
        <v>0</v>
      </c>
      <c r="Q122" s="41"/>
      <c r="R122" s="19">
        <f t="shared" si="10"/>
        <v>0</v>
      </c>
      <c r="S122" s="228">
        <f t="shared" si="11"/>
        <v>0</v>
      </c>
      <c r="T122" s="20">
        <v>3</v>
      </c>
      <c r="U122" s="41"/>
      <c r="V122" s="235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23">
        <v>300347</v>
      </c>
      <c r="B123" s="223" t="s">
        <v>118</v>
      </c>
      <c r="C123" s="256" t="s">
        <v>127</v>
      </c>
      <c r="D123" s="256"/>
      <c r="E123" s="230" t="s">
        <v>41</v>
      </c>
      <c r="F123" s="27"/>
      <c r="G123" s="133"/>
      <c r="H123" s="133"/>
      <c r="I123" s="133"/>
      <c r="J123" s="133"/>
      <c r="K123" s="228">
        <f t="shared" si="7"/>
        <v>0</v>
      </c>
      <c r="L123" s="228">
        <f t="shared" si="8"/>
        <v>0</v>
      </c>
      <c r="M123" s="228">
        <v>373.14</v>
      </c>
      <c r="N123" s="228">
        <f t="shared" si="13"/>
        <v>3.7017857142857142</v>
      </c>
      <c r="O123" s="41"/>
      <c r="P123" s="228">
        <f t="shared" si="9"/>
        <v>0</v>
      </c>
      <c r="Q123" s="41"/>
      <c r="R123" s="19">
        <f t="shared" si="10"/>
        <v>0</v>
      </c>
      <c r="S123" s="228">
        <f t="shared" si="11"/>
        <v>0</v>
      </c>
      <c r="T123" s="20">
        <v>3</v>
      </c>
      <c r="U123" s="41"/>
      <c r="V123" s="235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23">
        <v>300348</v>
      </c>
      <c r="B124" s="223" t="s">
        <v>118</v>
      </c>
      <c r="C124" s="256" t="s">
        <v>127</v>
      </c>
      <c r="D124" s="256"/>
      <c r="E124" s="230" t="s">
        <v>126</v>
      </c>
      <c r="F124" s="27"/>
      <c r="G124" s="133"/>
      <c r="H124" s="133"/>
      <c r="I124" s="133"/>
      <c r="J124" s="133"/>
      <c r="K124" s="228">
        <f t="shared" si="7"/>
        <v>0</v>
      </c>
      <c r="L124" s="228">
        <f t="shared" si="8"/>
        <v>0</v>
      </c>
      <c r="M124" s="228">
        <v>373.14</v>
      </c>
      <c r="N124" s="228">
        <f t="shared" si="13"/>
        <v>3.7017857142857142</v>
      </c>
      <c r="O124" s="41"/>
      <c r="P124" s="228">
        <f t="shared" si="9"/>
        <v>0</v>
      </c>
      <c r="Q124" s="41"/>
      <c r="R124" s="19">
        <f t="shared" si="10"/>
        <v>0</v>
      </c>
      <c r="S124" s="228">
        <f t="shared" si="11"/>
        <v>0</v>
      </c>
      <c r="T124" s="20">
        <v>3</v>
      </c>
      <c r="U124" s="41"/>
      <c r="V124" s="235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23">
        <v>300349</v>
      </c>
      <c r="B125" s="223" t="s">
        <v>118</v>
      </c>
      <c r="C125" s="256" t="s">
        <v>127</v>
      </c>
      <c r="D125" s="256"/>
      <c r="E125" s="230" t="s">
        <v>40</v>
      </c>
      <c r="F125" s="27"/>
      <c r="G125" s="133"/>
      <c r="H125" s="133"/>
      <c r="I125" s="133"/>
      <c r="J125" s="133"/>
      <c r="K125" s="228">
        <f t="shared" si="7"/>
        <v>0</v>
      </c>
      <c r="L125" s="228">
        <f t="shared" si="8"/>
        <v>0</v>
      </c>
      <c r="M125" s="228">
        <v>373.14</v>
      </c>
      <c r="N125" s="228">
        <f t="shared" si="13"/>
        <v>3.7017857142857142</v>
      </c>
      <c r="O125" s="41"/>
      <c r="P125" s="228">
        <f t="shared" si="9"/>
        <v>0</v>
      </c>
      <c r="Q125" s="41"/>
      <c r="R125" s="19">
        <f t="shared" si="10"/>
        <v>0</v>
      </c>
      <c r="S125" s="228">
        <f t="shared" si="11"/>
        <v>0</v>
      </c>
      <c r="T125" s="20">
        <v>3</v>
      </c>
      <c r="U125" s="41"/>
      <c r="V125" s="235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23">
        <v>300298</v>
      </c>
      <c r="B126" s="223" t="s">
        <v>118</v>
      </c>
      <c r="C126" s="256" t="s">
        <v>128</v>
      </c>
      <c r="D126" s="256"/>
      <c r="E126" s="230" t="s">
        <v>54</v>
      </c>
      <c r="F126" s="27"/>
      <c r="G126" s="133"/>
      <c r="H126" s="133"/>
      <c r="I126" s="133"/>
      <c r="J126" s="133"/>
      <c r="K126" s="228">
        <f t="shared" si="7"/>
        <v>0</v>
      </c>
      <c r="L126" s="228">
        <f t="shared" si="8"/>
        <v>0</v>
      </c>
      <c r="M126" s="228">
        <v>380.63</v>
      </c>
      <c r="N126" s="228">
        <f t="shared" ref="N126:N131" si="14">+M126*1000/(94.7*4*15*60)*T126</f>
        <v>4.4659157573624313</v>
      </c>
      <c r="O126" s="228"/>
      <c r="P126" s="228">
        <f t="shared" si="9"/>
        <v>0</v>
      </c>
      <c r="Q126" s="228"/>
      <c r="R126" s="19">
        <f t="shared" si="10"/>
        <v>0</v>
      </c>
      <c r="S126" s="228">
        <f t="shared" si="11"/>
        <v>0</v>
      </c>
      <c r="T126" s="20">
        <v>4</v>
      </c>
      <c r="U126" s="20"/>
      <c r="V126" s="23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23">
        <v>300299</v>
      </c>
      <c r="B127" s="223" t="s">
        <v>118</v>
      </c>
      <c r="C127" s="256" t="s">
        <v>128</v>
      </c>
      <c r="D127" s="256"/>
      <c r="E127" s="230" t="s">
        <v>39</v>
      </c>
      <c r="F127" s="27"/>
      <c r="G127" s="133"/>
      <c r="H127" s="133"/>
      <c r="I127" s="133"/>
      <c r="J127" s="133"/>
      <c r="K127" s="228">
        <f t="shared" si="7"/>
        <v>0</v>
      </c>
      <c r="L127" s="228">
        <f t="shared" si="8"/>
        <v>0</v>
      </c>
      <c r="M127" s="228">
        <v>380.63</v>
      </c>
      <c r="N127" s="228">
        <f t="shared" si="14"/>
        <v>4.4659157573624313</v>
      </c>
      <c r="O127" s="228"/>
      <c r="P127" s="228">
        <f t="shared" si="9"/>
        <v>0</v>
      </c>
      <c r="Q127" s="228"/>
      <c r="R127" s="19">
        <f t="shared" si="10"/>
        <v>0</v>
      </c>
      <c r="S127" s="228">
        <f t="shared" si="11"/>
        <v>0</v>
      </c>
      <c r="T127" s="20">
        <v>4</v>
      </c>
      <c r="U127" s="20"/>
      <c r="V127" s="23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23">
        <v>300296</v>
      </c>
      <c r="B128" s="223" t="s">
        <v>118</v>
      </c>
      <c r="C128" s="256" t="s">
        <v>128</v>
      </c>
      <c r="D128" s="256"/>
      <c r="E128" s="230" t="s">
        <v>41</v>
      </c>
      <c r="F128" s="27"/>
      <c r="G128" s="133"/>
      <c r="H128" s="133"/>
      <c r="I128" s="133"/>
      <c r="J128" s="133"/>
      <c r="K128" s="228">
        <f t="shared" si="7"/>
        <v>0</v>
      </c>
      <c r="L128" s="228">
        <f t="shared" si="8"/>
        <v>0</v>
      </c>
      <c r="M128" s="228">
        <v>380.63</v>
      </c>
      <c r="N128" s="228">
        <f t="shared" si="14"/>
        <v>4.4659157573624313</v>
      </c>
      <c r="O128" s="228"/>
      <c r="P128" s="228">
        <f t="shared" si="9"/>
        <v>0</v>
      </c>
      <c r="Q128" s="228"/>
      <c r="R128" s="19">
        <f t="shared" si="10"/>
        <v>0</v>
      </c>
      <c r="S128" s="228">
        <f t="shared" si="11"/>
        <v>0</v>
      </c>
      <c r="T128" s="20">
        <v>4</v>
      </c>
      <c r="U128" s="20"/>
      <c r="V128" s="23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23">
        <v>300297</v>
      </c>
      <c r="B129" s="223" t="s">
        <v>118</v>
      </c>
      <c r="C129" s="256" t="s">
        <v>128</v>
      </c>
      <c r="D129" s="256"/>
      <c r="E129" s="230" t="s">
        <v>37</v>
      </c>
      <c r="F129" s="27"/>
      <c r="G129" s="133"/>
      <c r="H129" s="133"/>
      <c r="I129" s="133"/>
      <c r="J129" s="133"/>
      <c r="K129" s="228">
        <f t="shared" si="7"/>
        <v>0</v>
      </c>
      <c r="L129" s="228">
        <f t="shared" si="8"/>
        <v>0</v>
      </c>
      <c r="M129" s="228">
        <v>380.63</v>
      </c>
      <c r="N129" s="228">
        <f t="shared" si="14"/>
        <v>4.4659157573624313</v>
      </c>
      <c r="O129" s="228"/>
      <c r="P129" s="228">
        <f t="shared" si="9"/>
        <v>0</v>
      </c>
      <c r="Q129" s="228"/>
      <c r="R129" s="19">
        <f t="shared" si="10"/>
        <v>0</v>
      </c>
      <c r="S129" s="228">
        <f t="shared" si="11"/>
        <v>0</v>
      </c>
      <c r="T129" s="20">
        <v>4</v>
      </c>
      <c r="U129" s="20"/>
      <c r="V129" s="23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23">
        <v>300340</v>
      </c>
      <c r="B130" s="223" t="s">
        <v>118</v>
      </c>
      <c r="C130" s="267" t="s">
        <v>129</v>
      </c>
      <c r="D130" s="268"/>
      <c r="E130" s="230" t="s">
        <v>41</v>
      </c>
      <c r="F130" s="27"/>
      <c r="G130" s="133"/>
      <c r="H130" s="133"/>
      <c r="I130" s="133"/>
      <c r="J130" s="133"/>
      <c r="K130" s="228">
        <f t="shared" si="7"/>
        <v>0</v>
      </c>
      <c r="L130" s="228">
        <f t="shared" si="8"/>
        <v>0</v>
      </c>
      <c r="M130" s="228">
        <v>325.60000000000002</v>
      </c>
      <c r="N130" s="228">
        <f t="shared" si="14"/>
        <v>3.8202510852986036</v>
      </c>
      <c r="O130" s="228"/>
      <c r="P130" s="228">
        <f t="shared" si="9"/>
        <v>0</v>
      </c>
      <c r="Q130" s="228"/>
      <c r="R130" s="19">
        <f t="shared" si="10"/>
        <v>0</v>
      </c>
      <c r="S130" s="228">
        <f t="shared" si="11"/>
        <v>0</v>
      </c>
      <c r="T130" s="20">
        <v>4</v>
      </c>
      <c r="U130" s="20"/>
      <c r="V130" s="235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23">
        <v>300339</v>
      </c>
      <c r="B131" s="223" t="s">
        <v>118</v>
      </c>
      <c r="C131" s="267" t="s">
        <v>129</v>
      </c>
      <c r="D131" s="268"/>
      <c r="E131" s="230" t="s">
        <v>39</v>
      </c>
      <c r="F131" s="27"/>
      <c r="G131" s="133"/>
      <c r="H131" s="133"/>
      <c r="I131" s="133"/>
      <c r="J131" s="133"/>
      <c r="K131" s="228">
        <f t="shared" si="7"/>
        <v>0</v>
      </c>
      <c r="L131" s="228">
        <f t="shared" si="8"/>
        <v>0</v>
      </c>
      <c r="M131" s="228">
        <v>325.60000000000002</v>
      </c>
      <c r="N131" s="228">
        <f t="shared" si="14"/>
        <v>3.8202510852986036</v>
      </c>
      <c r="O131" s="228"/>
      <c r="P131" s="228">
        <f t="shared" si="9"/>
        <v>0</v>
      </c>
      <c r="Q131" s="228"/>
      <c r="R131" s="19">
        <f t="shared" si="10"/>
        <v>0</v>
      </c>
      <c r="S131" s="228">
        <f t="shared" si="11"/>
        <v>0</v>
      </c>
      <c r="T131" s="20">
        <v>4</v>
      </c>
      <c r="U131" s="20"/>
      <c r="V131" s="235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23">
        <v>300303</v>
      </c>
      <c r="B132" s="223" t="s">
        <v>118</v>
      </c>
      <c r="C132" s="256" t="s">
        <v>130</v>
      </c>
      <c r="D132" s="256" t="s">
        <v>131</v>
      </c>
      <c r="E132" s="230" t="s">
        <v>57</v>
      </c>
      <c r="F132" s="27"/>
      <c r="G132" s="133"/>
      <c r="H132" s="133"/>
      <c r="I132" s="133"/>
      <c r="J132" s="133"/>
      <c r="K132" s="228">
        <f t="shared" si="7"/>
        <v>0</v>
      </c>
      <c r="L132" s="228">
        <f t="shared" si="8"/>
        <v>0</v>
      </c>
      <c r="M132" s="228">
        <v>396.92</v>
      </c>
      <c r="N132" s="228">
        <f>+M132*1000/(113.8*4*15*60)*T132</f>
        <v>4.8442686975200155</v>
      </c>
      <c r="O132" s="228"/>
      <c r="P132" s="228">
        <f t="shared" si="9"/>
        <v>0</v>
      </c>
      <c r="Q132" s="228"/>
      <c r="R132" s="19">
        <f t="shared" si="10"/>
        <v>0</v>
      </c>
      <c r="S132" s="228">
        <f t="shared" si="11"/>
        <v>0</v>
      </c>
      <c r="T132" s="20">
        <v>5</v>
      </c>
      <c r="U132" s="20"/>
      <c r="V132" s="23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23">
        <v>300302</v>
      </c>
      <c r="B133" s="223" t="s">
        <v>118</v>
      </c>
      <c r="C133" s="256" t="s">
        <v>130</v>
      </c>
      <c r="D133" s="256" t="s">
        <v>131</v>
      </c>
      <c r="E133" s="230" t="s">
        <v>117</v>
      </c>
      <c r="F133" s="27"/>
      <c r="G133" s="133"/>
      <c r="H133" s="133"/>
      <c r="I133" s="133"/>
      <c r="J133" s="133"/>
      <c r="K133" s="228">
        <f t="shared" si="7"/>
        <v>0</v>
      </c>
      <c r="L133" s="228">
        <f t="shared" si="8"/>
        <v>0</v>
      </c>
      <c r="M133" s="228">
        <v>396.06</v>
      </c>
      <c r="N133" s="228">
        <f>+M133*1000/(113.8*4*15*60)*T133</f>
        <v>4.8337727006444053</v>
      </c>
      <c r="O133" s="228"/>
      <c r="P133" s="228">
        <f t="shared" si="9"/>
        <v>0</v>
      </c>
      <c r="Q133" s="228"/>
      <c r="R133" s="19">
        <f t="shared" si="10"/>
        <v>0</v>
      </c>
      <c r="S133" s="228">
        <f t="shared" si="11"/>
        <v>0</v>
      </c>
      <c r="T133" s="20">
        <v>5</v>
      </c>
      <c r="U133" s="20"/>
      <c r="V133" s="23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23">
        <v>300301</v>
      </c>
      <c r="B134" s="223" t="s">
        <v>118</v>
      </c>
      <c r="C134" s="256" t="s">
        <v>130</v>
      </c>
      <c r="D134" s="256" t="s">
        <v>131</v>
      </c>
      <c r="E134" s="230" t="s">
        <v>132</v>
      </c>
      <c r="F134" s="27"/>
      <c r="G134" s="133"/>
      <c r="H134" s="133"/>
      <c r="I134" s="133"/>
      <c r="J134" s="133"/>
      <c r="K134" s="228">
        <f t="shared" si="7"/>
        <v>0</v>
      </c>
      <c r="L134" s="228">
        <f t="shared" si="8"/>
        <v>0</v>
      </c>
      <c r="M134" s="228">
        <v>401.25</v>
      </c>
      <c r="N134" s="228">
        <f>+M134*1000/(113.8*4*15*60)*T134</f>
        <v>4.8971148213239601</v>
      </c>
      <c r="O134" s="228"/>
      <c r="P134" s="228">
        <f t="shared" si="9"/>
        <v>0</v>
      </c>
      <c r="Q134" s="228"/>
      <c r="R134" s="19">
        <f t="shared" si="10"/>
        <v>0</v>
      </c>
      <c r="S134" s="228">
        <f t="shared" si="11"/>
        <v>0</v>
      </c>
      <c r="T134" s="20">
        <v>5</v>
      </c>
      <c r="U134" s="20"/>
      <c r="V134" s="23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26">
        <v>300304</v>
      </c>
      <c r="B135" s="223" t="s">
        <v>118</v>
      </c>
      <c r="C135" s="256" t="s">
        <v>130</v>
      </c>
      <c r="D135" s="256"/>
      <c r="E135" s="230" t="s">
        <v>133</v>
      </c>
      <c r="F135" s="27"/>
      <c r="G135" s="133"/>
      <c r="H135" s="133"/>
      <c r="I135" s="133"/>
      <c r="J135" s="133"/>
      <c r="K135" s="228">
        <f t="shared" si="7"/>
        <v>0</v>
      </c>
      <c r="L135" s="228">
        <f t="shared" si="8"/>
        <v>0</v>
      </c>
      <c r="M135" s="228">
        <v>401.25</v>
      </c>
      <c r="N135" s="228">
        <f>+M135*1000/(113.8*4*15*60)*T135</f>
        <v>4.8971148213239601</v>
      </c>
      <c r="O135" s="228"/>
      <c r="P135" s="228">
        <f t="shared" si="9"/>
        <v>0</v>
      </c>
      <c r="Q135" s="228"/>
      <c r="R135" s="19">
        <f t="shared" si="10"/>
        <v>0</v>
      </c>
      <c r="S135" s="228">
        <f t="shared" si="11"/>
        <v>0</v>
      </c>
      <c r="T135" s="20">
        <v>5</v>
      </c>
      <c r="U135" s="20"/>
      <c r="V135" s="23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26">
        <v>300300</v>
      </c>
      <c r="B136" s="223" t="s">
        <v>118</v>
      </c>
      <c r="C136" s="256" t="s">
        <v>130</v>
      </c>
      <c r="D136" s="256" t="s">
        <v>131</v>
      </c>
      <c r="E136" s="230" t="s">
        <v>54</v>
      </c>
      <c r="F136" s="27"/>
      <c r="G136" s="133"/>
      <c r="H136" s="133"/>
      <c r="I136" s="133"/>
      <c r="J136" s="133"/>
      <c r="K136" s="228">
        <f t="shared" si="7"/>
        <v>0</v>
      </c>
      <c r="L136" s="228">
        <f t="shared" si="8"/>
        <v>0</v>
      </c>
      <c r="M136" s="228">
        <v>399.07</v>
      </c>
      <c r="N136" s="228">
        <f>+M136*1000/(113.8*4*15*60)*T136</f>
        <v>4.8705086897090411</v>
      </c>
      <c r="O136" s="228"/>
      <c r="P136" s="228">
        <f t="shared" si="9"/>
        <v>0</v>
      </c>
      <c r="Q136" s="228"/>
      <c r="R136" s="19">
        <f t="shared" si="10"/>
        <v>0</v>
      </c>
      <c r="S136" s="228">
        <f t="shared" si="11"/>
        <v>0</v>
      </c>
      <c r="T136" s="20">
        <v>5</v>
      </c>
      <c r="U136" s="20"/>
      <c r="V136" s="23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26">
        <v>300085</v>
      </c>
      <c r="B137" s="223">
        <v>6503</v>
      </c>
      <c r="C137" s="256" t="s">
        <v>134</v>
      </c>
      <c r="D137" s="256" t="s">
        <v>131</v>
      </c>
      <c r="E137" s="230" t="s">
        <v>135</v>
      </c>
      <c r="F137" s="27"/>
      <c r="G137" s="133"/>
      <c r="H137" s="133"/>
      <c r="I137" s="133"/>
      <c r="J137" s="133"/>
      <c r="K137" s="228">
        <f t="shared" si="7"/>
        <v>0</v>
      </c>
      <c r="L137" s="228">
        <f t="shared" si="8"/>
        <v>0</v>
      </c>
      <c r="M137" s="228">
        <v>394.3</v>
      </c>
      <c r="N137" s="228">
        <f>+M137*1000/(104.2*4*15*60)*T137</f>
        <v>6.3067818298144598</v>
      </c>
      <c r="O137" s="228"/>
      <c r="P137" s="228">
        <f t="shared" si="9"/>
        <v>0</v>
      </c>
      <c r="Q137" s="228"/>
      <c r="R137" s="19">
        <f t="shared" si="10"/>
        <v>0</v>
      </c>
      <c r="S137" s="228">
        <f t="shared" si="11"/>
        <v>0</v>
      </c>
      <c r="T137" s="20">
        <v>6</v>
      </c>
      <c r="U137" s="20"/>
      <c r="V137" s="23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26">
        <v>300087</v>
      </c>
      <c r="B138" s="223" t="s">
        <v>118</v>
      </c>
      <c r="C138" s="256" t="s">
        <v>134</v>
      </c>
      <c r="D138" s="256" t="s">
        <v>131</v>
      </c>
      <c r="E138" s="230" t="s">
        <v>80</v>
      </c>
      <c r="F138" s="27"/>
      <c r="G138" s="133"/>
      <c r="H138" s="133"/>
      <c r="I138" s="133"/>
      <c r="J138" s="133"/>
      <c r="K138" s="228">
        <f t="shared" si="7"/>
        <v>0</v>
      </c>
      <c r="L138" s="228">
        <f t="shared" si="8"/>
        <v>0</v>
      </c>
      <c r="M138" s="228">
        <v>380.1</v>
      </c>
      <c r="N138" s="228">
        <f>+M138*1000/(104.2*4*16*60)*T138</f>
        <v>4.7497300863723604</v>
      </c>
      <c r="O138" s="228"/>
      <c r="P138" s="228">
        <f t="shared" si="9"/>
        <v>0</v>
      </c>
      <c r="Q138" s="228"/>
      <c r="R138" s="19">
        <f t="shared" si="10"/>
        <v>0</v>
      </c>
      <c r="S138" s="228">
        <f t="shared" si="11"/>
        <v>0</v>
      </c>
      <c r="T138" s="20">
        <v>5</v>
      </c>
      <c r="U138" s="20"/>
      <c r="V138" s="23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26">
        <v>300387</v>
      </c>
      <c r="B139" s="223" t="s">
        <v>136</v>
      </c>
      <c r="C139" s="267" t="s">
        <v>137</v>
      </c>
      <c r="D139" s="268"/>
      <c r="E139" s="230" t="s">
        <v>57</v>
      </c>
      <c r="F139" s="27"/>
      <c r="G139" s="133"/>
      <c r="H139" s="133"/>
      <c r="I139" s="133"/>
      <c r="J139" s="133"/>
      <c r="K139" s="228">
        <f t="shared" si="7"/>
        <v>0</v>
      </c>
      <c r="L139" s="228">
        <f t="shared" si="8"/>
        <v>0</v>
      </c>
      <c r="M139" s="228">
        <v>352.29</v>
      </c>
      <c r="N139" s="228">
        <f>+M139*1000/(104.2*4*16*60)*T139</f>
        <v>4.4022162907869484</v>
      </c>
      <c r="O139" s="228"/>
      <c r="P139" s="228">
        <f t="shared" si="9"/>
        <v>0</v>
      </c>
      <c r="Q139" s="228"/>
      <c r="R139" s="19">
        <f t="shared" si="10"/>
        <v>0</v>
      </c>
      <c r="S139" s="228">
        <f t="shared" si="11"/>
        <v>0</v>
      </c>
      <c r="T139" s="20">
        <v>5</v>
      </c>
      <c r="U139" s="20"/>
      <c r="V139" s="23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26">
        <v>300388</v>
      </c>
      <c r="B140" s="223" t="s">
        <v>138</v>
      </c>
      <c r="C140" s="267" t="s">
        <v>137</v>
      </c>
      <c r="D140" s="268"/>
      <c r="E140" s="230" t="s">
        <v>117</v>
      </c>
      <c r="F140" s="27"/>
      <c r="G140" s="133"/>
      <c r="H140" s="133"/>
      <c r="I140" s="133"/>
      <c r="J140" s="133"/>
      <c r="K140" s="228">
        <f t="shared" si="7"/>
        <v>0</v>
      </c>
      <c r="L140" s="228">
        <f t="shared" si="8"/>
        <v>0</v>
      </c>
      <c r="M140" s="228">
        <v>352.29</v>
      </c>
      <c r="N140" s="228">
        <f>+M140*1000/(104.2*4*16*60)*T140</f>
        <v>4.4022162907869484</v>
      </c>
      <c r="O140" s="228"/>
      <c r="P140" s="228">
        <f t="shared" si="9"/>
        <v>0</v>
      </c>
      <c r="Q140" s="228"/>
      <c r="R140" s="19">
        <f t="shared" si="10"/>
        <v>0</v>
      </c>
      <c r="S140" s="228">
        <f t="shared" si="11"/>
        <v>0</v>
      </c>
      <c r="T140" s="20">
        <v>5</v>
      </c>
      <c r="U140" s="20"/>
      <c r="V140" s="23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26">
        <v>300123</v>
      </c>
      <c r="B141" s="223" t="s">
        <v>118</v>
      </c>
      <c r="C141" s="256" t="s">
        <v>139</v>
      </c>
      <c r="D141" s="256" t="s">
        <v>140</v>
      </c>
      <c r="E141" s="230" t="s">
        <v>135</v>
      </c>
      <c r="F141" s="27"/>
      <c r="G141" s="133"/>
      <c r="H141" s="133"/>
      <c r="I141" s="133"/>
      <c r="J141" s="133"/>
      <c r="K141" s="228">
        <f t="shared" si="7"/>
        <v>0</v>
      </c>
      <c r="L141" s="228">
        <f t="shared" si="8"/>
        <v>0</v>
      </c>
      <c r="M141" s="228">
        <v>557</v>
      </c>
      <c r="N141" s="228">
        <f>+M141*1000/(126.5*4*15*60)*T141</f>
        <v>6.1155028546332888</v>
      </c>
      <c r="O141" s="228"/>
      <c r="P141" s="228">
        <f t="shared" si="9"/>
        <v>0</v>
      </c>
      <c r="Q141" s="228"/>
      <c r="R141" s="19">
        <f t="shared" si="10"/>
        <v>0</v>
      </c>
      <c r="S141" s="228">
        <f t="shared" si="11"/>
        <v>0</v>
      </c>
      <c r="T141" s="20">
        <v>5</v>
      </c>
      <c r="U141" s="20"/>
      <c r="V141" s="23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26">
        <v>300270</v>
      </c>
      <c r="B142" s="223" t="s">
        <v>118</v>
      </c>
      <c r="C142" s="256" t="s">
        <v>141</v>
      </c>
      <c r="D142" s="256"/>
      <c r="E142" s="230" t="s">
        <v>142</v>
      </c>
      <c r="F142" s="27"/>
      <c r="G142" s="133"/>
      <c r="H142" s="133"/>
      <c r="I142" s="133"/>
      <c r="J142" s="133"/>
      <c r="K142" s="228">
        <f t="shared" si="7"/>
        <v>0</v>
      </c>
      <c r="L142" s="228">
        <f t="shared" si="8"/>
        <v>0</v>
      </c>
      <c r="M142" s="228">
        <v>485.7</v>
      </c>
      <c r="N142" s="228">
        <f>+M142*1000/(126.5*4*15*60)*T142</f>
        <v>4.2661396574440049</v>
      </c>
      <c r="O142" s="228"/>
      <c r="P142" s="228">
        <f t="shared" si="9"/>
        <v>0</v>
      </c>
      <c r="Q142" s="228"/>
      <c r="R142" s="19">
        <f t="shared" si="10"/>
        <v>0</v>
      </c>
      <c r="S142" s="228">
        <f t="shared" si="11"/>
        <v>0</v>
      </c>
      <c r="T142" s="20">
        <v>4</v>
      </c>
      <c r="U142" s="20"/>
      <c r="V142" s="23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26">
        <v>300336</v>
      </c>
      <c r="B143" s="223" t="s">
        <v>136</v>
      </c>
      <c r="C143" s="256" t="s">
        <v>143</v>
      </c>
      <c r="D143" s="256"/>
      <c r="E143" s="230" t="s">
        <v>84</v>
      </c>
      <c r="F143" s="27"/>
      <c r="G143" s="133"/>
      <c r="H143" s="133"/>
      <c r="I143" s="133"/>
      <c r="J143" s="133"/>
      <c r="K143" s="228">
        <f t="shared" si="7"/>
        <v>0</v>
      </c>
      <c r="L143" s="228">
        <f t="shared" si="8"/>
        <v>0</v>
      </c>
      <c r="M143" s="228">
        <v>411.4</v>
      </c>
      <c r="N143" s="228">
        <f>+M143*1000/(104.2*4*16*60)*T143</f>
        <v>2.0563419705694179</v>
      </c>
      <c r="O143" s="228"/>
      <c r="P143" s="228">
        <f t="shared" si="9"/>
        <v>0</v>
      </c>
      <c r="Q143" s="228"/>
      <c r="R143" s="19">
        <f t="shared" si="10"/>
        <v>0</v>
      </c>
      <c r="S143" s="228">
        <f t="shared" si="11"/>
        <v>0</v>
      </c>
      <c r="T143" s="20">
        <v>2</v>
      </c>
      <c r="U143" s="20"/>
      <c r="V143" s="23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26">
        <v>300337</v>
      </c>
      <c r="B144" s="223" t="s">
        <v>138</v>
      </c>
      <c r="C144" s="256" t="s">
        <v>143</v>
      </c>
      <c r="D144" s="256"/>
      <c r="E144" s="230" t="s">
        <v>49</v>
      </c>
      <c r="F144" s="27"/>
      <c r="G144" s="133"/>
      <c r="H144" s="133"/>
      <c r="I144" s="133"/>
      <c r="J144" s="133"/>
      <c r="K144" s="228">
        <f t="shared" si="7"/>
        <v>0</v>
      </c>
      <c r="L144" s="228">
        <f t="shared" si="8"/>
        <v>0</v>
      </c>
      <c r="M144" s="228">
        <v>411.4</v>
      </c>
      <c r="N144" s="228">
        <f>+M144*1000/(104.2*4*16*60)*T144</f>
        <v>2.0563419705694179</v>
      </c>
      <c r="O144" s="228"/>
      <c r="P144" s="228">
        <f t="shared" si="9"/>
        <v>0</v>
      </c>
      <c r="Q144" s="228"/>
      <c r="R144" s="19">
        <f t="shared" si="10"/>
        <v>0</v>
      </c>
      <c r="S144" s="228">
        <f t="shared" si="11"/>
        <v>0</v>
      </c>
      <c r="T144" s="20">
        <v>2</v>
      </c>
      <c r="U144" s="20"/>
      <c r="V144" s="235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26">
        <v>300338</v>
      </c>
      <c r="B145" s="223" t="s">
        <v>144</v>
      </c>
      <c r="C145" s="256" t="s">
        <v>143</v>
      </c>
      <c r="D145" s="256"/>
      <c r="E145" s="230" t="s">
        <v>85</v>
      </c>
      <c r="F145" s="27"/>
      <c r="G145" s="133"/>
      <c r="H145" s="133"/>
      <c r="I145" s="133"/>
      <c r="J145" s="133"/>
      <c r="K145" s="228">
        <f t="shared" si="7"/>
        <v>0</v>
      </c>
      <c r="L145" s="228">
        <f t="shared" si="8"/>
        <v>0</v>
      </c>
      <c r="M145" s="228">
        <v>411.4</v>
      </c>
      <c r="N145" s="228">
        <f>+M145*1000/(104.2*4*16*60)*T145</f>
        <v>2.0563419705694179</v>
      </c>
      <c r="O145" s="228"/>
      <c r="P145" s="228">
        <f t="shared" si="9"/>
        <v>0</v>
      </c>
      <c r="Q145" s="228"/>
      <c r="R145" s="19">
        <f t="shared" si="10"/>
        <v>0</v>
      </c>
      <c r="S145" s="228">
        <f t="shared" si="11"/>
        <v>0</v>
      </c>
      <c r="T145" s="20">
        <v>2</v>
      </c>
      <c r="U145" s="20"/>
      <c r="V145" s="235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26">
        <v>300309</v>
      </c>
      <c r="B146" s="223">
        <v>6504</v>
      </c>
      <c r="C146" s="256" t="s">
        <v>145</v>
      </c>
      <c r="D146" s="256"/>
      <c r="E146" s="230" t="s">
        <v>47</v>
      </c>
      <c r="F146" s="27"/>
      <c r="G146" s="133"/>
      <c r="H146" s="133"/>
      <c r="I146" s="133"/>
      <c r="J146" s="133"/>
      <c r="K146" s="228">
        <f t="shared" si="7"/>
        <v>0</v>
      </c>
      <c r="L146" s="228">
        <f t="shared" si="8"/>
        <v>0</v>
      </c>
      <c r="M146" s="228">
        <v>316.88</v>
      </c>
      <c r="N146" s="228">
        <f>+M146*1000/(75.2*4*16*60)*T146</f>
        <v>6.5841090425531918</v>
      </c>
      <c r="O146" s="228"/>
      <c r="P146" s="228">
        <f t="shared" si="9"/>
        <v>0</v>
      </c>
      <c r="Q146" s="228"/>
      <c r="R146" s="19">
        <f t="shared" si="10"/>
        <v>0</v>
      </c>
      <c r="S146" s="228">
        <f t="shared" si="11"/>
        <v>0</v>
      </c>
      <c r="T146" s="20">
        <v>6</v>
      </c>
      <c r="U146" s="20"/>
      <c r="V146" s="23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26">
        <v>300310</v>
      </c>
      <c r="B147" s="223">
        <v>6504</v>
      </c>
      <c r="C147" s="256" t="s">
        <v>145</v>
      </c>
      <c r="D147" s="256"/>
      <c r="E147" s="230" t="s">
        <v>146</v>
      </c>
      <c r="F147" s="27"/>
      <c r="G147" s="133"/>
      <c r="H147" s="133"/>
      <c r="I147" s="133"/>
      <c r="J147" s="133"/>
      <c r="K147" s="228">
        <f t="shared" si="7"/>
        <v>0</v>
      </c>
      <c r="L147" s="228">
        <f t="shared" si="8"/>
        <v>0</v>
      </c>
      <c r="M147" s="228">
        <v>316.88</v>
      </c>
      <c r="N147" s="228">
        <f>+M147*1000/(75.2*4*16*60)*T147</f>
        <v>6.5841090425531918</v>
      </c>
      <c r="O147" s="228"/>
      <c r="P147" s="228">
        <f t="shared" si="9"/>
        <v>0</v>
      </c>
      <c r="Q147" s="228"/>
      <c r="R147" s="19">
        <f t="shared" si="10"/>
        <v>0</v>
      </c>
      <c r="S147" s="228">
        <f t="shared" si="11"/>
        <v>0</v>
      </c>
      <c r="T147" s="20">
        <v>6</v>
      </c>
      <c r="U147" s="20"/>
      <c r="V147" s="23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26">
        <v>300312</v>
      </c>
      <c r="B148" s="223">
        <v>6504</v>
      </c>
      <c r="C148" s="256" t="s">
        <v>145</v>
      </c>
      <c r="D148" s="256"/>
      <c r="E148" s="230" t="s">
        <v>147</v>
      </c>
      <c r="F148" s="27"/>
      <c r="G148" s="133"/>
      <c r="H148" s="133"/>
      <c r="I148" s="133"/>
      <c r="J148" s="133"/>
      <c r="K148" s="228">
        <f t="shared" si="7"/>
        <v>0</v>
      </c>
      <c r="L148" s="228">
        <f t="shared" si="8"/>
        <v>0</v>
      </c>
      <c r="M148" s="228">
        <v>316.88</v>
      </c>
      <c r="N148" s="228">
        <f>+M148*1000/(75.2*4*16*60)*T148</f>
        <v>6.5841090425531918</v>
      </c>
      <c r="O148" s="228"/>
      <c r="P148" s="228">
        <f t="shared" si="9"/>
        <v>0</v>
      </c>
      <c r="Q148" s="228"/>
      <c r="R148" s="19">
        <f t="shared" si="10"/>
        <v>0</v>
      </c>
      <c r="S148" s="228">
        <f t="shared" si="11"/>
        <v>0</v>
      </c>
      <c r="T148" s="20">
        <v>6</v>
      </c>
      <c r="U148" s="20"/>
      <c r="V148" s="23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26">
        <v>300311</v>
      </c>
      <c r="B149" s="223">
        <v>6504</v>
      </c>
      <c r="C149" s="267" t="s">
        <v>145</v>
      </c>
      <c r="D149" s="268"/>
      <c r="E149" s="230" t="s">
        <v>74</v>
      </c>
      <c r="F149" s="27"/>
      <c r="G149" s="133"/>
      <c r="H149" s="133"/>
      <c r="I149" s="133"/>
      <c r="J149" s="133"/>
      <c r="K149" s="228">
        <f t="shared" si="7"/>
        <v>0</v>
      </c>
      <c r="L149" s="228">
        <f t="shared" si="8"/>
        <v>0</v>
      </c>
      <c r="M149" s="228">
        <v>316.88</v>
      </c>
      <c r="N149" s="228">
        <f>+M149*1000/(75.2*4*16*60)*T149</f>
        <v>6.5841090425531918</v>
      </c>
      <c r="O149" s="228"/>
      <c r="P149" s="228">
        <f t="shared" si="9"/>
        <v>0</v>
      </c>
      <c r="Q149" s="228"/>
      <c r="R149" s="19">
        <f t="shared" si="10"/>
        <v>0</v>
      </c>
      <c r="S149" s="228">
        <f t="shared" si="11"/>
        <v>0</v>
      </c>
      <c r="T149" s="20">
        <v>6</v>
      </c>
      <c r="U149" s="20"/>
      <c r="V149" s="23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26">
        <v>300399</v>
      </c>
      <c r="B150" s="223">
        <v>18501</v>
      </c>
      <c r="C150" s="267" t="s">
        <v>148</v>
      </c>
      <c r="D150" s="268"/>
      <c r="E150" s="230" t="s">
        <v>41</v>
      </c>
      <c r="F150" s="27"/>
      <c r="G150" s="133"/>
      <c r="H150" s="133"/>
      <c r="I150" s="133"/>
      <c r="J150" s="133"/>
      <c r="K150" s="228">
        <f t="shared" si="7"/>
        <v>0</v>
      </c>
      <c r="L150" s="228">
        <f t="shared" si="8"/>
        <v>0</v>
      </c>
      <c r="M150" s="228">
        <v>311.2</v>
      </c>
      <c r="N150" s="228">
        <f>+M150*1000/(100*4*16*60)*T150</f>
        <v>4.8624999999999998</v>
      </c>
      <c r="O150" s="228"/>
      <c r="P150" s="228">
        <f t="shared" si="9"/>
        <v>0</v>
      </c>
      <c r="Q150" s="228"/>
      <c r="R150" s="19">
        <f t="shared" si="10"/>
        <v>0</v>
      </c>
      <c r="S150" s="228">
        <f t="shared" si="11"/>
        <v>0</v>
      </c>
      <c r="T150" s="20">
        <v>6</v>
      </c>
      <c r="U150" s="20"/>
      <c r="V150" s="235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26">
        <v>300400</v>
      </c>
      <c r="B151" s="223">
        <v>18501</v>
      </c>
      <c r="C151" s="267" t="s">
        <v>148</v>
      </c>
      <c r="D151" s="268"/>
      <c r="E151" s="230" t="s">
        <v>66</v>
      </c>
      <c r="F151" s="27"/>
      <c r="G151" s="133"/>
      <c r="H151" s="133"/>
      <c r="I151" s="133"/>
      <c r="J151" s="133"/>
      <c r="K151" s="228">
        <f t="shared" si="7"/>
        <v>0</v>
      </c>
      <c r="L151" s="228">
        <f t="shared" si="8"/>
        <v>0</v>
      </c>
      <c r="M151" s="228">
        <v>311.2</v>
      </c>
      <c r="N151" s="228">
        <f>+M151*1000/(100*4*16*60)*T151</f>
        <v>4.8624999999999998</v>
      </c>
      <c r="O151" s="228"/>
      <c r="P151" s="228">
        <f t="shared" si="9"/>
        <v>0</v>
      </c>
      <c r="Q151" s="228"/>
      <c r="R151" s="19">
        <f t="shared" si="10"/>
        <v>0</v>
      </c>
      <c r="S151" s="228">
        <f t="shared" si="11"/>
        <v>0</v>
      </c>
      <c r="T151" s="20">
        <v>6</v>
      </c>
      <c r="U151" s="20"/>
      <c r="V151" s="235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26">
        <v>300401</v>
      </c>
      <c r="B152" s="223">
        <v>18501</v>
      </c>
      <c r="C152" s="267" t="s">
        <v>148</v>
      </c>
      <c r="D152" s="268"/>
      <c r="E152" s="230" t="s">
        <v>149</v>
      </c>
      <c r="F152" s="27"/>
      <c r="G152" s="133"/>
      <c r="H152" s="133"/>
      <c r="I152" s="133"/>
      <c r="J152" s="133"/>
      <c r="K152" s="228">
        <f t="shared" si="7"/>
        <v>0</v>
      </c>
      <c r="L152" s="228">
        <f t="shared" si="8"/>
        <v>0</v>
      </c>
      <c r="M152" s="228">
        <v>311.2</v>
      </c>
      <c r="N152" s="228">
        <f>+M152*1000/(100*4*16*60)*T152</f>
        <v>4.8624999999999998</v>
      </c>
      <c r="O152" s="228"/>
      <c r="P152" s="228">
        <f t="shared" si="9"/>
        <v>0</v>
      </c>
      <c r="Q152" s="228"/>
      <c r="R152" s="19">
        <f t="shared" si="10"/>
        <v>0</v>
      </c>
      <c r="S152" s="228">
        <f t="shared" si="11"/>
        <v>0</v>
      </c>
      <c r="T152" s="20">
        <v>6</v>
      </c>
      <c r="U152" s="20"/>
      <c r="V152" s="235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26">
        <v>300402</v>
      </c>
      <c r="B153" s="223">
        <v>18501</v>
      </c>
      <c r="C153" s="267" t="s">
        <v>150</v>
      </c>
      <c r="D153" s="268"/>
      <c r="E153" s="230" t="s">
        <v>151</v>
      </c>
      <c r="F153" s="27"/>
      <c r="G153" s="133"/>
      <c r="H153" s="133"/>
      <c r="I153" s="133"/>
      <c r="J153" s="133"/>
      <c r="K153" s="228">
        <f t="shared" si="7"/>
        <v>0</v>
      </c>
      <c r="L153" s="228">
        <f t="shared" si="8"/>
        <v>0</v>
      </c>
      <c r="M153" s="228">
        <v>465.3</v>
      </c>
      <c r="N153" s="228">
        <f>+M153*1000/(137*4*16*60)*T153</f>
        <v>5.3067974452554747</v>
      </c>
      <c r="O153" s="228"/>
      <c r="P153" s="228">
        <f t="shared" si="9"/>
        <v>0</v>
      </c>
      <c r="Q153" s="228"/>
      <c r="R153" s="19">
        <f t="shared" si="10"/>
        <v>0</v>
      </c>
      <c r="S153" s="228">
        <f t="shared" si="11"/>
        <v>0</v>
      </c>
      <c r="T153" s="20">
        <v>6</v>
      </c>
      <c r="U153" s="20"/>
      <c r="V153" s="235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26">
        <v>300403</v>
      </c>
      <c r="B154" s="223">
        <v>18501</v>
      </c>
      <c r="C154" s="267" t="s">
        <v>150</v>
      </c>
      <c r="D154" s="268"/>
      <c r="E154" s="230" t="s">
        <v>152</v>
      </c>
      <c r="F154" s="27"/>
      <c r="G154" s="133"/>
      <c r="H154" s="133"/>
      <c r="I154" s="133"/>
      <c r="J154" s="133"/>
      <c r="K154" s="228">
        <f t="shared" ref="K154:K190" si="15">G154*M154</f>
        <v>0</v>
      </c>
      <c r="L154" s="228">
        <f t="shared" ref="L154:L190" si="16">I154*M154</f>
        <v>0</v>
      </c>
      <c r="M154" s="228">
        <v>465.3</v>
      </c>
      <c r="N154" s="228">
        <f>+M154*1000/(137*4*16*60)*T154</f>
        <v>5.3067974452554747</v>
      </c>
      <c r="O154" s="228"/>
      <c r="P154" s="228">
        <f t="shared" ref="P154:P190" si="17">N154*I154+O154*U154</f>
        <v>0</v>
      </c>
      <c r="Q154" s="228"/>
      <c r="R154" s="19">
        <f t="shared" ref="R154:R190" si="18">Q154*U154</f>
        <v>0</v>
      </c>
      <c r="S154" s="228">
        <f t="shared" ref="S154:S190" si="19">R154-P154</f>
        <v>0</v>
      </c>
      <c r="T154" s="20">
        <v>6</v>
      </c>
      <c r="U154" s="20"/>
      <c r="V154" s="235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26">
        <v>300404</v>
      </c>
      <c r="B155" s="223">
        <v>18501</v>
      </c>
      <c r="C155" s="267" t="s">
        <v>150</v>
      </c>
      <c r="D155" s="268"/>
      <c r="E155" s="230" t="s">
        <v>70</v>
      </c>
      <c r="F155" s="27"/>
      <c r="G155" s="133"/>
      <c r="H155" s="133"/>
      <c r="I155" s="133"/>
      <c r="J155" s="133"/>
      <c r="K155" s="228">
        <f t="shared" si="15"/>
        <v>0</v>
      </c>
      <c r="L155" s="228">
        <f t="shared" si="16"/>
        <v>0</v>
      </c>
      <c r="M155" s="228">
        <v>465.3</v>
      </c>
      <c r="N155" s="228">
        <f>+M155*1000/(137*4*16*60)*T155</f>
        <v>5.3067974452554747</v>
      </c>
      <c r="O155" s="228"/>
      <c r="P155" s="228">
        <f t="shared" si="17"/>
        <v>0</v>
      </c>
      <c r="Q155" s="228"/>
      <c r="R155" s="19">
        <f t="shared" si="18"/>
        <v>0</v>
      </c>
      <c r="S155" s="228">
        <f t="shared" si="19"/>
        <v>0</v>
      </c>
      <c r="T155" s="20">
        <v>6</v>
      </c>
      <c r="U155" s="20"/>
      <c r="V155" s="235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26">
        <v>300405</v>
      </c>
      <c r="B156" s="223">
        <v>18501</v>
      </c>
      <c r="C156" s="267" t="s">
        <v>150</v>
      </c>
      <c r="D156" s="268"/>
      <c r="E156" s="230" t="s">
        <v>35</v>
      </c>
      <c r="F156" s="27"/>
      <c r="G156" s="133"/>
      <c r="H156" s="133"/>
      <c r="I156" s="133"/>
      <c r="J156" s="133"/>
      <c r="K156" s="228">
        <f t="shared" si="15"/>
        <v>0</v>
      </c>
      <c r="L156" s="228">
        <f t="shared" si="16"/>
        <v>0</v>
      </c>
      <c r="M156" s="228">
        <v>465.3</v>
      </c>
      <c r="N156" s="228">
        <f>+M156*1000/(137*4*16*60)*T156</f>
        <v>5.3067974452554747</v>
      </c>
      <c r="O156" s="228"/>
      <c r="P156" s="228">
        <f t="shared" si="17"/>
        <v>0</v>
      </c>
      <c r="Q156" s="228"/>
      <c r="R156" s="19">
        <f t="shared" si="18"/>
        <v>0</v>
      </c>
      <c r="S156" s="228">
        <f t="shared" si="19"/>
        <v>0</v>
      </c>
      <c r="T156" s="20">
        <v>6</v>
      </c>
      <c r="U156" s="20"/>
      <c r="V156" s="235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26">
        <v>300372</v>
      </c>
      <c r="B157" s="223">
        <v>18501</v>
      </c>
      <c r="C157" s="267" t="s">
        <v>153</v>
      </c>
      <c r="D157" s="268"/>
      <c r="E157" s="230" t="s">
        <v>47</v>
      </c>
      <c r="F157" s="27"/>
      <c r="G157" s="133"/>
      <c r="H157" s="133"/>
      <c r="I157" s="133"/>
      <c r="J157" s="133"/>
      <c r="K157" s="228">
        <f t="shared" si="15"/>
        <v>0</v>
      </c>
      <c r="L157" s="228">
        <f t="shared" si="16"/>
        <v>0</v>
      </c>
      <c r="M157" s="228">
        <v>420.58</v>
      </c>
      <c r="N157" s="228">
        <f>+M157*1000/(140*4*16*60)*T157</f>
        <v>4.6939732142857142</v>
      </c>
      <c r="O157" s="228"/>
      <c r="P157" s="228">
        <f t="shared" si="17"/>
        <v>0</v>
      </c>
      <c r="Q157" s="228"/>
      <c r="R157" s="19">
        <f t="shared" si="18"/>
        <v>0</v>
      </c>
      <c r="S157" s="228">
        <f t="shared" si="19"/>
        <v>0</v>
      </c>
      <c r="T157" s="20">
        <v>6</v>
      </c>
      <c r="U157" s="20"/>
      <c r="V157" s="235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26">
        <v>300373</v>
      </c>
      <c r="B158" s="223">
        <v>18501</v>
      </c>
      <c r="C158" s="267" t="s">
        <v>153</v>
      </c>
      <c r="D158" s="268"/>
      <c r="E158" s="230" t="s">
        <v>146</v>
      </c>
      <c r="F158" s="27"/>
      <c r="G158" s="133"/>
      <c r="H158" s="133"/>
      <c r="I158" s="133"/>
      <c r="J158" s="133"/>
      <c r="K158" s="228">
        <f t="shared" si="15"/>
        <v>0</v>
      </c>
      <c r="L158" s="228">
        <f t="shared" si="16"/>
        <v>0</v>
      </c>
      <c r="M158" s="228">
        <v>420.58</v>
      </c>
      <c r="N158" s="228">
        <f>+M158*1000/(140*4*16*60)*T158</f>
        <v>4.6939732142857142</v>
      </c>
      <c r="O158" s="228"/>
      <c r="P158" s="228">
        <f t="shared" si="17"/>
        <v>0</v>
      </c>
      <c r="Q158" s="228"/>
      <c r="R158" s="19">
        <f t="shared" si="18"/>
        <v>0</v>
      </c>
      <c r="S158" s="228">
        <f t="shared" si="19"/>
        <v>0</v>
      </c>
      <c r="T158" s="20">
        <v>6</v>
      </c>
      <c r="U158" s="20"/>
      <c r="V158" s="235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26">
        <v>300374</v>
      </c>
      <c r="B159" s="223">
        <v>18501</v>
      </c>
      <c r="C159" s="267" t="s">
        <v>153</v>
      </c>
      <c r="D159" s="268"/>
      <c r="E159" s="230" t="s">
        <v>147</v>
      </c>
      <c r="F159" s="27"/>
      <c r="G159" s="133"/>
      <c r="H159" s="133"/>
      <c r="I159" s="133"/>
      <c r="J159" s="133"/>
      <c r="K159" s="228">
        <f t="shared" si="15"/>
        <v>0</v>
      </c>
      <c r="L159" s="228">
        <f t="shared" si="16"/>
        <v>0</v>
      </c>
      <c r="M159" s="228">
        <v>420.58</v>
      </c>
      <c r="N159" s="228">
        <f>+M159*1000/(140*4*16*60)*T159</f>
        <v>4.6939732142857142</v>
      </c>
      <c r="O159" s="228"/>
      <c r="P159" s="228">
        <f t="shared" si="17"/>
        <v>0</v>
      </c>
      <c r="Q159" s="228"/>
      <c r="R159" s="19">
        <f t="shared" si="18"/>
        <v>0</v>
      </c>
      <c r="S159" s="228">
        <f t="shared" si="19"/>
        <v>0</v>
      </c>
      <c r="T159" s="20">
        <v>6</v>
      </c>
      <c r="U159" s="20"/>
      <c r="V159" s="235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26">
        <v>300375</v>
      </c>
      <c r="B160" s="223">
        <v>18501</v>
      </c>
      <c r="C160" s="267" t="s">
        <v>153</v>
      </c>
      <c r="D160" s="268"/>
      <c r="E160" s="230" t="s">
        <v>74</v>
      </c>
      <c r="F160" s="27"/>
      <c r="G160" s="133"/>
      <c r="H160" s="133"/>
      <c r="I160" s="133"/>
      <c r="J160" s="133"/>
      <c r="K160" s="228">
        <f t="shared" si="15"/>
        <v>0</v>
      </c>
      <c r="L160" s="228">
        <f t="shared" si="16"/>
        <v>0</v>
      </c>
      <c r="M160" s="228">
        <v>420.58</v>
      </c>
      <c r="N160" s="228">
        <f>+M160*1000/(140*4*16*60)*T160</f>
        <v>4.6939732142857142</v>
      </c>
      <c r="O160" s="228"/>
      <c r="P160" s="228">
        <f t="shared" si="17"/>
        <v>0</v>
      </c>
      <c r="Q160" s="228"/>
      <c r="R160" s="19">
        <f t="shared" si="18"/>
        <v>0</v>
      </c>
      <c r="S160" s="228">
        <f t="shared" si="19"/>
        <v>0</v>
      </c>
      <c r="T160" s="20">
        <v>6</v>
      </c>
      <c r="U160" s="20"/>
      <c r="V160" s="235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26">
        <v>300341</v>
      </c>
      <c r="B161" s="223">
        <v>18501</v>
      </c>
      <c r="C161" s="274" t="s">
        <v>154</v>
      </c>
      <c r="D161" s="275"/>
      <c r="E161" s="230" t="s">
        <v>39</v>
      </c>
      <c r="F161" s="27"/>
      <c r="G161" s="133"/>
      <c r="H161" s="133"/>
      <c r="I161" s="133"/>
      <c r="J161" s="133"/>
      <c r="K161" s="228">
        <f t="shared" si="15"/>
        <v>0</v>
      </c>
      <c r="L161" s="228">
        <f t="shared" si="16"/>
        <v>0</v>
      </c>
      <c r="M161" s="228">
        <v>439.3</v>
      </c>
      <c r="N161" s="228">
        <f t="shared" ref="N161:N167" si="20">+M161*1000/(169.7*4*13*60)*T161</f>
        <v>4.1485351223123761</v>
      </c>
      <c r="O161" s="228"/>
      <c r="P161" s="228">
        <f t="shared" si="17"/>
        <v>0</v>
      </c>
      <c r="Q161" s="228"/>
      <c r="R161" s="19">
        <f t="shared" si="18"/>
        <v>0</v>
      </c>
      <c r="S161" s="228">
        <f t="shared" si="19"/>
        <v>0</v>
      </c>
      <c r="T161" s="20">
        <v>5</v>
      </c>
      <c r="U161" s="20"/>
      <c r="V161" s="235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26">
        <v>300342</v>
      </c>
      <c r="B162" s="223">
        <v>18501</v>
      </c>
      <c r="C162" s="274" t="s">
        <v>154</v>
      </c>
      <c r="D162" s="275"/>
      <c r="E162" s="230" t="s">
        <v>80</v>
      </c>
      <c r="F162" s="27"/>
      <c r="G162" s="133"/>
      <c r="H162" s="133"/>
      <c r="I162" s="133"/>
      <c r="J162" s="133"/>
      <c r="K162" s="228">
        <f t="shared" si="15"/>
        <v>0</v>
      </c>
      <c r="L162" s="228">
        <f t="shared" si="16"/>
        <v>0</v>
      </c>
      <c r="M162" s="228">
        <v>439.3</v>
      </c>
      <c r="N162" s="228">
        <f t="shared" si="20"/>
        <v>4.1485351223123761</v>
      </c>
      <c r="O162" s="228"/>
      <c r="P162" s="228">
        <f t="shared" si="17"/>
        <v>0</v>
      </c>
      <c r="Q162" s="228"/>
      <c r="R162" s="19">
        <f t="shared" si="18"/>
        <v>0</v>
      </c>
      <c r="S162" s="228">
        <f t="shared" si="19"/>
        <v>0</v>
      </c>
      <c r="T162" s="20">
        <v>5</v>
      </c>
      <c r="U162" s="20"/>
      <c r="V162" s="235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26">
        <v>300343</v>
      </c>
      <c r="B163" s="223">
        <v>18501</v>
      </c>
      <c r="C163" s="274" t="s">
        <v>154</v>
      </c>
      <c r="D163" s="275"/>
      <c r="E163" s="230" t="s">
        <v>35</v>
      </c>
      <c r="F163" s="27"/>
      <c r="G163" s="133"/>
      <c r="H163" s="133"/>
      <c r="I163" s="133"/>
      <c r="J163" s="133"/>
      <c r="K163" s="228">
        <f t="shared" si="15"/>
        <v>0</v>
      </c>
      <c r="L163" s="228">
        <f t="shared" si="16"/>
        <v>0</v>
      </c>
      <c r="M163" s="228">
        <v>455.4</v>
      </c>
      <c r="N163" s="228">
        <f t="shared" si="20"/>
        <v>4.3005756765332483</v>
      </c>
      <c r="O163" s="228"/>
      <c r="P163" s="228">
        <f t="shared" si="17"/>
        <v>0</v>
      </c>
      <c r="Q163" s="228"/>
      <c r="R163" s="19">
        <f t="shared" si="18"/>
        <v>0</v>
      </c>
      <c r="S163" s="228">
        <f t="shared" si="19"/>
        <v>0</v>
      </c>
      <c r="T163" s="20">
        <v>5</v>
      </c>
      <c r="U163" s="20"/>
      <c r="V163" s="235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26">
        <v>300344</v>
      </c>
      <c r="B164" s="223">
        <v>18501</v>
      </c>
      <c r="C164" s="274" t="s">
        <v>154</v>
      </c>
      <c r="D164" s="275"/>
      <c r="E164" s="230" t="s">
        <v>40</v>
      </c>
      <c r="F164" s="27"/>
      <c r="G164" s="133"/>
      <c r="H164" s="133"/>
      <c r="I164" s="133"/>
      <c r="J164" s="133"/>
      <c r="K164" s="228">
        <f t="shared" si="15"/>
        <v>0</v>
      </c>
      <c r="L164" s="228">
        <f t="shared" si="16"/>
        <v>0</v>
      </c>
      <c r="M164" s="228">
        <v>455.4</v>
      </c>
      <c r="N164" s="228">
        <f t="shared" si="20"/>
        <v>4.3005756765332483</v>
      </c>
      <c r="O164" s="228"/>
      <c r="P164" s="228">
        <f t="shared" si="17"/>
        <v>0</v>
      </c>
      <c r="Q164" s="228"/>
      <c r="R164" s="19">
        <f t="shared" si="18"/>
        <v>0</v>
      </c>
      <c r="S164" s="228">
        <f t="shared" si="19"/>
        <v>0</v>
      </c>
      <c r="T164" s="20">
        <v>5</v>
      </c>
      <c r="U164" s="20"/>
      <c r="V164" s="235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26">
        <v>300396</v>
      </c>
      <c r="B165" s="223">
        <v>18501</v>
      </c>
      <c r="C165" s="274" t="s">
        <v>155</v>
      </c>
      <c r="D165" s="275"/>
      <c r="E165" s="230" t="s">
        <v>41</v>
      </c>
      <c r="F165" s="27"/>
      <c r="G165" s="133"/>
      <c r="H165" s="133"/>
      <c r="I165" s="133"/>
      <c r="J165" s="133"/>
      <c r="K165" s="228">
        <f t="shared" si="15"/>
        <v>0</v>
      </c>
      <c r="L165" s="228">
        <f t="shared" si="16"/>
        <v>0</v>
      </c>
      <c r="M165" s="228">
        <v>417.1</v>
      </c>
      <c r="N165" s="228">
        <f t="shared" si="20"/>
        <v>3.9388891407158937</v>
      </c>
      <c r="O165" s="228"/>
      <c r="P165" s="228">
        <f t="shared" si="17"/>
        <v>0</v>
      </c>
      <c r="Q165" s="228"/>
      <c r="R165" s="19">
        <f t="shared" si="18"/>
        <v>0</v>
      </c>
      <c r="S165" s="228">
        <f t="shared" si="19"/>
        <v>0</v>
      </c>
      <c r="T165" s="20">
        <v>5</v>
      </c>
      <c r="U165" s="20"/>
      <c r="V165" s="235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26">
        <v>300397</v>
      </c>
      <c r="B166" s="223">
        <v>18501</v>
      </c>
      <c r="C166" s="274" t="s">
        <v>155</v>
      </c>
      <c r="D166" s="275"/>
      <c r="E166" s="230" t="s">
        <v>66</v>
      </c>
      <c r="F166" s="27"/>
      <c r="G166" s="133"/>
      <c r="H166" s="133"/>
      <c r="I166" s="133"/>
      <c r="J166" s="133"/>
      <c r="K166" s="228">
        <f t="shared" si="15"/>
        <v>0</v>
      </c>
      <c r="L166" s="228">
        <f t="shared" si="16"/>
        <v>0</v>
      </c>
      <c r="M166" s="228">
        <v>417.1</v>
      </c>
      <c r="N166" s="228">
        <f t="shared" si="20"/>
        <v>3.9388891407158937</v>
      </c>
      <c r="O166" s="228"/>
      <c r="P166" s="228">
        <f t="shared" si="17"/>
        <v>0</v>
      </c>
      <c r="Q166" s="228"/>
      <c r="R166" s="19">
        <f t="shared" si="18"/>
        <v>0</v>
      </c>
      <c r="S166" s="228">
        <f t="shared" si="19"/>
        <v>0</v>
      </c>
      <c r="T166" s="20">
        <v>5</v>
      </c>
      <c r="U166" s="20"/>
      <c r="V166" s="235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26">
        <v>300398</v>
      </c>
      <c r="B167" s="223">
        <v>18501</v>
      </c>
      <c r="C167" s="274" t="s">
        <v>155</v>
      </c>
      <c r="D167" s="275"/>
      <c r="E167" s="230" t="s">
        <v>149</v>
      </c>
      <c r="F167" s="27"/>
      <c r="G167" s="133"/>
      <c r="H167" s="133"/>
      <c r="I167" s="133"/>
      <c r="J167" s="133"/>
      <c r="K167" s="228">
        <f t="shared" si="15"/>
        <v>0</v>
      </c>
      <c r="L167" s="228">
        <f t="shared" si="16"/>
        <v>0</v>
      </c>
      <c r="M167" s="228">
        <v>417.1</v>
      </c>
      <c r="N167" s="228">
        <f t="shared" si="20"/>
        <v>3.9388891407158937</v>
      </c>
      <c r="O167" s="228"/>
      <c r="P167" s="228">
        <f t="shared" si="17"/>
        <v>0</v>
      </c>
      <c r="Q167" s="228"/>
      <c r="R167" s="19">
        <f t="shared" si="18"/>
        <v>0</v>
      </c>
      <c r="S167" s="228">
        <f t="shared" si="19"/>
        <v>0</v>
      </c>
      <c r="T167" s="20">
        <v>5</v>
      </c>
      <c r="U167" s="20"/>
      <c r="V167" s="235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26">
        <v>300271</v>
      </c>
      <c r="B168" s="223">
        <v>18501</v>
      </c>
      <c r="C168" s="256" t="s">
        <v>156</v>
      </c>
      <c r="D168" s="256"/>
      <c r="E168" s="230" t="s">
        <v>142</v>
      </c>
      <c r="F168" s="27"/>
      <c r="G168" s="133"/>
      <c r="H168" s="133"/>
      <c r="I168" s="133"/>
      <c r="J168" s="133"/>
      <c r="K168" s="228">
        <f t="shared" si="15"/>
        <v>0</v>
      </c>
      <c r="L168" s="228">
        <f t="shared" si="16"/>
        <v>0</v>
      </c>
      <c r="M168" s="228">
        <v>580.1</v>
      </c>
      <c r="N168" s="228">
        <f>+M168*1000/(202*4*13*60)*T168</f>
        <v>3.6817720233561819</v>
      </c>
      <c r="O168" s="228"/>
      <c r="P168" s="228">
        <f t="shared" si="17"/>
        <v>0</v>
      </c>
      <c r="Q168" s="228"/>
      <c r="R168" s="19">
        <f t="shared" si="18"/>
        <v>0</v>
      </c>
      <c r="S168" s="228">
        <f t="shared" si="19"/>
        <v>0</v>
      </c>
      <c r="T168" s="20">
        <v>4</v>
      </c>
      <c r="U168" s="20"/>
      <c r="V168" s="23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26">
        <v>300009</v>
      </c>
      <c r="B169" s="223">
        <v>18501</v>
      </c>
      <c r="C169" s="256" t="s">
        <v>157</v>
      </c>
      <c r="D169" s="256" t="s">
        <v>158</v>
      </c>
      <c r="E169" s="230" t="s">
        <v>135</v>
      </c>
      <c r="F169" s="27"/>
      <c r="G169" s="133">
        <v>11</v>
      </c>
      <c r="H169" s="133"/>
      <c r="I169" s="133">
        <v>11</v>
      </c>
      <c r="J169" s="133"/>
      <c r="K169" s="228">
        <f t="shared" si="15"/>
        <v>5728.7999999999993</v>
      </c>
      <c r="L169" s="228">
        <f t="shared" si="16"/>
        <v>5728.7999999999993</v>
      </c>
      <c r="M169" s="228">
        <v>520.79999999999995</v>
      </c>
      <c r="N169" s="228">
        <f>+M169*1000/(188*4*13*60)*T169</f>
        <v>5.3273322422258591</v>
      </c>
      <c r="O169" s="228"/>
      <c r="P169" s="228">
        <f t="shared" si="17"/>
        <v>58.600654664484452</v>
      </c>
      <c r="Q169" s="228">
        <v>11</v>
      </c>
      <c r="R169" s="19">
        <f t="shared" si="18"/>
        <v>88</v>
      </c>
      <c r="S169" s="228">
        <f t="shared" si="19"/>
        <v>29.399345335515548</v>
      </c>
      <c r="T169" s="20">
        <v>6</v>
      </c>
      <c r="U169" s="20">
        <v>8</v>
      </c>
      <c r="V169" s="235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26">
        <v>300010</v>
      </c>
      <c r="B170" s="223">
        <v>18501</v>
      </c>
      <c r="C170" s="256" t="s">
        <v>157</v>
      </c>
      <c r="D170" s="256" t="s">
        <v>158</v>
      </c>
      <c r="E170" s="230" t="s">
        <v>80</v>
      </c>
      <c r="F170" s="27"/>
      <c r="G170" s="133"/>
      <c r="H170" s="133"/>
      <c r="I170" s="133"/>
      <c r="J170" s="133"/>
      <c r="K170" s="228">
        <f t="shared" si="15"/>
        <v>0</v>
      </c>
      <c r="L170" s="228">
        <f t="shared" si="16"/>
        <v>0</v>
      </c>
      <c r="M170" s="228">
        <v>530.9</v>
      </c>
      <c r="N170" s="228">
        <f>+M170*1000/(188*4*13*60)*T170</f>
        <v>4.5255387343153304</v>
      </c>
      <c r="O170" s="228"/>
      <c r="P170" s="228">
        <f t="shared" si="17"/>
        <v>0</v>
      </c>
      <c r="Q170" s="228"/>
      <c r="R170" s="19">
        <f t="shared" si="18"/>
        <v>0</v>
      </c>
      <c r="S170" s="228">
        <f t="shared" si="19"/>
        <v>0</v>
      </c>
      <c r="T170" s="20">
        <v>5</v>
      </c>
      <c r="U170" s="20"/>
      <c r="V170" s="23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26">
        <v>300305</v>
      </c>
      <c r="B171" s="223">
        <v>18501</v>
      </c>
      <c r="C171" s="256" t="s">
        <v>159</v>
      </c>
      <c r="D171" s="256" t="s">
        <v>160</v>
      </c>
      <c r="E171" s="230" t="s">
        <v>57</v>
      </c>
      <c r="F171" s="27"/>
      <c r="G171" s="133"/>
      <c r="H171" s="133"/>
      <c r="I171" s="133"/>
      <c r="J171" s="133"/>
      <c r="K171" s="228">
        <f t="shared" si="15"/>
        <v>0</v>
      </c>
      <c r="L171" s="228">
        <f t="shared" si="16"/>
        <v>0</v>
      </c>
      <c r="M171" s="228">
        <v>530.20000000000005</v>
      </c>
      <c r="N171" s="228">
        <f t="shared" ref="N171:N176" si="21">+M171*1000/(202*4*13*60)*T171</f>
        <v>4.2063340949479562</v>
      </c>
      <c r="O171" s="228"/>
      <c r="P171" s="228">
        <f t="shared" si="17"/>
        <v>0</v>
      </c>
      <c r="Q171" s="228"/>
      <c r="R171" s="19">
        <f t="shared" si="18"/>
        <v>0</v>
      </c>
      <c r="S171" s="228">
        <f t="shared" si="19"/>
        <v>0</v>
      </c>
      <c r="T171" s="20">
        <v>5</v>
      </c>
      <c r="U171" s="20"/>
      <c r="V171" s="23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26">
        <v>300306</v>
      </c>
      <c r="B172" s="223">
        <v>18501</v>
      </c>
      <c r="C172" s="256" t="s">
        <v>159</v>
      </c>
      <c r="D172" s="256" t="s">
        <v>160</v>
      </c>
      <c r="E172" s="230" t="s">
        <v>117</v>
      </c>
      <c r="F172" s="27"/>
      <c r="G172" s="133"/>
      <c r="H172" s="133"/>
      <c r="I172" s="133"/>
      <c r="J172" s="133"/>
      <c r="K172" s="228">
        <f t="shared" si="15"/>
        <v>0</v>
      </c>
      <c r="L172" s="228">
        <f t="shared" si="16"/>
        <v>0</v>
      </c>
      <c r="M172" s="228">
        <v>538.79999999999995</v>
      </c>
      <c r="N172" s="228">
        <f t="shared" si="21"/>
        <v>4.2745620715917747</v>
      </c>
      <c r="O172" s="228"/>
      <c r="P172" s="228">
        <f t="shared" si="17"/>
        <v>0</v>
      </c>
      <c r="Q172" s="228"/>
      <c r="R172" s="19">
        <f t="shared" si="18"/>
        <v>0</v>
      </c>
      <c r="S172" s="228">
        <f t="shared" si="19"/>
        <v>0</v>
      </c>
      <c r="T172" s="20">
        <v>5</v>
      </c>
      <c r="U172" s="20"/>
      <c r="V172" s="23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26">
        <v>300307</v>
      </c>
      <c r="B173" s="223">
        <v>18501</v>
      </c>
      <c r="C173" s="256" t="s">
        <v>159</v>
      </c>
      <c r="D173" s="256" t="s">
        <v>160</v>
      </c>
      <c r="E173" s="230" t="s">
        <v>133</v>
      </c>
      <c r="F173" s="27"/>
      <c r="G173" s="133"/>
      <c r="H173" s="133"/>
      <c r="I173" s="133"/>
      <c r="J173" s="133"/>
      <c r="K173" s="228">
        <f t="shared" si="15"/>
        <v>0</v>
      </c>
      <c r="L173" s="228">
        <f t="shared" si="16"/>
        <v>0</v>
      </c>
      <c r="M173" s="228">
        <v>569</v>
      </c>
      <c r="N173" s="228">
        <f t="shared" si="21"/>
        <v>4.5141533384107637</v>
      </c>
      <c r="O173" s="228"/>
      <c r="P173" s="228">
        <f t="shared" si="17"/>
        <v>0</v>
      </c>
      <c r="Q173" s="228"/>
      <c r="R173" s="19">
        <f t="shared" si="18"/>
        <v>0</v>
      </c>
      <c r="S173" s="228">
        <f t="shared" si="19"/>
        <v>0</v>
      </c>
      <c r="T173" s="20">
        <v>5</v>
      </c>
      <c r="U173" s="20"/>
      <c r="V173" s="23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26">
        <v>300308</v>
      </c>
      <c r="B174" s="223">
        <v>18501</v>
      </c>
      <c r="C174" s="256" t="s">
        <v>159</v>
      </c>
      <c r="D174" s="256" t="s">
        <v>160</v>
      </c>
      <c r="E174" s="230" t="s">
        <v>132</v>
      </c>
      <c r="F174" s="27"/>
      <c r="G174" s="133"/>
      <c r="H174" s="133"/>
      <c r="I174" s="133"/>
      <c r="J174" s="133"/>
      <c r="K174" s="228">
        <f t="shared" si="15"/>
        <v>0</v>
      </c>
      <c r="L174" s="228">
        <f t="shared" si="16"/>
        <v>0</v>
      </c>
      <c r="M174" s="228">
        <v>523.6</v>
      </c>
      <c r="N174" s="228">
        <f t="shared" si="21"/>
        <v>4.1539730896166542</v>
      </c>
      <c r="O174" s="228"/>
      <c r="P174" s="228">
        <f t="shared" si="17"/>
        <v>0</v>
      </c>
      <c r="Q174" s="228"/>
      <c r="R174" s="19">
        <f t="shared" si="18"/>
        <v>0</v>
      </c>
      <c r="S174" s="228">
        <f t="shared" si="19"/>
        <v>0</v>
      </c>
      <c r="T174" s="20">
        <v>5</v>
      </c>
      <c r="U174" s="20"/>
      <c r="V174" s="23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26">
        <v>300182</v>
      </c>
      <c r="B175" s="223">
        <v>18501</v>
      </c>
      <c r="C175" s="256" t="s">
        <v>161</v>
      </c>
      <c r="D175" s="256" t="s">
        <v>160</v>
      </c>
      <c r="E175" s="230" t="s">
        <v>80</v>
      </c>
      <c r="F175" s="27"/>
      <c r="G175" s="133"/>
      <c r="H175" s="133"/>
      <c r="I175" s="133"/>
      <c r="J175" s="133"/>
      <c r="K175" s="228">
        <f t="shared" si="15"/>
        <v>0</v>
      </c>
      <c r="L175" s="228">
        <f t="shared" si="16"/>
        <v>0</v>
      </c>
      <c r="M175" s="228">
        <v>649.1</v>
      </c>
      <c r="N175" s="228">
        <f t="shared" si="21"/>
        <v>5.1496255394770252</v>
      </c>
      <c r="O175" s="228"/>
      <c r="P175" s="228">
        <f t="shared" si="17"/>
        <v>0</v>
      </c>
      <c r="Q175" s="228"/>
      <c r="R175" s="19">
        <f t="shared" si="18"/>
        <v>0</v>
      </c>
      <c r="S175" s="228">
        <f t="shared" si="19"/>
        <v>0</v>
      </c>
      <c r="T175" s="20">
        <v>5</v>
      </c>
      <c r="U175" s="20"/>
      <c r="V175" s="23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26">
        <v>300185</v>
      </c>
      <c r="B176" s="223">
        <v>18501</v>
      </c>
      <c r="C176" s="256" t="s">
        <v>161</v>
      </c>
      <c r="D176" s="256" t="s">
        <v>160</v>
      </c>
      <c r="E176" s="230" t="s">
        <v>135</v>
      </c>
      <c r="F176" s="27"/>
      <c r="G176" s="133"/>
      <c r="H176" s="133"/>
      <c r="I176" s="133"/>
      <c r="J176" s="133"/>
      <c r="K176" s="228">
        <f t="shared" si="15"/>
        <v>0</v>
      </c>
      <c r="L176" s="228">
        <f t="shared" si="16"/>
        <v>0</v>
      </c>
      <c r="M176" s="228">
        <v>638</v>
      </c>
      <c r="N176" s="228">
        <f t="shared" si="21"/>
        <v>6.0738766184310737</v>
      </c>
      <c r="O176" s="228"/>
      <c r="P176" s="228">
        <f t="shared" si="17"/>
        <v>0</v>
      </c>
      <c r="Q176" s="228"/>
      <c r="R176" s="19">
        <f t="shared" si="18"/>
        <v>0</v>
      </c>
      <c r="S176" s="228">
        <f t="shared" si="19"/>
        <v>0</v>
      </c>
      <c r="T176" s="20">
        <v>6</v>
      </c>
      <c r="U176" s="20"/>
      <c r="V176" s="23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26">
        <v>300272</v>
      </c>
      <c r="B177" s="223">
        <v>18502</v>
      </c>
      <c r="C177" s="256" t="s">
        <v>162</v>
      </c>
      <c r="D177" s="256"/>
      <c r="E177" s="230" t="s">
        <v>42</v>
      </c>
      <c r="F177" s="27"/>
      <c r="G177" s="133"/>
      <c r="H177" s="133"/>
      <c r="I177" s="133"/>
      <c r="J177" s="133"/>
      <c r="K177" s="228">
        <f t="shared" si="15"/>
        <v>0</v>
      </c>
      <c r="L177" s="228">
        <f t="shared" si="16"/>
        <v>0</v>
      </c>
      <c r="M177" s="228">
        <v>523.9</v>
      </c>
      <c r="N177" s="228">
        <f>+M177*1000/(128*4*13*60)*T177</f>
        <v>5.247395833333333</v>
      </c>
      <c r="O177" s="228"/>
      <c r="P177" s="228">
        <f t="shared" si="17"/>
        <v>0</v>
      </c>
      <c r="Q177" s="228"/>
      <c r="R177" s="19">
        <f t="shared" si="18"/>
        <v>0</v>
      </c>
      <c r="S177" s="228">
        <f t="shared" si="19"/>
        <v>0</v>
      </c>
      <c r="T177" s="20">
        <v>4</v>
      </c>
      <c r="U177" s="20"/>
      <c r="V177" s="23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26">
        <v>300273</v>
      </c>
      <c r="B178" s="223">
        <v>18502</v>
      </c>
      <c r="C178" s="256" t="s">
        <v>162</v>
      </c>
      <c r="D178" s="256"/>
      <c r="E178" s="230" t="s">
        <v>163</v>
      </c>
      <c r="F178" s="27"/>
      <c r="G178" s="133"/>
      <c r="H178" s="133"/>
      <c r="I178" s="133"/>
      <c r="J178" s="133"/>
      <c r="K178" s="228">
        <f t="shared" si="15"/>
        <v>0</v>
      </c>
      <c r="L178" s="228">
        <f t="shared" si="16"/>
        <v>0</v>
      </c>
      <c r="M178" s="228">
        <v>523.9</v>
      </c>
      <c r="N178" s="228">
        <f>+M178*1000/(128*4*13*60)*T178</f>
        <v>6.5592447916666661</v>
      </c>
      <c r="O178" s="228"/>
      <c r="P178" s="228">
        <f t="shared" si="17"/>
        <v>0</v>
      </c>
      <c r="Q178" s="228"/>
      <c r="R178" s="19">
        <f t="shared" si="18"/>
        <v>0</v>
      </c>
      <c r="S178" s="228">
        <f t="shared" si="19"/>
        <v>0</v>
      </c>
      <c r="T178" s="20">
        <v>5</v>
      </c>
      <c r="U178" s="20"/>
      <c r="V178" s="23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26">
        <v>300274</v>
      </c>
      <c r="B179" s="223">
        <v>18502</v>
      </c>
      <c r="C179" s="256" t="s">
        <v>162</v>
      </c>
      <c r="D179" s="256"/>
      <c r="E179" s="230" t="s">
        <v>146</v>
      </c>
      <c r="F179" s="27"/>
      <c r="G179" s="133"/>
      <c r="H179" s="133"/>
      <c r="I179" s="133"/>
      <c r="J179" s="133"/>
      <c r="K179" s="228">
        <f t="shared" si="15"/>
        <v>0</v>
      </c>
      <c r="L179" s="228">
        <f t="shared" si="16"/>
        <v>0</v>
      </c>
      <c r="M179" s="228">
        <v>523.9</v>
      </c>
      <c r="N179" s="228">
        <f>+M179*1000/(128*4*13*60)*T179</f>
        <v>5.247395833333333</v>
      </c>
      <c r="O179" s="228"/>
      <c r="P179" s="228">
        <f t="shared" si="17"/>
        <v>0</v>
      </c>
      <c r="Q179" s="228"/>
      <c r="R179" s="19">
        <f t="shared" si="18"/>
        <v>0</v>
      </c>
      <c r="S179" s="228">
        <f t="shared" si="19"/>
        <v>0</v>
      </c>
      <c r="T179" s="20">
        <v>4</v>
      </c>
      <c r="U179" s="20"/>
      <c r="V179" s="23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26">
        <v>300275</v>
      </c>
      <c r="B180" s="223">
        <v>18502</v>
      </c>
      <c r="C180" s="256" t="s">
        <v>162</v>
      </c>
      <c r="D180" s="256"/>
      <c r="E180" s="230" t="s">
        <v>164</v>
      </c>
      <c r="F180" s="27"/>
      <c r="G180" s="133"/>
      <c r="H180" s="133"/>
      <c r="I180" s="133"/>
      <c r="J180" s="133"/>
      <c r="K180" s="228">
        <f t="shared" si="15"/>
        <v>0</v>
      </c>
      <c r="L180" s="228">
        <f t="shared" si="16"/>
        <v>0</v>
      </c>
      <c r="M180" s="228">
        <v>523.9</v>
      </c>
      <c r="N180" s="228">
        <f>+M180*1000/(128*4*13*60)*T180</f>
        <v>5.247395833333333</v>
      </c>
      <c r="O180" s="228"/>
      <c r="P180" s="228">
        <f t="shared" si="17"/>
        <v>0</v>
      </c>
      <c r="Q180" s="228"/>
      <c r="R180" s="19">
        <f t="shared" si="18"/>
        <v>0</v>
      </c>
      <c r="S180" s="228">
        <f t="shared" si="19"/>
        <v>0</v>
      </c>
      <c r="T180" s="20">
        <v>4</v>
      </c>
      <c r="U180" s="20"/>
      <c r="V180" s="23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26">
        <v>300285</v>
      </c>
      <c r="B181" s="223">
        <v>13001</v>
      </c>
      <c r="C181" s="256" t="s">
        <v>165</v>
      </c>
      <c r="D181" s="256"/>
      <c r="E181" s="230" t="s">
        <v>37</v>
      </c>
      <c r="F181" s="27"/>
      <c r="G181" s="133"/>
      <c r="H181" s="133"/>
      <c r="I181" s="133"/>
      <c r="J181" s="133"/>
      <c r="K181" s="228">
        <f t="shared" si="15"/>
        <v>0</v>
      </c>
      <c r="L181" s="228">
        <f t="shared" si="16"/>
        <v>0</v>
      </c>
      <c r="M181" s="228">
        <v>438.7</v>
      </c>
      <c r="N181" s="228">
        <f t="shared" ref="N181:N186" si="22">+M181*1000/(90*4*18*60)*T181</f>
        <v>5.6417181069958842</v>
      </c>
      <c r="O181" s="228"/>
      <c r="P181" s="228">
        <f t="shared" si="17"/>
        <v>0</v>
      </c>
      <c r="Q181" s="228"/>
      <c r="R181" s="19">
        <f t="shared" si="18"/>
        <v>0</v>
      </c>
      <c r="S181" s="228">
        <f t="shared" si="19"/>
        <v>0</v>
      </c>
      <c r="T181" s="20">
        <v>5</v>
      </c>
      <c r="U181" s="20"/>
      <c r="V181" s="23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26">
        <v>300287</v>
      </c>
      <c r="B182" s="223">
        <v>13001</v>
      </c>
      <c r="C182" s="256" t="s">
        <v>165</v>
      </c>
      <c r="D182" s="256"/>
      <c r="E182" s="230" t="s">
        <v>57</v>
      </c>
      <c r="F182" s="27"/>
      <c r="G182" s="133"/>
      <c r="H182" s="133"/>
      <c r="I182" s="133"/>
      <c r="J182" s="133"/>
      <c r="K182" s="228">
        <f t="shared" si="15"/>
        <v>0</v>
      </c>
      <c r="L182" s="228">
        <f t="shared" si="16"/>
        <v>0</v>
      </c>
      <c r="M182" s="228">
        <v>438.7</v>
      </c>
      <c r="N182" s="228">
        <f t="shared" si="22"/>
        <v>5.6417181069958842</v>
      </c>
      <c r="O182" s="228"/>
      <c r="P182" s="228">
        <f t="shared" si="17"/>
        <v>0</v>
      </c>
      <c r="Q182" s="228"/>
      <c r="R182" s="19">
        <f t="shared" si="18"/>
        <v>0</v>
      </c>
      <c r="S182" s="228">
        <f t="shared" si="19"/>
        <v>0</v>
      </c>
      <c r="T182" s="20">
        <v>5</v>
      </c>
      <c r="U182" s="20"/>
      <c r="V182" s="23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26">
        <v>300284</v>
      </c>
      <c r="B183" s="223">
        <v>13001</v>
      </c>
      <c r="C183" s="256" t="s">
        <v>165</v>
      </c>
      <c r="D183" s="256"/>
      <c r="E183" s="230" t="s">
        <v>41</v>
      </c>
      <c r="F183" s="27"/>
      <c r="G183" s="133"/>
      <c r="H183" s="133"/>
      <c r="I183" s="133"/>
      <c r="J183" s="133"/>
      <c r="K183" s="228">
        <f t="shared" si="15"/>
        <v>0</v>
      </c>
      <c r="L183" s="228">
        <f t="shared" si="16"/>
        <v>0</v>
      </c>
      <c r="M183" s="228">
        <v>438.7</v>
      </c>
      <c r="N183" s="228">
        <f t="shared" si="22"/>
        <v>5.6417181069958842</v>
      </c>
      <c r="O183" s="228"/>
      <c r="P183" s="228">
        <f t="shared" si="17"/>
        <v>0</v>
      </c>
      <c r="Q183" s="228"/>
      <c r="R183" s="19">
        <f t="shared" si="18"/>
        <v>0</v>
      </c>
      <c r="S183" s="228">
        <f t="shared" si="19"/>
        <v>0</v>
      </c>
      <c r="T183" s="20">
        <v>5</v>
      </c>
      <c r="U183" s="20"/>
      <c r="V183" s="23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26">
        <v>300283</v>
      </c>
      <c r="B184" s="223">
        <v>13001</v>
      </c>
      <c r="C184" s="256" t="s">
        <v>165</v>
      </c>
      <c r="D184" s="256"/>
      <c r="E184" s="230" t="s">
        <v>35</v>
      </c>
      <c r="F184" s="27"/>
      <c r="G184" s="133"/>
      <c r="H184" s="133"/>
      <c r="I184" s="133"/>
      <c r="J184" s="133"/>
      <c r="K184" s="224">
        <f t="shared" si="15"/>
        <v>0</v>
      </c>
      <c r="L184" s="224">
        <f t="shared" si="16"/>
        <v>0</v>
      </c>
      <c r="M184" s="228">
        <v>438.7</v>
      </c>
      <c r="N184" s="228">
        <f t="shared" si="22"/>
        <v>5.6417181069958842</v>
      </c>
      <c r="O184" s="224"/>
      <c r="P184" s="228">
        <f t="shared" si="17"/>
        <v>0</v>
      </c>
      <c r="Q184" s="228"/>
      <c r="R184" s="19">
        <f t="shared" si="18"/>
        <v>0</v>
      </c>
      <c r="S184" s="228">
        <f t="shared" si="19"/>
        <v>0</v>
      </c>
      <c r="T184" s="20">
        <v>5</v>
      </c>
      <c r="U184" s="20"/>
      <c r="V184" s="23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26">
        <v>300289</v>
      </c>
      <c r="B185" s="223">
        <v>13001</v>
      </c>
      <c r="C185" s="256" t="s">
        <v>165</v>
      </c>
      <c r="D185" s="256"/>
      <c r="E185" s="230" t="s">
        <v>66</v>
      </c>
      <c r="F185" s="27"/>
      <c r="G185" s="133"/>
      <c r="H185" s="133"/>
      <c r="I185" s="133"/>
      <c r="J185" s="133"/>
      <c r="K185" s="224">
        <f t="shared" si="15"/>
        <v>0</v>
      </c>
      <c r="L185" s="224">
        <f t="shared" si="16"/>
        <v>0</v>
      </c>
      <c r="M185" s="228">
        <v>438.7</v>
      </c>
      <c r="N185" s="228">
        <f t="shared" si="22"/>
        <v>5.6417181069958842</v>
      </c>
      <c r="O185" s="224"/>
      <c r="P185" s="228">
        <f t="shared" si="17"/>
        <v>0</v>
      </c>
      <c r="Q185" s="228"/>
      <c r="R185" s="19">
        <f t="shared" si="18"/>
        <v>0</v>
      </c>
      <c r="S185" s="228">
        <f t="shared" si="19"/>
        <v>0</v>
      </c>
      <c r="T185" s="20">
        <v>5</v>
      </c>
      <c r="U185" s="20"/>
      <c r="V185" s="23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26">
        <v>300288</v>
      </c>
      <c r="B186" s="223">
        <v>13001</v>
      </c>
      <c r="C186" s="256" t="s">
        <v>165</v>
      </c>
      <c r="D186" s="256"/>
      <c r="E186" s="230" t="s">
        <v>166</v>
      </c>
      <c r="F186" s="27"/>
      <c r="G186" s="133"/>
      <c r="H186" s="133"/>
      <c r="I186" s="133"/>
      <c r="J186" s="133"/>
      <c r="K186" s="228">
        <f t="shared" si="15"/>
        <v>0</v>
      </c>
      <c r="L186" s="228">
        <f t="shared" si="16"/>
        <v>0</v>
      </c>
      <c r="M186" s="228">
        <v>438.7</v>
      </c>
      <c r="N186" s="228">
        <f t="shared" si="22"/>
        <v>5.6417181069958842</v>
      </c>
      <c r="O186" s="228"/>
      <c r="P186" s="228">
        <f t="shared" si="17"/>
        <v>0</v>
      </c>
      <c r="Q186" s="228"/>
      <c r="R186" s="19">
        <f t="shared" si="18"/>
        <v>0</v>
      </c>
      <c r="S186" s="228">
        <f t="shared" si="19"/>
        <v>0</v>
      </c>
      <c r="T186" s="20">
        <v>5</v>
      </c>
      <c r="U186" s="20"/>
      <c r="V186" s="23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25">
        <v>300355</v>
      </c>
      <c r="B187" s="223" t="s">
        <v>167</v>
      </c>
      <c r="C187" s="267" t="s">
        <v>168</v>
      </c>
      <c r="D187" s="268"/>
      <c r="E187" s="33" t="s">
        <v>35</v>
      </c>
      <c r="F187" s="27"/>
      <c r="G187" s="133"/>
      <c r="H187" s="133"/>
      <c r="I187" s="133"/>
      <c r="J187" s="133"/>
      <c r="K187" s="224">
        <f t="shared" si="15"/>
        <v>0</v>
      </c>
      <c r="L187" s="228">
        <f t="shared" si="16"/>
        <v>0</v>
      </c>
      <c r="M187" s="228">
        <v>438</v>
      </c>
      <c r="N187" s="228">
        <f>+M187*1000/(110*4*18*60)*T187</f>
        <v>4.6085858585858581</v>
      </c>
      <c r="O187" s="228"/>
      <c r="P187" s="228">
        <f t="shared" si="17"/>
        <v>0</v>
      </c>
      <c r="Q187" s="228"/>
      <c r="R187" s="19">
        <f t="shared" si="18"/>
        <v>0</v>
      </c>
      <c r="S187" s="228">
        <f t="shared" si="19"/>
        <v>0</v>
      </c>
      <c r="T187" s="20">
        <v>5</v>
      </c>
      <c r="U187" s="20"/>
      <c r="V187" s="23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25">
        <v>300356</v>
      </c>
      <c r="B188" s="223" t="s">
        <v>169</v>
      </c>
      <c r="C188" s="267" t="s">
        <v>168</v>
      </c>
      <c r="D188" s="268"/>
      <c r="E188" s="231" t="s">
        <v>41</v>
      </c>
      <c r="F188" s="27"/>
      <c r="G188" s="133"/>
      <c r="H188" s="133"/>
      <c r="I188" s="133"/>
      <c r="J188" s="133"/>
      <c r="K188" s="224">
        <f t="shared" si="15"/>
        <v>0</v>
      </c>
      <c r="L188" s="228">
        <f t="shared" si="16"/>
        <v>0</v>
      </c>
      <c r="M188" s="228">
        <v>438</v>
      </c>
      <c r="N188" s="228">
        <f>+M188*1000/(110*4*18*60)*T188</f>
        <v>4.6085858585858581</v>
      </c>
      <c r="O188" s="228"/>
      <c r="P188" s="228">
        <f t="shared" si="17"/>
        <v>0</v>
      </c>
      <c r="Q188" s="228"/>
      <c r="R188" s="19">
        <f t="shared" si="18"/>
        <v>0</v>
      </c>
      <c r="S188" s="228">
        <f t="shared" si="19"/>
        <v>0</v>
      </c>
      <c r="T188" s="20">
        <v>5</v>
      </c>
      <c r="U188" s="20"/>
      <c r="V188" s="23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25">
        <v>300357</v>
      </c>
      <c r="B189" s="223" t="s">
        <v>170</v>
      </c>
      <c r="C189" s="267" t="s">
        <v>168</v>
      </c>
      <c r="D189" s="268"/>
      <c r="E189" s="231" t="s">
        <v>37</v>
      </c>
      <c r="F189" s="27"/>
      <c r="G189" s="133"/>
      <c r="H189" s="133"/>
      <c r="I189" s="133"/>
      <c r="J189" s="133"/>
      <c r="K189" s="224">
        <f t="shared" si="15"/>
        <v>0</v>
      </c>
      <c r="L189" s="228">
        <f t="shared" si="16"/>
        <v>0</v>
      </c>
      <c r="M189" s="228">
        <v>438</v>
      </c>
      <c r="N189" s="228">
        <f>+M189*1000/(110*4*18*60)*T189</f>
        <v>4.6085858585858581</v>
      </c>
      <c r="O189" s="228"/>
      <c r="P189" s="228">
        <f t="shared" si="17"/>
        <v>0</v>
      </c>
      <c r="Q189" s="228"/>
      <c r="R189" s="19">
        <f t="shared" si="18"/>
        <v>0</v>
      </c>
      <c r="S189" s="228">
        <f t="shared" si="19"/>
        <v>0</v>
      </c>
      <c r="T189" s="20">
        <v>5</v>
      </c>
      <c r="U189" s="20"/>
      <c r="V189" s="23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225">
        <v>300358</v>
      </c>
      <c r="B190" s="223">
        <v>13002</v>
      </c>
      <c r="C190" s="267" t="s">
        <v>168</v>
      </c>
      <c r="D190" s="268"/>
      <c r="E190" s="231" t="s">
        <v>66</v>
      </c>
      <c r="F190" s="27"/>
      <c r="G190" s="133">
        <v>2</v>
      </c>
      <c r="H190" s="133"/>
      <c r="I190" s="133">
        <f>2-J190/400</f>
        <v>1.625</v>
      </c>
      <c r="J190" s="133">
        <v>150</v>
      </c>
      <c r="K190" s="224">
        <f t="shared" si="15"/>
        <v>876</v>
      </c>
      <c r="L190" s="228">
        <f t="shared" si="16"/>
        <v>711.75</v>
      </c>
      <c r="M190" s="228">
        <v>438</v>
      </c>
      <c r="N190" s="228">
        <f>+M190*1000/(110*4*18*60)*T190</f>
        <v>4.6085858585858581</v>
      </c>
      <c r="O190" s="228">
        <v>0.5</v>
      </c>
      <c r="P190" s="228">
        <f t="shared" si="17"/>
        <v>10.488952020202019</v>
      </c>
      <c r="Q190" s="228">
        <v>1.5</v>
      </c>
      <c r="R190" s="19">
        <f t="shared" si="18"/>
        <v>9</v>
      </c>
      <c r="S190" s="228">
        <f t="shared" si="19"/>
        <v>-1.488952020202019</v>
      </c>
      <c r="T190" s="20">
        <v>5</v>
      </c>
      <c r="U190" s="20">
        <v>6</v>
      </c>
      <c r="V190" s="235">
        <f t="array" ref="V190">IF(ISERROR(L190/K190),"",L190/K190)</f>
        <v>0.8125</v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26">
        <v>300438</v>
      </c>
      <c r="B191" s="223">
        <v>13002</v>
      </c>
      <c r="C191" s="256" t="s">
        <v>312</v>
      </c>
      <c r="D191" s="256" t="s">
        <v>89</v>
      </c>
      <c r="E191" s="230" t="s">
        <v>35</v>
      </c>
      <c r="F191" s="27"/>
      <c r="G191" s="133">
        <v>3.67</v>
      </c>
      <c r="H191" s="133">
        <v>0.66666666666666663</v>
      </c>
      <c r="I191" s="133">
        <f>3+H191</f>
        <v>3.6666666666666665</v>
      </c>
      <c r="J191" s="133"/>
      <c r="K191" s="228">
        <f>G191*M191</f>
        <v>1235.3220000000001</v>
      </c>
      <c r="L191" s="228">
        <f>I191*M191</f>
        <v>1234.2</v>
      </c>
      <c r="M191" s="228">
        <v>336.6</v>
      </c>
      <c r="N191" s="228">
        <f>+M191*1000/(45*10*18*60)*T191</f>
        <v>1.3851851851851851</v>
      </c>
      <c r="O191" s="228"/>
      <c r="P191" s="228">
        <f>N191*I191+O191*U191</f>
        <v>5.0790123456790122</v>
      </c>
      <c r="Q191" s="228">
        <v>5.5</v>
      </c>
      <c r="R191" s="19">
        <f>Q191*U191</f>
        <v>33</v>
      </c>
      <c r="S191" s="228">
        <f>R191-P191</f>
        <v>27.920987654320989</v>
      </c>
      <c r="T191" s="20">
        <v>2</v>
      </c>
      <c r="U191" s="20">
        <v>6</v>
      </c>
      <c r="V191" s="235">
        <f t="array" ref="V191">IF(ISERROR(L191/K191),"",L191/K191)</f>
        <v>0.99909173478655766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35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35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56" t="s">
        <v>312</v>
      </c>
      <c r="D194" s="256" t="s">
        <v>89</v>
      </c>
      <c r="E194" s="166" t="s">
        <v>37</v>
      </c>
      <c r="F194" s="13"/>
      <c r="G194" s="133">
        <v>3</v>
      </c>
      <c r="H194" s="133"/>
      <c r="I194" s="133">
        <v>3</v>
      </c>
      <c r="J194" s="133"/>
      <c r="K194" s="164">
        <f>G194*M194</f>
        <v>1009.8000000000001</v>
      </c>
      <c r="L194" s="164">
        <f>I194*M194</f>
        <v>1009.8000000000001</v>
      </c>
      <c r="M194" s="164">
        <v>336.6</v>
      </c>
      <c r="N194" s="164">
        <f>+M194*1000/(45*10*18*60)*T194</f>
        <v>1.3851851851851851</v>
      </c>
      <c r="O194" s="164">
        <v>0.5</v>
      </c>
      <c r="P194" s="164">
        <f>N194*I194+O194*U194</f>
        <v>7.155555555555555</v>
      </c>
      <c r="Q194" s="164">
        <v>4</v>
      </c>
      <c r="R194" s="19">
        <f>Q194*U194</f>
        <v>24</v>
      </c>
      <c r="S194" s="164">
        <f>R194-P194</f>
        <v>16.844444444444445</v>
      </c>
      <c r="T194" s="20">
        <v>2</v>
      </c>
      <c r="U194" s="20">
        <v>6</v>
      </c>
      <c r="V194" s="235">
        <f t="array" ref="V194">IF(ISERROR(L194/K194),"",L194/K194)</f>
        <v>1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3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3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3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3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54.570000000000007</v>
      </c>
      <c r="H199" s="164">
        <f t="array" ref="H199">SUM(IF(ISERROR(H6:H198),“”,H6:H198))</f>
        <v>1.0333333333333332</v>
      </c>
      <c r="I199" s="164">
        <f t="array" ref="I199">SUM(IF(ISERROR(I6:I198),“”,I6:I198))</f>
        <v>53.623333333333328</v>
      </c>
      <c r="J199" s="164">
        <f t="array" ref="J199">SUM(IF(ISERROR(J6:J198),“”,J6:J198))</f>
        <v>1080</v>
      </c>
      <c r="K199" s="164">
        <f t="array" ref="K199">SUM(IF(ISERROR(K6:K198),“”,K6:K198))</f>
        <v>26278.284099999997</v>
      </c>
      <c r="L199" s="56">
        <f>SUM(L6:L198)</f>
        <v>25815.451166666666</v>
      </c>
      <c r="M199" s="164"/>
      <c r="N199" s="164"/>
      <c r="O199" s="164">
        <f>SUM(O6:O190)</f>
        <v>1.5</v>
      </c>
      <c r="P199" s="56">
        <f>SUM((P6:P190),(W204:X209))</f>
        <v>312.73062126017157</v>
      </c>
      <c r="Q199" s="164"/>
      <c r="R199" s="56">
        <f>SUM((R6:R190),(Y204:Z209))</f>
        <v>375</v>
      </c>
      <c r="S199" s="164">
        <f t="array" ref="S199">SUM(IF(ISERROR(S6:S198),“”,S6:S198))</f>
        <v>63.03481083859387</v>
      </c>
      <c r="T199" s="164"/>
      <c r="U199" s="164"/>
      <c r="V199" s="161">
        <f>IF(ISERROR(L199/K199),"",L199/K199)</f>
        <v>0.98238724676344713</v>
      </c>
      <c r="W199" s="164">
        <f t="array" ref="W199">SUM(IF(ISERROR(W6:W198),“”,W6:W198))</f>
        <v>0</v>
      </c>
      <c r="X199" s="164">
        <f t="array" ref="X199">SUM(IF(ISERROR(X6:X198),“”,X6:X198))</f>
        <v>4.166666666666667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0.83394832336045754</v>
      </c>
      <c r="P200" s="282"/>
      <c r="Q200" s="282"/>
      <c r="R200" s="283"/>
      <c r="S200" s="44"/>
      <c r="T200" s="45"/>
      <c r="U200" s="45"/>
      <c r="V200" s="45"/>
      <c r="W200" s="284">
        <f>SUM(W199:AC199)</f>
        <v>6.166666666666667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150</v>
      </c>
      <c r="F202" s="287"/>
      <c r="G202" s="287">
        <v>150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4792.6000000000004</v>
      </c>
      <c r="F203" s="287"/>
      <c r="G203" s="287">
        <v>4936.6000000000004</v>
      </c>
      <c r="H203" s="287"/>
      <c r="I203" s="287">
        <f>G203-E203</f>
        <v>144</v>
      </c>
      <c r="J203" s="287"/>
      <c r="K203" s="289">
        <f t="array" ref="K203">IF(ISERROR(I203/E203),"",I203/E203)</f>
        <v>3.0046321412177106E-2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22</v>
      </c>
      <c r="T203" s="292"/>
      <c r="U203" s="292">
        <v>25</v>
      </c>
      <c r="V203" s="292"/>
      <c r="W203" s="291">
        <f t="shared" ref="W203:W210" si="28">S203*11</f>
        <v>242</v>
      </c>
      <c r="X203" s="291"/>
      <c r="Y203" s="291">
        <f t="shared" ref="Y203:Y210" si="29">U203*11</f>
        <v>275</v>
      </c>
      <c r="Z203" s="291"/>
      <c r="AA203" s="291">
        <f t="shared" ref="AA203:AA210" si="30">Y203-W203</f>
        <v>33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1669</v>
      </c>
      <c r="F204" s="287"/>
      <c r="G204" s="287">
        <v>1669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6</v>
      </c>
      <c r="V204" s="292"/>
      <c r="W204" s="291">
        <f t="shared" si="28"/>
        <v>44</v>
      </c>
      <c r="X204" s="291"/>
      <c r="Y204" s="291">
        <f t="shared" si="29"/>
        <v>66</v>
      </c>
      <c r="Z204" s="291"/>
      <c r="AA204" s="291">
        <f t="shared" si="30"/>
        <v>22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1</v>
      </c>
      <c r="V205" s="292"/>
      <c r="W205" s="291">
        <f t="shared" si="28"/>
        <v>8.25</v>
      </c>
      <c r="X205" s="291"/>
      <c r="Y205" s="291">
        <f t="shared" si="29"/>
        <v>11</v>
      </c>
      <c r="Z205" s="291"/>
      <c r="AA205" s="291">
        <f t="shared" si="30"/>
        <v>2.75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150995</v>
      </c>
      <c r="H206" s="294"/>
      <c r="I206" s="333">
        <v>150877</v>
      </c>
      <c r="J206" s="334"/>
      <c r="K206" s="297">
        <f>G206-I206</f>
        <v>118</v>
      </c>
      <c r="L206" s="297"/>
      <c r="M206" s="298">
        <f t="array" ref="M206">IF(ISERROR(K206/L199),"",K206/(L199/1000))</f>
        <v>4.5709059755795991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28681.8*120+44994.7*60</f>
        <v>6141498</v>
      </c>
      <c r="H207" s="294"/>
      <c r="I207" s="333">
        <v>6139746</v>
      </c>
      <c r="J207" s="334"/>
      <c r="K207" s="297">
        <f>G207-I207</f>
        <v>1752</v>
      </c>
      <c r="L207" s="297"/>
      <c r="M207" s="298">
        <f t="array" ref="M207">IF(ISERROR(K207/L199),"",K207/(L199/1000))</f>
        <v>67.866332789961504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0</v>
      </c>
      <c r="V207" s="292"/>
      <c r="W207" s="291">
        <f t="shared" si="28"/>
        <v>16.5</v>
      </c>
      <c r="X207" s="291"/>
      <c r="Y207" s="291">
        <f t="shared" si="29"/>
        <v>0</v>
      </c>
      <c r="Z207" s="291"/>
      <c r="AA207" s="291">
        <f t="shared" si="30"/>
        <v>-16.5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+I208+17</f>
        <v>27050</v>
      </c>
      <c r="H208" s="294"/>
      <c r="I208" s="293">
        <v>27033</v>
      </c>
      <c r="J208" s="294"/>
      <c r="K208" s="297">
        <f>G208-I208</f>
        <v>17</v>
      </c>
      <c r="L208" s="297"/>
      <c r="M208" s="301">
        <f t="array" ref="M208">IF(ISERROR(K208/L199),"",K208/(L199/1000))</f>
        <v>0.65852035241401008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2.56+2.24/2</f>
        <v>3.68</v>
      </c>
      <c r="L209" s="300"/>
      <c r="M209" s="302">
        <f t="array" ref="M209">IF(ISERROR((K209+K210)/L199),"",((K209+K210)*1000)/(L199/1000))</f>
        <v>142.55028805197395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6</v>
      </c>
      <c r="V209" s="292"/>
      <c r="W209" s="291">
        <f t="shared" si="28"/>
        <v>33</v>
      </c>
      <c r="X209" s="291"/>
      <c r="Y209" s="291">
        <f t="shared" si="29"/>
        <v>66</v>
      </c>
      <c r="Z209" s="291"/>
      <c r="AA209" s="291">
        <f t="shared" si="30"/>
        <v>33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33</v>
      </c>
      <c r="T210" s="292"/>
      <c r="U210" s="292">
        <f>SUM(U203:V209)</f>
        <v>40</v>
      </c>
      <c r="V210" s="292"/>
      <c r="W210" s="291">
        <f t="shared" si="28"/>
        <v>363</v>
      </c>
      <c r="X210" s="291"/>
      <c r="Y210" s="291">
        <f t="shared" si="29"/>
        <v>440</v>
      </c>
      <c r="Z210" s="291"/>
      <c r="AA210" s="291">
        <f t="shared" si="30"/>
        <v>77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4.6195652173913038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58.671479924242419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26">
        <v>300016</v>
      </c>
      <c r="B237" s="223">
        <v>3004</v>
      </c>
      <c r="C237" s="256" t="s">
        <v>51</v>
      </c>
      <c r="D237" s="256"/>
      <c r="E237" s="230" t="s">
        <v>38</v>
      </c>
      <c r="F237" s="229">
        <v>1569</v>
      </c>
      <c r="G237" s="228">
        <v>1.56</v>
      </c>
      <c r="H237" s="228">
        <v>0.56000000000000005</v>
      </c>
      <c r="I237" s="228">
        <f>1+H237</f>
        <v>1.56</v>
      </c>
      <c r="J237" s="228"/>
      <c r="K237" s="228">
        <f t="shared" si="31"/>
        <v>818.37600000000009</v>
      </c>
      <c r="L237" s="228">
        <f t="shared" si="32"/>
        <v>818.37600000000009</v>
      </c>
      <c r="M237" s="228">
        <v>524.6</v>
      </c>
      <c r="N237" s="228">
        <f>+M237*1000/(25.4*20*15*60)*T237</f>
        <v>3.4422572178477688</v>
      </c>
      <c r="O237" s="228"/>
      <c r="P237" s="228">
        <f t="shared" si="34"/>
        <v>5.3699212598425197</v>
      </c>
      <c r="Q237" s="228">
        <v>2</v>
      </c>
      <c r="R237" s="19">
        <f t="shared" si="35"/>
        <v>4</v>
      </c>
      <c r="S237" s="228">
        <f t="shared" si="36"/>
        <v>-1.3699212598425197</v>
      </c>
      <c r="T237" s="20">
        <v>3</v>
      </c>
      <c r="U237" s="20">
        <v>2</v>
      </c>
      <c r="V237" s="227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26">
        <v>3000435</v>
      </c>
      <c r="B238" s="223">
        <v>3004</v>
      </c>
      <c r="C238" s="256" t="s">
        <v>51</v>
      </c>
      <c r="D238" s="256"/>
      <c r="E238" s="230" t="s">
        <v>309</v>
      </c>
      <c r="F238" s="27">
        <v>1568</v>
      </c>
      <c r="G238" s="228">
        <v>9.44</v>
      </c>
      <c r="H238" s="228"/>
      <c r="I238" s="228">
        <f>9-J238/500</f>
        <v>8.6999999999999993</v>
      </c>
      <c r="J238" s="228">
        <v>150</v>
      </c>
      <c r="K238" s="228">
        <f t="shared" si="31"/>
        <v>4952.2240000000002</v>
      </c>
      <c r="L238" s="228">
        <f t="shared" si="32"/>
        <v>4564.0199999999995</v>
      </c>
      <c r="M238" s="228">
        <v>524.6</v>
      </c>
      <c r="N238" s="228">
        <f>+M238*1000/(25.4*20*15*60)*T238</f>
        <v>3.4422572178477688</v>
      </c>
      <c r="O238" s="228">
        <v>0.5</v>
      </c>
      <c r="P238" s="228">
        <f t="shared" si="34"/>
        <v>30.947637795275586</v>
      </c>
      <c r="Q238" s="228">
        <v>9.5</v>
      </c>
      <c r="R238" s="19">
        <f t="shared" si="35"/>
        <v>19</v>
      </c>
      <c r="S238" s="228">
        <f t="shared" si="36"/>
        <v>-11.947637795275586</v>
      </c>
      <c r="T238" s="20">
        <v>3</v>
      </c>
      <c r="U238" s="20">
        <v>2</v>
      </c>
      <c r="V238" s="235">
        <f t="array" ref="V238">IF(ISERROR(L238/K238),"",L238/K238)</f>
        <v>0.9216101694915253</v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26">
        <v>300276</v>
      </c>
      <c r="B239" s="223" t="s">
        <v>43</v>
      </c>
      <c r="C239" s="256" t="s">
        <v>53</v>
      </c>
      <c r="D239" s="256"/>
      <c r="E239" s="230" t="s">
        <v>41</v>
      </c>
      <c r="F239" s="27"/>
      <c r="G239" s="228"/>
      <c r="H239" s="228"/>
      <c r="I239" s="228"/>
      <c r="J239" s="228"/>
      <c r="K239" s="228">
        <f t="shared" si="31"/>
        <v>0</v>
      </c>
      <c r="L239" s="228">
        <f t="shared" si="32"/>
        <v>0</v>
      </c>
      <c r="M239" s="228">
        <v>266</v>
      </c>
      <c r="N239" s="228">
        <f>+M239*1000/(29.8*10*13*60)*T239</f>
        <v>3.4331440371708828</v>
      </c>
      <c r="O239" s="228"/>
      <c r="P239" s="228">
        <f t="shared" si="34"/>
        <v>0</v>
      </c>
      <c r="Q239" s="228"/>
      <c r="R239" s="19">
        <f t="shared" si="35"/>
        <v>0</v>
      </c>
      <c r="S239" s="228">
        <f t="shared" si="36"/>
        <v>0</v>
      </c>
      <c r="T239" s="20">
        <v>3</v>
      </c>
      <c r="U239" s="20"/>
      <c r="V239" s="23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26">
        <v>300277</v>
      </c>
      <c r="B240" s="223" t="s">
        <v>43</v>
      </c>
      <c r="C240" s="256" t="s">
        <v>53</v>
      </c>
      <c r="D240" s="256"/>
      <c r="E240" s="230" t="s">
        <v>39</v>
      </c>
      <c r="F240" s="27"/>
      <c r="G240" s="228"/>
      <c r="H240" s="228"/>
      <c r="I240" s="228"/>
      <c r="J240" s="228"/>
      <c r="K240" s="228">
        <f t="shared" si="31"/>
        <v>0</v>
      </c>
      <c r="L240" s="228">
        <f t="shared" si="32"/>
        <v>0</v>
      </c>
      <c r="M240" s="228">
        <v>266</v>
      </c>
      <c r="N240" s="228">
        <f>+M240*1000/(29.8*10*13*60)*T240</f>
        <v>3.4331440371708828</v>
      </c>
      <c r="O240" s="228"/>
      <c r="P240" s="228">
        <f t="shared" si="34"/>
        <v>0</v>
      </c>
      <c r="Q240" s="228"/>
      <c r="R240" s="19">
        <f t="shared" si="35"/>
        <v>0</v>
      </c>
      <c r="S240" s="228">
        <f t="shared" si="36"/>
        <v>0</v>
      </c>
      <c r="T240" s="20">
        <v>3</v>
      </c>
      <c r="U240" s="20"/>
      <c r="V240" s="23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26">
        <v>300278</v>
      </c>
      <c r="B241" s="223" t="s">
        <v>43</v>
      </c>
      <c r="C241" s="256" t="s">
        <v>53</v>
      </c>
      <c r="D241" s="256"/>
      <c r="E241" s="230" t="s">
        <v>54</v>
      </c>
      <c r="F241" s="27"/>
      <c r="G241" s="228"/>
      <c r="H241" s="228"/>
      <c r="I241" s="228"/>
      <c r="J241" s="228"/>
      <c r="K241" s="228">
        <f t="shared" si="31"/>
        <v>0</v>
      </c>
      <c r="L241" s="228">
        <f t="shared" si="32"/>
        <v>0</v>
      </c>
      <c r="M241" s="228">
        <v>266</v>
      </c>
      <c r="N241" s="228">
        <f>+M241*1000/(29.8*10*13*60)*T241</f>
        <v>3.4331440371708828</v>
      </c>
      <c r="O241" s="228"/>
      <c r="P241" s="228">
        <f t="shared" si="34"/>
        <v>0</v>
      </c>
      <c r="Q241" s="228"/>
      <c r="R241" s="19">
        <f t="shared" si="35"/>
        <v>0</v>
      </c>
      <c r="S241" s="228">
        <f t="shared" si="36"/>
        <v>0</v>
      </c>
      <c r="T241" s="20">
        <v>3</v>
      </c>
      <c r="U241" s="20"/>
      <c r="V241" s="23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26">
        <v>300027</v>
      </c>
      <c r="B242" s="223" t="s">
        <v>55</v>
      </c>
      <c r="C242" s="256" t="s">
        <v>56</v>
      </c>
      <c r="D242" s="256"/>
      <c r="E242" s="230" t="s">
        <v>54</v>
      </c>
      <c r="F242" s="229"/>
      <c r="G242" s="228"/>
      <c r="H242" s="228"/>
      <c r="I242" s="228"/>
      <c r="J242" s="228"/>
      <c r="K242" s="228">
        <f t="shared" si="31"/>
        <v>0</v>
      </c>
      <c r="L242" s="228">
        <f t="shared" si="32"/>
        <v>0</v>
      </c>
      <c r="M242" s="228">
        <v>550.4</v>
      </c>
      <c r="N242" s="228">
        <f>+M242*1000/(31*20*15*60)*T242</f>
        <v>2.9591397849462364</v>
      </c>
      <c r="O242" s="228"/>
      <c r="P242" s="228">
        <f t="shared" si="34"/>
        <v>0</v>
      </c>
      <c r="Q242" s="228"/>
      <c r="R242" s="19">
        <f t="shared" si="35"/>
        <v>0</v>
      </c>
      <c r="S242" s="228">
        <f t="shared" si="36"/>
        <v>0</v>
      </c>
      <c r="T242" s="20">
        <v>3</v>
      </c>
      <c r="U242" s="20"/>
      <c r="V242" s="23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26">
        <v>300028</v>
      </c>
      <c r="B243" s="223" t="s">
        <v>55</v>
      </c>
      <c r="C243" s="256" t="s">
        <v>56</v>
      </c>
      <c r="D243" s="256"/>
      <c r="E243" s="230" t="s">
        <v>35</v>
      </c>
      <c r="F243" s="229"/>
      <c r="G243" s="228"/>
      <c r="H243" s="228"/>
      <c r="I243" s="228"/>
      <c r="J243" s="228"/>
      <c r="K243" s="228">
        <f t="shared" si="31"/>
        <v>0</v>
      </c>
      <c r="L243" s="228">
        <f t="shared" si="32"/>
        <v>0</v>
      </c>
      <c r="M243" s="228">
        <v>550.4</v>
      </c>
      <c r="N243" s="228">
        <f>+M243*1000/(31*20*15*60)*T243</f>
        <v>2.9591397849462364</v>
      </c>
      <c r="O243" s="228"/>
      <c r="P243" s="228">
        <f t="shared" si="34"/>
        <v>0</v>
      </c>
      <c r="Q243" s="228"/>
      <c r="R243" s="19">
        <f t="shared" si="35"/>
        <v>0</v>
      </c>
      <c r="S243" s="228">
        <f t="shared" si="36"/>
        <v>0</v>
      </c>
      <c r="T243" s="20">
        <v>3</v>
      </c>
      <c r="U243" s="20"/>
      <c r="V243" s="23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26">
        <v>300029</v>
      </c>
      <c r="B244" s="223" t="s">
        <v>55</v>
      </c>
      <c r="C244" s="256" t="s">
        <v>56</v>
      </c>
      <c r="D244" s="256"/>
      <c r="E244" s="230" t="s">
        <v>57</v>
      </c>
      <c r="F244" s="229"/>
      <c r="G244" s="228"/>
      <c r="H244" s="228"/>
      <c r="I244" s="228"/>
      <c r="J244" s="228"/>
      <c r="K244" s="228">
        <f t="shared" si="31"/>
        <v>0</v>
      </c>
      <c r="L244" s="228">
        <f t="shared" si="32"/>
        <v>0</v>
      </c>
      <c r="M244" s="228">
        <v>550.4</v>
      </c>
      <c r="N244" s="228">
        <f>+M244*1000/(31*20*15*60)*T244</f>
        <v>2.9591397849462364</v>
      </c>
      <c r="O244" s="228"/>
      <c r="P244" s="228">
        <f t="shared" si="34"/>
        <v>0</v>
      </c>
      <c r="Q244" s="228"/>
      <c r="R244" s="19">
        <f t="shared" si="35"/>
        <v>0</v>
      </c>
      <c r="S244" s="228">
        <f t="shared" si="36"/>
        <v>0</v>
      </c>
      <c r="T244" s="20">
        <v>3</v>
      </c>
      <c r="U244" s="20"/>
      <c r="V244" s="23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26">
        <v>300026</v>
      </c>
      <c r="B245" s="223" t="s">
        <v>55</v>
      </c>
      <c r="C245" s="256" t="s">
        <v>56</v>
      </c>
      <c r="D245" s="256"/>
      <c r="E245" s="230" t="s">
        <v>37</v>
      </c>
      <c r="F245" s="229"/>
      <c r="G245" s="228"/>
      <c r="H245" s="228"/>
      <c r="I245" s="228"/>
      <c r="J245" s="228"/>
      <c r="K245" s="228">
        <f t="shared" si="31"/>
        <v>0</v>
      </c>
      <c r="L245" s="228">
        <f t="shared" si="32"/>
        <v>0</v>
      </c>
      <c r="M245" s="228">
        <v>550.4</v>
      </c>
      <c r="N245" s="228">
        <f>+M245*1000/(31*20*15*60)*T245</f>
        <v>2.9591397849462364</v>
      </c>
      <c r="O245" s="228"/>
      <c r="P245" s="228">
        <f t="shared" si="34"/>
        <v>0</v>
      </c>
      <c r="Q245" s="228"/>
      <c r="R245" s="19">
        <f t="shared" si="35"/>
        <v>0</v>
      </c>
      <c r="S245" s="228">
        <f t="shared" si="36"/>
        <v>0</v>
      </c>
      <c r="T245" s="20">
        <v>3</v>
      </c>
      <c r="U245" s="20"/>
      <c r="V245" s="23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26">
        <v>300032</v>
      </c>
      <c r="B246" s="223">
        <v>3002</v>
      </c>
      <c r="C246" s="256" t="s">
        <v>58</v>
      </c>
      <c r="D246" s="256" t="s">
        <v>59</v>
      </c>
      <c r="E246" s="230" t="s">
        <v>35</v>
      </c>
      <c r="F246" s="229"/>
      <c r="G246" s="228"/>
      <c r="H246" s="228"/>
      <c r="I246" s="228"/>
      <c r="J246" s="228"/>
      <c r="K246" s="228">
        <f t="shared" si="31"/>
        <v>0</v>
      </c>
      <c r="L246" s="228">
        <f t="shared" si="32"/>
        <v>0</v>
      </c>
      <c r="M246" s="228">
        <v>285.7</v>
      </c>
      <c r="N246" s="228">
        <f>+M246*1000/(31*10*13*60)*T246</f>
        <v>7.0893300248138953</v>
      </c>
      <c r="O246" s="228"/>
      <c r="P246" s="228">
        <f t="shared" si="34"/>
        <v>0</v>
      </c>
      <c r="Q246" s="228"/>
      <c r="R246" s="19">
        <f t="shared" si="35"/>
        <v>0</v>
      </c>
      <c r="S246" s="228">
        <f t="shared" si="36"/>
        <v>0</v>
      </c>
      <c r="T246" s="20">
        <v>6</v>
      </c>
      <c r="U246" s="20"/>
      <c r="V246" s="23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26">
        <v>300413</v>
      </c>
      <c r="B247" s="223">
        <v>3002</v>
      </c>
      <c r="C247" s="267" t="s">
        <v>304</v>
      </c>
      <c r="D247" s="268"/>
      <c r="E247" s="230" t="s">
        <v>302</v>
      </c>
      <c r="F247" s="27"/>
      <c r="G247" s="228"/>
      <c r="H247" s="228"/>
      <c r="I247" s="228"/>
      <c r="J247" s="228"/>
      <c r="K247" s="228">
        <f t="shared" si="31"/>
        <v>0</v>
      </c>
      <c r="L247" s="228">
        <f t="shared" si="32"/>
        <v>0</v>
      </c>
      <c r="M247" s="228">
        <v>528.79999999999995</v>
      </c>
      <c r="N247" s="228">
        <f>+M247*1000/(31*10*13*60)*T247</f>
        <v>6.5607940446650126</v>
      </c>
      <c r="O247" s="228"/>
      <c r="P247" s="228">
        <f t="shared" si="34"/>
        <v>0</v>
      </c>
      <c r="Q247" s="228"/>
      <c r="R247" s="19">
        <f t="shared" si="35"/>
        <v>0</v>
      </c>
      <c r="S247" s="228">
        <f t="shared" si="36"/>
        <v>0</v>
      </c>
      <c r="T247" s="20">
        <v>3</v>
      </c>
      <c r="U247" s="20"/>
      <c r="V247" s="235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26">
        <v>300414</v>
      </c>
      <c r="B248" s="223">
        <v>3002</v>
      </c>
      <c r="C248" s="267" t="s">
        <v>304</v>
      </c>
      <c r="D248" s="268"/>
      <c r="E248" s="230" t="s">
        <v>299</v>
      </c>
      <c r="F248" s="27"/>
      <c r="G248" s="228"/>
      <c r="H248" s="228"/>
      <c r="I248" s="228"/>
      <c r="J248" s="228"/>
      <c r="K248" s="228">
        <f t="shared" si="31"/>
        <v>0</v>
      </c>
      <c r="L248" s="228">
        <f t="shared" si="32"/>
        <v>0</v>
      </c>
      <c r="M248" s="228">
        <v>528.79999999999995</v>
      </c>
      <c r="N248" s="228">
        <f>+M248*1000/(31*10*13*60)*T248</f>
        <v>6.5607940446650126</v>
      </c>
      <c r="O248" s="228"/>
      <c r="P248" s="228">
        <f t="shared" si="34"/>
        <v>0</v>
      </c>
      <c r="Q248" s="228"/>
      <c r="R248" s="19">
        <f t="shared" si="35"/>
        <v>0</v>
      </c>
      <c r="S248" s="228">
        <f t="shared" si="36"/>
        <v>0</v>
      </c>
      <c r="T248" s="20">
        <v>3</v>
      </c>
      <c r="U248" s="20"/>
      <c r="V248" s="235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26">
        <v>300415</v>
      </c>
      <c r="B249" s="223">
        <v>3002</v>
      </c>
      <c r="C249" s="267" t="s">
        <v>304</v>
      </c>
      <c r="D249" s="268"/>
      <c r="E249" s="230" t="s">
        <v>303</v>
      </c>
      <c r="F249" s="27"/>
      <c r="G249" s="228"/>
      <c r="H249" s="228"/>
      <c r="I249" s="228"/>
      <c r="J249" s="228"/>
      <c r="K249" s="228">
        <f t="shared" si="31"/>
        <v>0</v>
      </c>
      <c r="L249" s="228">
        <f t="shared" si="32"/>
        <v>0</v>
      </c>
      <c r="M249" s="228">
        <v>528.79999999999995</v>
      </c>
      <c r="N249" s="228">
        <f>+M249*1000/(31*10*13*60)*T249</f>
        <v>6.5607940446650126</v>
      </c>
      <c r="O249" s="228"/>
      <c r="P249" s="228">
        <f t="shared" si="34"/>
        <v>0</v>
      </c>
      <c r="Q249" s="228"/>
      <c r="R249" s="19">
        <f t="shared" si="35"/>
        <v>0</v>
      </c>
      <c r="S249" s="228">
        <f t="shared" si="36"/>
        <v>0</v>
      </c>
      <c r="T249" s="20">
        <v>3</v>
      </c>
      <c r="U249" s="20"/>
      <c r="V249" s="235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26">
        <v>300035</v>
      </c>
      <c r="B250" s="223" t="s">
        <v>60</v>
      </c>
      <c r="C250" s="256" t="s">
        <v>61</v>
      </c>
      <c r="D250" s="256" t="s">
        <v>62</v>
      </c>
      <c r="E250" s="230" t="s">
        <v>35</v>
      </c>
      <c r="F250" s="229"/>
      <c r="G250" s="228"/>
      <c r="H250" s="228"/>
      <c r="I250" s="228"/>
      <c r="J250" s="228"/>
      <c r="K250" s="228">
        <f t="shared" si="31"/>
        <v>0</v>
      </c>
      <c r="L250" s="228">
        <f t="shared" si="32"/>
        <v>0</v>
      </c>
      <c r="M250" s="228">
        <v>366.93</v>
      </c>
      <c r="N250" s="228">
        <f>+M250*1000/(35.8*10*13*60)*T250</f>
        <v>2.6280618822518265</v>
      </c>
      <c r="O250" s="228"/>
      <c r="P250" s="228">
        <f t="shared" si="34"/>
        <v>0</v>
      </c>
      <c r="Q250" s="228"/>
      <c r="R250" s="19">
        <f t="shared" si="35"/>
        <v>0</v>
      </c>
      <c r="S250" s="228">
        <f t="shared" si="36"/>
        <v>0</v>
      </c>
      <c r="T250" s="20">
        <v>2</v>
      </c>
      <c r="U250" s="20"/>
      <c r="V250" s="23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26">
        <v>300036</v>
      </c>
      <c r="B251" s="223" t="s">
        <v>60</v>
      </c>
      <c r="C251" s="256" t="s">
        <v>61</v>
      </c>
      <c r="D251" s="256" t="s">
        <v>62</v>
      </c>
      <c r="E251" s="230" t="s">
        <v>63</v>
      </c>
      <c r="F251" s="229"/>
      <c r="G251" s="228"/>
      <c r="H251" s="228"/>
      <c r="I251" s="228"/>
      <c r="J251" s="228"/>
      <c r="K251" s="228">
        <f t="shared" si="31"/>
        <v>0</v>
      </c>
      <c r="L251" s="228">
        <f t="shared" si="32"/>
        <v>0</v>
      </c>
      <c r="M251" s="228">
        <v>366.93</v>
      </c>
      <c r="N251" s="228">
        <f>+M251*1000/(35.8*10*13*60)*T251</f>
        <v>2.6280618822518265</v>
      </c>
      <c r="O251" s="228"/>
      <c r="P251" s="228">
        <f t="shared" si="34"/>
        <v>0</v>
      </c>
      <c r="Q251" s="228"/>
      <c r="R251" s="19">
        <f t="shared" si="35"/>
        <v>0</v>
      </c>
      <c r="S251" s="228">
        <f t="shared" si="36"/>
        <v>0</v>
      </c>
      <c r="T251" s="20">
        <v>2</v>
      </c>
      <c r="U251" s="20"/>
      <c r="V251" s="23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26">
        <v>300037</v>
      </c>
      <c r="B252" s="223">
        <v>3602</v>
      </c>
      <c r="C252" s="256" t="s">
        <v>61</v>
      </c>
      <c r="D252" s="256" t="s">
        <v>62</v>
      </c>
      <c r="E252" s="230" t="s">
        <v>37</v>
      </c>
      <c r="F252" s="229">
        <v>1595</v>
      </c>
      <c r="G252" s="228">
        <v>8</v>
      </c>
      <c r="H252" s="228"/>
      <c r="I252" s="228">
        <f>8-J252/250</f>
        <v>7.8</v>
      </c>
      <c r="J252" s="228">
        <v>50</v>
      </c>
      <c r="K252" s="228">
        <f t="shared" si="31"/>
        <v>2935.44</v>
      </c>
      <c r="L252" s="228">
        <f t="shared" si="32"/>
        <v>2862.0540000000001</v>
      </c>
      <c r="M252" s="228">
        <v>366.93</v>
      </c>
      <c r="N252" s="228">
        <f>+M252*1000/(35.8*10*13*60)*T252</f>
        <v>2.6280618822518265</v>
      </c>
      <c r="O252" s="228"/>
      <c r="P252" s="228">
        <f t="shared" si="34"/>
        <v>20.498882681564247</v>
      </c>
      <c r="Q252" s="228">
        <v>10</v>
      </c>
      <c r="R252" s="19">
        <f t="shared" si="35"/>
        <v>30</v>
      </c>
      <c r="S252" s="228">
        <f t="shared" si="36"/>
        <v>9.5011173184357531</v>
      </c>
      <c r="T252" s="20">
        <v>2</v>
      </c>
      <c r="U252" s="20">
        <v>3</v>
      </c>
      <c r="V252" s="235">
        <f t="array" ref="V252">IF(ISERROR(L252/K252),"",L252/K252)</f>
        <v>0.97499999999999998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26">
        <v>300038</v>
      </c>
      <c r="B253" s="223" t="s">
        <v>60</v>
      </c>
      <c r="C253" s="256" t="s">
        <v>64</v>
      </c>
      <c r="D253" s="256" t="s">
        <v>65</v>
      </c>
      <c r="E253" s="230" t="s">
        <v>35</v>
      </c>
      <c r="F253" s="229"/>
      <c r="G253" s="228"/>
      <c r="H253" s="228"/>
      <c r="I253" s="228"/>
      <c r="J253" s="228"/>
      <c r="K253" s="228">
        <f t="shared" si="31"/>
        <v>0</v>
      </c>
      <c r="L253" s="228">
        <f t="shared" si="32"/>
        <v>0</v>
      </c>
      <c r="M253" s="228">
        <v>301.14</v>
      </c>
      <c r="N253" s="228">
        <f>+M253*1000/(35.8*10*13*60)*T253</f>
        <v>5.3921357971637294</v>
      </c>
      <c r="O253" s="228"/>
      <c r="P253" s="228">
        <f t="shared" si="34"/>
        <v>0</v>
      </c>
      <c r="Q253" s="228"/>
      <c r="R253" s="19">
        <f t="shared" si="35"/>
        <v>0</v>
      </c>
      <c r="S253" s="228">
        <f t="shared" si="36"/>
        <v>0</v>
      </c>
      <c r="T253" s="20">
        <v>5</v>
      </c>
      <c r="U253" s="20"/>
      <c r="V253" s="23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26">
        <v>300039</v>
      </c>
      <c r="B254" s="223" t="s">
        <v>60</v>
      </c>
      <c r="C254" s="256" t="s">
        <v>64</v>
      </c>
      <c r="D254" s="256" t="s">
        <v>65</v>
      </c>
      <c r="E254" s="230" t="s">
        <v>66</v>
      </c>
      <c r="F254" s="229"/>
      <c r="G254" s="228"/>
      <c r="H254" s="228"/>
      <c r="I254" s="228"/>
      <c r="J254" s="228"/>
      <c r="K254" s="228">
        <f t="shared" si="31"/>
        <v>0</v>
      </c>
      <c r="L254" s="228">
        <f t="shared" si="32"/>
        <v>0</v>
      </c>
      <c r="M254" s="228">
        <v>310.39999999999998</v>
      </c>
      <c r="N254" s="228">
        <f>+M254*1000/(35.8*10*13*60)*T254</f>
        <v>5.557942988110586</v>
      </c>
      <c r="O254" s="228"/>
      <c r="P254" s="228">
        <f t="shared" si="34"/>
        <v>0</v>
      </c>
      <c r="Q254" s="228"/>
      <c r="R254" s="19">
        <f t="shared" si="35"/>
        <v>0</v>
      </c>
      <c r="S254" s="228">
        <f t="shared" si="36"/>
        <v>0</v>
      </c>
      <c r="T254" s="20">
        <v>5</v>
      </c>
      <c r="U254" s="20"/>
      <c r="V254" s="23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26">
        <v>300416</v>
      </c>
      <c r="B255" s="223" t="s">
        <v>67</v>
      </c>
      <c r="C255" s="267" t="s">
        <v>68</v>
      </c>
      <c r="D255" s="268"/>
      <c r="E255" s="230" t="s">
        <v>69</v>
      </c>
      <c r="F255" s="229"/>
      <c r="G255" s="228"/>
      <c r="H255" s="228"/>
      <c r="I255" s="228"/>
      <c r="J255" s="228"/>
      <c r="K255" s="228">
        <f t="shared" si="31"/>
        <v>0</v>
      </c>
      <c r="L255" s="228">
        <f t="shared" si="32"/>
        <v>0</v>
      </c>
      <c r="M255" s="228">
        <v>385.6</v>
      </c>
      <c r="N255" s="228">
        <f>+M255*1000/(25.4*20*15*60)*T255</f>
        <v>2.5301837270341205</v>
      </c>
      <c r="O255" s="228"/>
      <c r="P255" s="228">
        <f t="shared" si="34"/>
        <v>0</v>
      </c>
      <c r="Q255" s="228"/>
      <c r="R255" s="19">
        <f t="shared" si="35"/>
        <v>0</v>
      </c>
      <c r="S255" s="228">
        <f t="shared" si="36"/>
        <v>0</v>
      </c>
      <c r="T255" s="20">
        <v>3</v>
      </c>
      <c r="U255" s="20"/>
      <c r="V255" s="235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26">
        <v>300417</v>
      </c>
      <c r="B256" s="223" t="s">
        <v>67</v>
      </c>
      <c r="C256" s="267" t="s">
        <v>68</v>
      </c>
      <c r="D256" s="268"/>
      <c r="E256" s="230" t="s">
        <v>70</v>
      </c>
      <c r="F256" s="229"/>
      <c r="G256" s="228"/>
      <c r="H256" s="228"/>
      <c r="I256" s="228"/>
      <c r="J256" s="228"/>
      <c r="K256" s="228">
        <f t="shared" si="31"/>
        <v>0</v>
      </c>
      <c r="L256" s="228">
        <f t="shared" si="32"/>
        <v>0</v>
      </c>
      <c r="M256" s="228">
        <v>385.6</v>
      </c>
      <c r="N256" s="228">
        <f>+M256*1000/(25.4*20*15*60)*T256</f>
        <v>2.5301837270341205</v>
      </c>
      <c r="O256" s="228"/>
      <c r="P256" s="228">
        <f t="shared" si="34"/>
        <v>0</v>
      </c>
      <c r="Q256" s="228"/>
      <c r="R256" s="19">
        <f t="shared" si="35"/>
        <v>0</v>
      </c>
      <c r="S256" s="228">
        <f t="shared" si="36"/>
        <v>0</v>
      </c>
      <c r="T256" s="20">
        <v>3</v>
      </c>
      <c r="U256" s="20"/>
      <c r="V256" s="235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26">
        <v>300418</v>
      </c>
      <c r="B257" s="223" t="s">
        <v>67</v>
      </c>
      <c r="C257" s="267" t="s">
        <v>68</v>
      </c>
      <c r="D257" s="268"/>
      <c r="E257" s="230" t="s">
        <v>71</v>
      </c>
      <c r="F257" s="229"/>
      <c r="G257" s="228"/>
      <c r="H257" s="228"/>
      <c r="I257" s="228"/>
      <c r="J257" s="228"/>
      <c r="K257" s="228">
        <f t="shared" si="31"/>
        <v>0</v>
      </c>
      <c r="L257" s="228">
        <f t="shared" si="32"/>
        <v>0</v>
      </c>
      <c r="M257" s="228">
        <v>385.6</v>
      </c>
      <c r="N257" s="228">
        <f>+M257*1000/(25.4*20*15*60)*T257</f>
        <v>2.5301837270341205</v>
      </c>
      <c r="O257" s="228"/>
      <c r="P257" s="228">
        <f t="shared" si="34"/>
        <v>0</v>
      </c>
      <c r="Q257" s="228"/>
      <c r="R257" s="19">
        <f t="shared" si="35"/>
        <v>0</v>
      </c>
      <c r="S257" s="228">
        <f t="shared" si="36"/>
        <v>0</v>
      </c>
      <c r="T257" s="20">
        <v>3</v>
      </c>
      <c r="U257" s="20"/>
      <c r="V257" s="235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26">
        <v>300419</v>
      </c>
      <c r="B258" s="223" t="s">
        <v>67</v>
      </c>
      <c r="C258" s="267" t="s">
        <v>68</v>
      </c>
      <c r="D258" s="268"/>
      <c r="E258" s="230" t="s">
        <v>72</v>
      </c>
      <c r="F258" s="229"/>
      <c r="G258" s="228"/>
      <c r="H258" s="228"/>
      <c r="I258" s="228"/>
      <c r="J258" s="228"/>
      <c r="K258" s="228">
        <f t="shared" si="31"/>
        <v>0</v>
      </c>
      <c r="L258" s="228">
        <f t="shared" si="32"/>
        <v>0</v>
      </c>
      <c r="M258" s="228">
        <v>385.6</v>
      </c>
      <c r="N258" s="228">
        <f>+M258*1000/(25.4*20*15*60)*T258</f>
        <v>2.5301837270341205</v>
      </c>
      <c r="O258" s="228"/>
      <c r="P258" s="228">
        <f t="shared" si="34"/>
        <v>0</v>
      </c>
      <c r="Q258" s="228"/>
      <c r="R258" s="19">
        <f t="shared" si="35"/>
        <v>0</v>
      </c>
      <c r="S258" s="228">
        <f t="shared" si="36"/>
        <v>0</v>
      </c>
      <c r="T258" s="20">
        <v>3</v>
      </c>
      <c r="U258" s="20"/>
      <c r="V258" s="235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26">
        <v>300260</v>
      </c>
      <c r="B259" s="223" t="s">
        <v>67</v>
      </c>
      <c r="C259" s="256" t="s">
        <v>73</v>
      </c>
      <c r="D259" s="256"/>
      <c r="E259" s="230" t="s">
        <v>74</v>
      </c>
      <c r="F259" s="229"/>
      <c r="G259" s="228"/>
      <c r="H259" s="228"/>
      <c r="I259" s="228"/>
      <c r="J259" s="228"/>
      <c r="K259" s="228">
        <f t="shared" si="31"/>
        <v>0</v>
      </c>
      <c r="L259" s="228">
        <f t="shared" si="32"/>
        <v>0</v>
      </c>
      <c r="M259" s="228">
        <v>434.33</v>
      </c>
      <c r="N259" s="228">
        <f>+M259*1000/(42.7*10*15*60)*T259</f>
        <v>2.2603695029924538</v>
      </c>
      <c r="O259" s="228"/>
      <c r="P259" s="228">
        <f t="shared" si="34"/>
        <v>0</v>
      </c>
      <c r="Q259" s="228"/>
      <c r="R259" s="19">
        <f t="shared" si="35"/>
        <v>0</v>
      </c>
      <c r="S259" s="228">
        <f t="shared" si="36"/>
        <v>0</v>
      </c>
      <c r="T259" s="20">
        <v>2</v>
      </c>
      <c r="U259" s="20"/>
      <c r="V259" s="23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26">
        <v>300261</v>
      </c>
      <c r="B260" s="223" t="s">
        <v>67</v>
      </c>
      <c r="C260" s="256" t="s">
        <v>73</v>
      </c>
      <c r="D260" s="256"/>
      <c r="E260" s="230" t="s">
        <v>41</v>
      </c>
      <c r="F260" s="229"/>
      <c r="G260" s="228"/>
      <c r="H260" s="228"/>
      <c r="I260" s="228"/>
      <c r="J260" s="228"/>
      <c r="K260" s="228">
        <f t="shared" si="31"/>
        <v>0</v>
      </c>
      <c r="L260" s="228">
        <f t="shared" si="32"/>
        <v>0</v>
      </c>
      <c r="M260" s="228">
        <v>434.33</v>
      </c>
      <c r="N260" s="228">
        <f>+M260*1000/(42.7*10*15*60)*T260</f>
        <v>2.2603695029924538</v>
      </c>
      <c r="O260" s="228"/>
      <c r="P260" s="228">
        <f t="shared" si="34"/>
        <v>0</v>
      </c>
      <c r="Q260" s="228"/>
      <c r="R260" s="19">
        <f t="shared" si="35"/>
        <v>0</v>
      </c>
      <c r="S260" s="228">
        <f t="shared" si="36"/>
        <v>0</v>
      </c>
      <c r="T260" s="20">
        <v>2</v>
      </c>
      <c r="U260" s="20"/>
      <c r="V260" s="23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26">
        <v>300262</v>
      </c>
      <c r="B261" s="223" t="s">
        <v>67</v>
      </c>
      <c r="C261" s="256" t="s">
        <v>73</v>
      </c>
      <c r="D261" s="256"/>
      <c r="E261" s="230" t="s">
        <v>39</v>
      </c>
      <c r="F261" s="229"/>
      <c r="G261" s="228"/>
      <c r="H261" s="228"/>
      <c r="I261" s="228"/>
      <c r="J261" s="228"/>
      <c r="K261" s="228">
        <f t="shared" si="31"/>
        <v>0</v>
      </c>
      <c r="L261" s="228">
        <f t="shared" si="32"/>
        <v>0</v>
      </c>
      <c r="M261" s="228">
        <v>434.33</v>
      </c>
      <c r="N261" s="228">
        <f>+M261*1000/(42.7*10*15*60)*T261</f>
        <v>2.2603695029924538</v>
      </c>
      <c r="O261" s="228"/>
      <c r="P261" s="228">
        <f t="shared" si="34"/>
        <v>0</v>
      </c>
      <c r="Q261" s="228"/>
      <c r="R261" s="19">
        <f t="shared" si="35"/>
        <v>0</v>
      </c>
      <c r="S261" s="228">
        <f t="shared" si="36"/>
        <v>0</v>
      </c>
      <c r="T261" s="20">
        <v>2</v>
      </c>
      <c r="U261" s="20"/>
      <c r="V261" s="23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26">
        <v>300263</v>
      </c>
      <c r="B262" s="223" t="s">
        <v>67</v>
      </c>
      <c r="C262" s="256" t="s">
        <v>73</v>
      </c>
      <c r="D262" s="256"/>
      <c r="E262" s="230" t="s">
        <v>54</v>
      </c>
      <c r="F262" s="229"/>
      <c r="G262" s="228"/>
      <c r="H262" s="228"/>
      <c r="I262" s="228"/>
      <c r="J262" s="228"/>
      <c r="K262" s="228">
        <f t="shared" si="31"/>
        <v>0</v>
      </c>
      <c r="L262" s="228">
        <f t="shared" si="32"/>
        <v>0</v>
      </c>
      <c r="M262" s="228">
        <v>434.33</v>
      </c>
      <c r="N262" s="228">
        <f>+M262*1000/(42.7*10*15*60)*T262</f>
        <v>2.2603695029924538</v>
      </c>
      <c r="O262" s="228"/>
      <c r="P262" s="228">
        <f t="shared" si="34"/>
        <v>0</v>
      </c>
      <c r="Q262" s="228"/>
      <c r="R262" s="19">
        <f t="shared" si="35"/>
        <v>0</v>
      </c>
      <c r="S262" s="228">
        <f t="shared" si="36"/>
        <v>0</v>
      </c>
      <c r="T262" s="20">
        <v>2</v>
      </c>
      <c r="U262" s="20"/>
      <c r="V262" s="23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26">
        <v>300051</v>
      </c>
      <c r="B263" s="223" t="s">
        <v>67</v>
      </c>
      <c r="C263" s="256" t="s">
        <v>75</v>
      </c>
      <c r="D263" s="256" t="s">
        <v>76</v>
      </c>
      <c r="E263" s="230" t="s">
        <v>40</v>
      </c>
      <c r="F263" s="229"/>
      <c r="G263" s="228"/>
      <c r="H263" s="228"/>
      <c r="I263" s="228"/>
      <c r="J263" s="228"/>
      <c r="K263" s="228">
        <f t="shared" si="31"/>
        <v>0</v>
      </c>
      <c r="L263" s="228">
        <f t="shared" si="32"/>
        <v>0</v>
      </c>
      <c r="M263" s="228">
        <v>545.9</v>
      </c>
      <c r="N263" s="228">
        <f>+M263*1000/(41.5*10*16*60)*T263</f>
        <v>2.7404618473895583</v>
      </c>
      <c r="O263" s="228"/>
      <c r="P263" s="228">
        <f t="shared" si="34"/>
        <v>0</v>
      </c>
      <c r="Q263" s="228"/>
      <c r="R263" s="19">
        <f t="shared" si="35"/>
        <v>0</v>
      </c>
      <c r="S263" s="228">
        <f t="shared" si="36"/>
        <v>0</v>
      </c>
      <c r="T263" s="22">
        <v>2</v>
      </c>
      <c r="U263" s="20"/>
      <c r="V263" s="23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26">
        <v>300052</v>
      </c>
      <c r="B264" s="223" t="s">
        <v>67</v>
      </c>
      <c r="C264" s="256" t="s">
        <v>75</v>
      </c>
      <c r="D264" s="256" t="s">
        <v>76</v>
      </c>
      <c r="E264" s="230" t="s">
        <v>39</v>
      </c>
      <c r="F264" s="229"/>
      <c r="G264" s="228"/>
      <c r="H264" s="228"/>
      <c r="I264" s="228"/>
      <c r="J264" s="228"/>
      <c r="K264" s="228">
        <f t="shared" si="31"/>
        <v>0</v>
      </c>
      <c r="L264" s="228">
        <f t="shared" si="32"/>
        <v>0</v>
      </c>
      <c r="M264" s="228">
        <v>545.9</v>
      </c>
      <c r="N264" s="228">
        <f>+M264*1000/(41.5*10*16*60)*T264</f>
        <v>2.7404618473895583</v>
      </c>
      <c r="O264" s="228"/>
      <c r="P264" s="228">
        <f t="shared" si="34"/>
        <v>0</v>
      </c>
      <c r="Q264" s="228"/>
      <c r="R264" s="19">
        <f t="shared" si="35"/>
        <v>0</v>
      </c>
      <c r="S264" s="228">
        <f t="shared" si="36"/>
        <v>0</v>
      </c>
      <c r="T264" s="20">
        <v>2</v>
      </c>
      <c r="U264" s="20"/>
      <c r="V264" s="23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226">
        <v>300054</v>
      </c>
      <c r="B265" s="223">
        <v>4503</v>
      </c>
      <c r="C265" s="256" t="s">
        <v>75</v>
      </c>
      <c r="D265" s="256" t="s">
        <v>76</v>
      </c>
      <c r="E265" s="230" t="s">
        <v>38</v>
      </c>
      <c r="F265" s="229">
        <v>1571</v>
      </c>
      <c r="G265" s="228">
        <v>2.4</v>
      </c>
      <c r="H265" s="228"/>
      <c r="I265" s="228">
        <f>2-J265/500</f>
        <v>1.7</v>
      </c>
      <c r="J265" s="228">
        <v>150</v>
      </c>
      <c r="K265" s="228">
        <f t="shared" si="31"/>
        <v>1310.1599999999999</v>
      </c>
      <c r="L265" s="228">
        <f t="shared" si="32"/>
        <v>928.03</v>
      </c>
      <c r="M265" s="228">
        <v>545.9</v>
      </c>
      <c r="N265" s="228">
        <f>+M265*1000/(41.5*10*16*60)*T265</f>
        <v>2.7404618473895583</v>
      </c>
      <c r="O265" s="228">
        <v>0.5</v>
      </c>
      <c r="P265" s="228">
        <f t="shared" si="34"/>
        <v>5.6587851405622489</v>
      </c>
      <c r="Q265" s="228">
        <v>9.5</v>
      </c>
      <c r="R265" s="19">
        <f t="shared" si="35"/>
        <v>19</v>
      </c>
      <c r="S265" s="228">
        <f t="shared" si="36"/>
        <v>13.341214859437752</v>
      </c>
      <c r="T265" s="20">
        <v>2</v>
      </c>
      <c r="U265" s="20">
        <v>2</v>
      </c>
      <c r="V265" s="235">
        <f t="array" ref="V265">IF(ISERROR(L265/K265),"",L265/K265)</f>
        <v>0.70833333333333337</v>
      </c>
      <c r="W265" s="20"/>
      <c r="X265" s="191">
        <f>60/60*2</f>
        <v>2</v>
      </c>
      <c r="Y265" s="20"/>
      <c r="Z265" s="20"/>
      <c r="AA265" s="20"/>
      <c r="AB265" s="20"/>
      <c r="AC265" s="20"/>
    </row>
    <row r="266" spans="1:29" s="2" customFormat="1" ht="21.95" customHeight="1">
      <c r="A266" s="226">
        <v>300436</v>
      </c>
      <c r="B266" s="223">
        <v>4503</v>
      </c>
      <c r="C266" s="256" t="s">
        <v>75</v>
      </c>
      <c r="D266" s="256" t="s">
        <v>76</v>
      </c>
      <c r="E266" s="230" t="s">
        <v>309</v>
      </c>
      <c r="F266" s="27">
        <v>1570</v>
      </c>
      <c r="G266" s="228">
        <v>5.6</v>
      </c>
      <c r="H266" s="228">
        <v>0.6</v>
      </c>
      <c r="I266" s="228">
        <f>5+H266</f>
        <v>5.6</v>
      </c>
      <c r="J266" s="228"/>
      <c r="K266" s="228">
        <f t="shared" si="31"/>
        <v>3057.0399999999995</v>
      </c>
      <c r="L266" s="228">
        <f t="shared" si="32"/>
        <v>3057.0399999999995</v>
      </c>
      <c r="M266" s="228">
        <v>545.9</v>
      </c>
      <c r="N266" s="228">
        <f>+M266*1000/(41.5*10*16*60)*T266</f>
        <v>2.7404618473895583</v>
      </c>
      <c r="O266" s="228"/>
      <c r="P266" s="228">
        <f t="shared" si="34"/>
        <v>15.346586345381526</v>
      </c>
      <c r="Q266" s="228">
        <v>2</v>
      </c>
      <c r="R266" s="19">
        <f t="shared" si="35"/>
        <v>4</v>
      </c>
      <c r="S266" s="228">
        <f t="shared" si="36"/>
        <v>-11.346586345381526</v>
      </c>
      <c r="T266" s="20">
        <v>2</v>
      </c>
      <c r="U266" s="20">
        <v>2</v>
      </c>
      <c r="V266" s="235">
        <f t="array" ref="V266">IF(ISERROR(L266/K266),"",L266/K266)</f>
        <v>1</v>
      </c>
      <c r="W266" s="20"/>
      <c r="X266" s="191"/>
      <c r="Y266" s="20"/>
      <c r="Z266" s="20"/>
      <c r="AA266" s="20"/>
      <c r="AB266" s="20"/>
      <c r="AC266" s="20"/>
    </row>
    <row r="267" spans="1:29" s="2" customFormat="1" ht="21.95" hidden="1" customHeight="1">
      <c r="A267" s="226">
        <v>300050</v>
      </c>
      <c r="B267" s="223" t="s">
        <v>67</v>
      </c>
      <c r="C267" s="256" t="s">
        <v>77</v>
      </c>
      <c r="D267" s="256" t="s">
        <v>78</v>
      </c>
      <c r="E267" s="230" t="s">
        <v>79</v>
      </c>
      <c r="F267" s="229"/>
      <c r="G267" s="228"/>
      <c r="H267" s="228"/>
      <c r="I267" s="228"/>
      <c r="J267" s="228"/>
      <c r="K267" s="228">
        <f t="shared" si="31"/>
        <v>0</v>
      </c>
      <c r="L267" s="228">
        <f t="shared" si="32"/>
        <v>0</v>
      </c>
      <c r="M267" s="228">
        <v>427.5</v>
      </c>
      <c r="N267" s="228">
        <f>+M267*1000/(45*10*14*60)*T267</f>
        <v>5.6547619047619051</v>
      </c>
      <c r="O267" s="228"/>
      <c r="P267" s="228">
        <f t="shared" si="34"/>
        <v>0</v>
      </c>
      <c r="Q267" s="228"/>
      <c r="R267" s="19">
        <f t="shared" si="35"/>
        <v>0</v>
      </c>
      <c r="S267" s="228">
        <f t="shared" si="36"/>
        <v>0</v>
      </c>
      <c r="T267" s="20">
        <v>5</v>
      </c>
      <c r="U267" s="20"/>
      <c r="V267" s="235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226">
        <v>300045</v>
      </c>
      <c r="B268" s="223" t="s">
        <v>67</v>
      </c>
      <c r="C268" s="256" t="s">
        <v>77</v>
      </c>
      <c r="D268" s="256" t="s">
        <v>78</v>
      </c>
      <c r="E268" s="230" t="s">
        <v>35</v>
      </c>
      <c r="F268" s="229"/>
      <c r="G268" s="228"/>
      <c r="H268" s="228"/>
      <c r="I268" s="228"/>
      <c r="J268" s="228"/>
      <c r="K268" s="228">
        <f t="shared" si="31"/>
        <v>0</v>
      </c>
      <c r="L268" s="228">
        <f t="shared" si="32"/>
        <v>0</v>
      </c>
      <c r="M268" s="228">
        <v>406.6</v>
      </c>
      <c r="N268" s="228">
        <f>+M268*1000/(45*10*13*60)*T268</f>
        <v>5.7920227920227916</v>
      </c>
      <c r="O268" s="228"/>
      <c r="P268" s="228">
        <f t="shared" si="34"/>
        <v>0</v>
      </c>
      <c r="Q268" s="228"/>
      <c r="R268" s="19">
        <f t="shared" si="35"/>
        <v>0</v>
      </c>
      <c r="S268" s="228">
        <f t="shared" si="36"/>
        <v>0</v>
      </c>
      <c r="T268" s="20">
        <v>5</v>
      </c>
      <c r="U268" s="20"/>
      <c r="V268" s="235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226">
        <v>300422</v>
      </c>
      <c r="B269" s="223" t="s">
        <v>67</v>
      </c>
      <c r="C269" s="267" t="s">
        <v>301</v>
      </c>
      <c r="D269" s="268"/>
      <c r="E269" s="230" t="s">
        <v>54</v>
      </c>
      <c r="F269" s="229"/>
      <c r="G269" s="228"/>
      <c r="H269" s="228"/>
      <c r="I269" s="228"/>
      <c r="J269" s="228"/>
      <c r="K269" s="228">
        <f t="shared" si="31"/>
        <v>0</v>
      </c>
      <c r="L269" s="228">
        <f t="shared" si="32"/>
        <v>0</v>
      </c>
      <c r="M269" s="228">
        <v>429.8</v>
      </c>
      <c r="N269" s="228">
        <f>+M269*1000/(45*10*13*60)*T269</f>
        <v>3.6735042735042738</v>
      </c>
      <c r="O269" s="228"/>
      <c r="P269" s="228">
        <f t="shared" si="34"/>
        <v>0</v>
      </c>
      <c r="Q269" s="228"/>
      <c r="R269" s="19">
        <f t="shared" si="35"/>
        <v>0</v>
      </c>
      <c r="S269" s="228">
        <f t="shared" si="36"/>
        <v>0</v>
      </c>
      <c r="T269" s="20">
        <v>3</v>
      </c>
      <c r="U269" s="20"/>
      <c r="V269" s="235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226">
        <v>300421</v>
      </c>
      <c r="B270" s="223" t="s">
        <v>67</v>
      </c>
      <c r="C270" s="267" t="s">
        <v>301</v>
      </c>
      <c r="D270" s="268"/>
      <c r="E270" s="230" t="s">
        <v>80</v>
      </c>
      <c r="F270" s="229"/>
      <c r="G270" s="228"/>
      <c r="H270" s="228"/>
      <c r="I270" s="228"/>
      <c r="J270" s="228"/>
      <c r="K270" s="228">
        <f t="shared" si="31"/>
        <v>0</v>
      </c>
      <c r="L270" s="228">
        <f t="shared" si="32"/>
        <v>0</v>
      </c>
      <c r="M270" s="228">
        <v>429.8</v>
      </c>
      <c r="N270" s="228">
        <f>+M270*1000/(45*10*13*60)*T270</f>
        <v>3.6735042735042738</v>
      </c>
      <c r="O270" s="228"/>
      <c r="P270" s="228">
        <f t="shared" si="34"/>
        <v>0</v>
      </c>
      <c r="Q270" s="228"/>
      <c r="R270" s="19">
        <f t="shared" si="35"/>
        <v>0</v>
      </c>
      <c r="S270" s="228">
        <f t="shared" si="36"/>
        <v>0</v>
      </c>
      <c r="T270" s="20">
        <v>3</v>
      </c>
      <c r="U270" s="20"/>
      <c r="V270" s="235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226">
        <v>300149</v>
      </c>
      <c r="B271" s="223" t="s">
        <v>67</v>
      </c>
      <c r="C271" s="256" t="s">
        <v>81</v>
      </c>
      <c r="D271" s="256" t="s">
        <v>82</v>
      </c>
      <c r="E271" s="230" t="s">
        <v>80</v>
      </c>
      <c r="F271" s="229"/>
      <c r="G271" s="228"/>
      <c r="H271" s="228"/>
      <c r="I271" s="228"/>
      <c r="J271" s="228"/>
      <c r="K271" s="228">
        <f t="shared" si="31"/>
        <v>0</v>
      </c>
      <c r="L271" s="228">
        <f t="shared" si="32"/>
        <v>0</v>
      </c>
      <c r="M271" s="228">
        <v>589.1</v>
      </c>
      <c r="N271" s="228">
        <f>+M271*1000/(67.1*10*13*60)*T271</f>
        <v>3.3767052619511633</v>
      </c>
      <c r="O271" s="228"/>
      <c r="P271" s="228">
        <f t="shared" si="34"/>
        <v>0</v>
      </c>
      <c r="Q271" s="228"/>
      <c r="R271" s="19">
        <f t="shared" si="35"/>
        <v>0</v>
      </c>
      <c r="S271" s="228">
        <f t="shared" si="36"/>
        <v>0</v>
      </c>
      <c r="T271" s="20">
        <v>3</v>
      </c>
      <c r="U271" s="20"/>
      <c r="V271" s="235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226">
        <v>300150</v>
      </c>
      <c r="B272" s="223" t="s">
        <v>67</v>
      </c>
      <c r="C272" s="256" t="s">
        <v>81</v>
      </c>
      <c r="D272" s="256" t="s">
        <v>82</v>
      </c>
      <c r="E272" s="230" t="s">
        <v>54</v>
      </c>
      <c r="F272" s="229"/>
      <c r="G272" s="228"/>
      <c r="H272" s="228"/>
      <c r="I272" s="228"/>
      <c r="J272" s="228"/>
      <c r="K272" s="228">
        <f t="shared" si="31"/>
        <v>0</v>
      </c>
      <c r="L272" s="228">
        <f t="shared" si="32"/>
        <v>0</v>
      </c>
      <c r="M272" s="228">
        <v>589.1</v>
      </c>
      <c r="N272" s="228">
        <f>+M272*1000/(67.1*10*13*60)*T272</f>
        <v>3.3767052619511633</v>
      </c>
      <c r="O272" s="228"/>
      <c r="P272" s="228">
        <f t="shared" si="34"/>
        <v>0</v>
      </c>
      <c r="Q272" s="228"/>
      <c r="R272" s="19">
        <f t="shared" si="35"/>
        <v>0</v>
      </c>
      <c r="S272" s="228">
        <f t="shared" si="36"/>
        <v>0</v>
      </c>
      <c r="T272" s="20">
        <v>3</v>
      </c>
      <c r="U272" s="20"/>
      <c r="V272" s="235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226">
        <v>300330</v>
      </c>
      <c r="B273" s="223" t="s">
        <v>67</v>
      </c>
      <c r="C273" s="267" t="s">
        <v>83</v>
      </c>
      <c r="D273" s="268"/>
      <c r="E273" s="230" t="s">
        <v>84</v>
      </c>
      <c r="F273" s="229"/>
      <c r="G273" s="228"/>
      <c r="H273" s="228"/>
      <c r="I273" s="228"/>
      <c r="J273" s="228"/>
      <c r="K273" s="228">
        <f t="shared" si="31"/>
        <v>0</v>
      </c>
      <c r="L273" s="228">
        <f t="shared" si="32"/>
        <v>0</v>
      </c>
      <c r="M273" s="228">
        <v>416.3</v>
      </c>
      <c r="N273" s="228">
        <f t="shared" ref="N273:N278" si="37">+M273*1000/(45*10*18*60)*T273</f>
        <v>1.7131687242798355</v>
      </c>
      <c r="O273" s="228"/>
      <c r="P273" s="228">
        <f t="shared" si="34"/>
        <v>0</v>
      </c>
      <c r="Q273" s="228"/>
      <c r="R273" s="19">
        <f t="shared" si="35"/>
        <v>0</v>
      </c>
      <c r="S273" s="228">
        <f t="shared" si="36"/>
        <v>0</v>
      </c>
      <c r="T273" s="20">
        <v>2</v>
      </c>
      <c r="U273" s="20"/>
      <c r="V273" s="235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226">
        <v>300331</v>
      </c>
      <c r="B274" s="223" t="s">
        <v>67</v>
      </c>
      <c r="C274" s="267" t="s">
        <v>83</v>
      </c>
      <c r="D274" s="268"/>
      <c r="E274" s="230" t="s">
        <v>49</v>
      </c>
      <c r="F274" s="229"/>
      <c r="G274" s="228"/>
      <c r="H274" s="228"/>
      <c r="I274" s="228"/>
      <c r="J274" s="228"/>
      <c r="K274" s="228">
        <f t="shared" si="31"/>
        <v>0</v>
      </c>
      <c r="L274" s="228">
        <f t="shared" si="32"/>
        <v>0</v>
      </c>
      <c r="M274" s="228">
        <v>416.3</v>
      </c>
      <c r="N274" s="228">
        <f t="shared" si="37"/>
        <v>1.7131687242798355</v>
      </c>
      <c r="O274" s="228"/>
      <c r="P274" s="228">
        <f t="shared" si="34"/>
        <v>0</v>
      </c>
      <c r="Q274" s="228"/>
      <c r="R274" s="19">
        <f t="shared" si="35"/>
        <v>0</v>
      </c>
      <c r="S274" s="228">
        <f t="shared" si="36"/>
        <v>0</v>
      </c>
      <c r="T274" s="20">
        <v>2</v>
      </c>
      <c r="U274" s="20"/>
      <c r="V274" s="235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226">
        <v>300332</v>
      </c>
      <c r="B275" s="223" t="s">
        <v>67</v>
      </c>
      <c r="C275" s="267" t="s">
        <v>83</v>
      </c>
      <c r="D275" s="268"/>
      <c r="E275" s="230" t="s">
        <v>85</v>
      </c>
      <c r="F275" s="229"/>
      <c r="G275" s="228"/>
      <c r="H275" s="228"/>
      <c r="I275" s="228"/>
      <c r="J275" s="228"/>
      <c r="K275" s="228">
        <f t="shared" si="31"/>
        <v>0</v>
      </c>
      <c r="L275" s="228">
        <f t="shared" si="32"/>
        <v>0</v>
      </c>
      <c r="M275" s="228">
        <v>416.3</v>
      </c>
      <c r="N275" s="228">
        <f t="shared" si="37"/>
        <v>1.7131687242798355</v>
      </c>
      <c r="O275" s="228"/>
      <c r="P275" s="228">
        <f t="shared" si="34"/>
        <v>0</v>
      </c>
      <c r="Q275" s="228"/>
      <c r="R275" s="19">
        <f t="shared" si="35"/>
        <v>0</v>
      </c>
      <c r="S275" s="228">
        <f t="shared" si="36"/>
        <v>0</v>
      </c>
      <c r="T275" s="20">
        <v>2</v>
      </c>
      <c r="U275" s="20"/>
      <c r="V275" s="235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226">
        <v>300333</v>
      </c>
      <c r="B276" s="223" t="s">
        <v>67</v>
      </c>
      <c r="C276" s="267" t="s">
        <v>86</v>
      </c>
      <c r="D276" s="268"/>
      <c r="E276" s="230" t="s">
        <v>84</v>
      </c>
      <c r="F276" s="229"/>
      <c r="G276" s="228"/>
      <c r="H276" s="228"/>
      <c r="I276" s="228"/>
      <c r="J276" s="228"/>
      <c r="K276" s="228">
        <f t="shared" si="31"/>
        <v>0</v>
      </c>
      <c r="L276" s="228">
        <f t="shared" si="32"/>
        <v>0</v>
      </c>
      <c r="M276" s="228">
        <v>416.3</v>
      </c>
      <c r="N276" s="228">
        <f t="shared" si="37"/>
        <v>1.7131687242798355</v>
      </c>
      <c r="O276" s="228"/>
      <c r="P276" s="228">
        <f t="shared" si="34"/>
        <v>0</v>
      </c>
      <c r="Q276" s="228"/>
      <c r="R276" s="19">
        <f t="shared" si="35"/>
        <v>0</v>
      </c>
      <c r="S276" s="228">
        <f t="shared" si="36"/>
        <v>0</v>
      </c>
      <c r="T276" s="20">
        <v>2</v>
      </c>
      <c r="U276" s="20"/>
      <c r="V276" s="235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226">
        <v>300334</v>
      </c>
      <c r="B277" s="223" t="s">
        <v>67</v>
      </c>
      <c r="C277" s="267" t="s">
        <v>86</v>
      </c>
      <c r="D277" s="268"/>
      <c r="E277" s="230" t="s">
        <v>85</v>
      </c>
      <c r="F277" s="229"/>
      <c r="G277" s="228"/>
      <c r="H277" s="228"/>
      <c r="I277" s="228"/>
      <c r="J277" s="228"/>
      <c r="K277" s="228">
        <f t="shared" si="31"/>
        <v>0</v>
      </c>
      <c r="L277" s="228">
        <f t="shared" si="32"/>
        <v>0</v>
      </c>
      <c r="M277" s="228">
        <v>416.3</v>
      </c>
      <c r="N277" s="228">
        <f t="shared" si="37"/>
        <v>1.7131687242798355</v>
      </c>
      <c r="O277" s="228"/>
      <c r="P277" s="228">
        <f t="shared" si="34"/>
        <v>0</v>
      </c>
      <c r="Q277" s="228"/>
      <c r="R277" s="19">
        <f t="shared" si="35"/>
        <v>0</v>
      </c>
      <c r="S277" s="228">
        <f t="shared" si="36"/>
        <v>0</v>
      </c>
      <c r="T277" s="20">
        <v>2</v>
      </c>
      <c r="U277" s="20"/>
      <c r="V277" s="235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226">
        <v>300335</v>
      </c>
      <c r="B278" s="223" t="s">
        <v>67</v>
      </c>
      <c r="C278" s="267" t="s">
        <v>86</v>
      </c>
      <c r="D278" s="268"/>
      <c r="E278" s="230" t="s">
        <v>49</v>
      </c>
      <c r="F278" s="229"/>
      <c r="G278" s="228"/>
      <c r="H278" s="228"/>
      <c r="I278" s="228"/>
      <c r="J278" s="228"/>
      <c r="K278" s="228">
        <f t="shared" si="31"/>
        <v>0</v>
      </c>
      <c r="L278" s="228">
        <f t="shared" si="32"/>
        <v>0</v>
      </c>
      <c r="M278" s="228">
        <v>416.3</v>
      </c>
      <c r="N278" s="228">
        <f t="shared" si="37"/>
        <v>1.7131687242798355</v>
      </c>
      <c r="O278" s="228"/>
      <c r="P278" s="228">
        <f t="shared" si="34"/>
        <v>0</v>
      </c>
      <c r="Q278" s="228"/>
      <c r="R278" s="19">
        <f t="shared" si="35"/>
        <v>0</v>
      </c>
      <c r="S278" s="228">
        <f t="shared" si="36"/>
        <v>0</v>
      </c>
      <c r="T278" s="20">
        <v>2</v>
      </c>
      <c r="U278" s="20"/>
      <c r="V278" s="235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226">
        <v>300291</v>
      </c>
      <c r="B279" s="223" t="s">
        <v>87</v>
      </c>
      <c r="C279" s="256" t="s">
        <v>88</v>
      </c>
      <c r="D279" s="256" t="s">
        <v>89</v>
      </c>
      <c r="E279" s="230" t="s">
        <v>42</v>
      </c>
      <c r="F279" s="229"/>
      <c r="G279" s="228"/>
      <c r="H279" s="228"/>
      <c r="I279" s="228"/>
      <c r="J279" s="228"/>
      <c r="K279" s="228">
        <f t="shared" si="31"/>
        <v>0</v>
      </c>
      <c r="L279" s="228">
        <f t="shared" si="32"/>
        <v>0</v>
      </c>
      <c r="M279" s="228">
        <v>517.79999999999995</v>
      </c>
      <c r="N279" s="228">
        <f>+M279*1000/(66.6*1*110*60)*T279</f>
        <v>4.7119847119847122</v>
      </c>
      <c r="O279" s="228"/>
      <c r="P279" s="228">
        <f t="shared" si="34"/>
        <v>0</v>
      </c>
      <c r="Q279" s="228"/>
      <c r="R279" s="19">
        <f t="shared" si="35"/>
        <v>0</v>
      </c>
      <c r="S279" s="228">
        <f t="shared" si="36"/>
        <v>0</v>
      </c>
      <c r="T279" s="20">
        <v>4</v>
      </c>
      <c r="U279" s="20"/>
      <c r="V279" s="235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226">
        <v>300292</v>
      </c>
      <c r="B280" s="223" t="s">
        <v>87</v>
      </c>
      <c r="C280" s="256" t="s">
        <v>88</v>
      </c>
      <c r="D280" s="256" t="s">
        <v>89</v>
      </c>
      <c r="E280" s="230" t="s">
        <v>41</v>
      </c>
      <c r="F280" s="229"/>
      <c r="G280" s="228"/>
      <c r="H280" s="228"/>
      <c r="I280" s="228"/>
      <c r="J280" s="228"/>
      <c r="K280" s="228">
        <f t="shared" si="31"/>
        <v>0</v>
      </c>
      <c r="L280" s="228">
        <f t="shared" si="32"/>
        <v>0</v>
      </c>
      <c r="M280" s="228">
        <v>517.79999999999995</v>
      </c>
      <c r="N280" s="228">
        <f>+M280*1000/(66.8*1*110*60)*T280</f>
        <v>4.6978769733260748</v>
      </c>
      <c r="O280" s="228"/>
      <c r="P280" s="228">
        <f t="shared" si="34"/>
        <v>0</v>
      </c>
      <c r="Q280" s="228"/>
      <c r="R280" s="19">
        <f t="shared" si="35"/>
        <v>0</v>
      </c>
      <c r="S280" s="228">
        <f t="shared" si="36"/>
        <v>0</v>
      </c>
      <c r="T280" s="20">
        <v>4</v>
      </c>
      <c r="U280" s="20"/>
      <c r="V280" s="235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226">
        <v>300293</v>
      </c>
      <c r="B281" s="223" t="s">
        <v>87</v>
      </c>
      <c r="C281" s="256" t="s">
        <v>88</v>
      </c>
      <c r="D281" s="256" t="s">
        <v>89</v>
      </c>
      <c r="E281" s="230" t="s">
        <v>57</v>
      </c>
      <c r="F281" s="229"/>
      <c r="G281" s="228"/>
      <c r="H281" s="228"/>
      <c r="I281" s="228"/>
      <c r="J281" s="228"/>
      <c r="K281" s="228">
        <f t="shared" si="31"/>
        <v>0</v>
      </c>
      <c r="L281" s="228">
        <f t="shared" si="32"/>
        <v>0</v>
      </c>
      <c r="M281" s="228">
        <v>517.9</v>
      </c>
      <c r="N281" s="228">
        <f>+M281*1000/(67.1*1*110*60)*T281</f>
        <v>4.6777762724111467</v>
      </c>
      <c r="O281" s="228"/>
      <c r="P281" s="228">
        <f t="shared" si="34"/>
        <v>0</v>
      </c>
      <c r="Q281" s="228"/>
      <c r="R281" s="19">
        <f t="shared" si="35"/>
        <v>0</v>
      </c>
      <c r="S281" s="228">
        <f t="shared" si="36"/>
        <v>0</v>
      </c>
      <c r="T281" s="20">
        <v>4</v>
      </c>
      <c r="U281" s="20"/>
      <c r="V281" s="235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226">
        <v>300290</v>
      </c>
      <c r="B282" s="223" t="s">
        <v>87</v>
      </c>
      <c r="C282" s="256" t="s">
        <v>88</v>
      </c>
      <c r="D282" s="256" t="s">
        <v>89</v>
      </c>
      <c r="E282" s="230" t="s">
        <v>35</v>
      </c>
      <c r="F282" s="229"/>
      <c r="G282" s="228"/>
      <c r="H282" s="228"/>
      <c r="I282" s="228"/>
      <c r="J282" s="228"/>
      <c r="K282" s="228">
        <f t="shared" si="31"/>
        <v>0</v>
      </c>
      <c r="L282" s="228">
        <f t="shared" si="32"/>
        <v>0</v>
      </c>
      <c r="M282" s="228">
        <v>520</v>
      </c>
      <c r="N282" s="228">
        <f>+M282*1000/(67.5*1*110*60)*T282</f>
        <v>4.6689113355780023</v>
      </c>
      <c r="O282" s="228"/>
      <c r="P282" s="228">
        <f t="shared" si="34"/>
        <v>0</v>
      </c>
      <c r="Q282" s="228"/>
      <c r="R282" s="19">
        <f t="shared" si="35"/>
        <v>0</v>
      </c>
      <c r="S282" s="228">
        <f t="shared" si="36"/>
        <v>0</v>
      </c>
      <c r="T282" s="20">
        <v>4</v>
      </c>
      <c r="U282" s="20"/>
      <c r="V282" s="235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226">
        <v>300389</v>
      </c>
      <c r="B283" s="223" t="s">
        <v>87</v>
      </c>
      <c r="C283" s="256" t="s">
        <v>316</v>
      </c>
      <c r="D283" s="256" t="s">
        <v>89</v>
      </c>
      <c r="E283" s="230" t="s">
        <v>35</v>
      </c>
      <c r="F283" s="229"/>
      <c r="G283" s="228"/>
      <c r="H283" s="228"/>
      <c r="I283" s="228"/>
      <c r="J283" s="228"/>
      <c r="K283" s="228">
        <f t="shared" si="31"/>
        <v>0</v>
      </c>
      <c r="L283" s="228">
        <f t="shared" si="32"/>
        <v>0</v>
      </c>
      <c r="M283" s="228">
        <v>429.4</v>
      </c>
      <c r="N283" s="228">
        <f>+M283*1000/(47*1*110*60)*T283</f>
        <v>5.5370728562217923</v>
      </c>
      <c r="O283" s="228"/>
      <c r="P283" s="228">
        <f t="shared" si="34"/>
        <v>0</v>
      </c>
      <c r="Q283" s="228"/>
      <c r="R283" s="19">
        <f t="shared" si="35"/>
        <v>0</v>
      </c>
      <c r="S283" s="228">
        <f t="shared" si="36"/>
        <v>0</v>
      </c>
      <c r="T283" s="20">
        <v>4</v>
      </c>
      <c r="U283" s="20"/>
      <c r="V283" s="235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226">
        <v>300058</v>
      </c>
      <c r="B284" s="223" t="s">
        <v>87</v>
      </c>
      <c r="C284" s="256" t="s">
        <v>316</v>
      </c>
      <c r="D284" s="256" t="s">
        <v>89</v>
      </c>
      <c r="E284" s="230" t="s">
        <v>42</v>
      </c>
      <c r="F284" s="229"/>
      <c r="G284" s="228"/>
      <c r="H284" s="228"/>
      <c r="I284" s="228"/>
      <c r="J284" s="228"/>
      <c r="K284" s="228">
        <f t="shared" si="31"/>
        <v>0</v>
      </c>
      <c r="L284" s="228">
        <f t="shared" si="32"/>
        <v>0</v>
      </c>
      <c r="M284" s="228">
        <v>419.2</v>
      </c>
      <c r="N284" s="228">
        <f>+M284*1000/(51.5*1*110*60)*T284</f>
        <v>4.9332156516622536</v>
      </c>
      <c r="O284" s="228"/>
      <c r="P284" s="228">
        <f t="shared" si="34"/>
        <v>0</v>
      </c>
      <c r="Q284" s="228"/>
      <c r="R284" s="19">
        <f t="shared" si="35"/>
        <v>0</v>
      </c>
      <c r="S284" s="228">
        <f t="shared" si="36"/>
        <v>0</v>
      </c>
      <c r="T284" s="20">
        <v>4</v>
      </c>
      <c r="U284" s="20"/>
      <c r="V284" s="235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customHeight="1">
      <c r="A285" s="226">
        <v>300061</v>
      </c>
      <c r="B285" s="223">
        <v>5001</v>
      </c>
      <c r="C285" s="256" t="s">
        <v>317</v>
      </c>
      <c r="D285" s="256" t="s">
        <v>96</v>
      </c>
      <c r="E285" s="230" t="s">
        <v>41</v>
      </c>
      <c r="F285" s="229">
        <v>1600</v>
      </c>
      <c r="G285" s="228">
        <v>4.12</v>
      </c>
      <c r="H285" s="228"/>
      <c r="I285" s="228">
        <f>4-J285/400</f>
        <v>3.875</v>
      </c>
      <c r="J285" s="228">
        <v>50</v>
      </c>
      <c r="K285" s="228">
        <f t="shared" si="31"/>
        <v>1723.808</v>
      </c>
      <c r="L285" s="228">
        <f t="shared" si="32"/>
        <v>1621.3</v>
      </c>
      <c r="M285" s="228">
        <v>418.4</v>
      </c>
      <c r="N285" s="228">
        <f>+M285*1000/(51*1*110*60)*T285</f>
        <v>4.9720736779560308</v>
      </c>
      <c r="O285" s="228">
        <v>0.5</v>
      </c>
      <c r="P285" s="228">
        <f t="shared" si="34"/>
        <v>21.266785502079621</v>
      </c>
      <c r="Q285" s="228">
        <v>5</v>
      </c>
      <c r="R285" s="19">
        <f t="shared" si="35"/>
        <v>20</v>
      </c>
      <c r="S285" s="228">
        <f t="shared" si="36"/>
        <v>-1.266785502079621</v>
      </c>
      <c r="T285" s="20">
        <v>4</v>
      </c>
      <c r="U285" s="20">
        <v>4</v>
      </c>
      <c r="V285" s="235">
        <f t="array" ref="V285">IF(ISERROR(L285/K285),"",L285/K285)</f>
        <v>0.94053398058252424</v>
      </c>
      <c r="W285" s="20"/>
      <c r="X285" s="191">
        <f>35/60*4</f>
        <v>2.3333333333333335</v>
      </c>
      <c r="Y285" s="20"/>
      <c r="Z285" s="20"/>
      <c r="AA285" s="20"/>
      <c r="AB285" s="20"/>
      <c r="AC285" s="20"/>
    </row>
    <row r="286" spans="1:29" s="2" customFormat="1" ht="21.95" hidden="1" customHeight="1">
      <c r="A286" s="226">
        <v>300064</v>
      </c>
      <c r="B286" s="223">
        <v>5002</v>
      </c>
      <c r="C286" s="256" t="s">
        <v>317</v>
      </c>
      <c r="D286" s="256" t="s">
        <v>96</v>
      </c>
      <c r="E286" s="230" t="s">
        <v>35</v>
      </c>
      <c r="F286" s="229"/>
      <c r="G286" s="228"/>
      <c r="H286" s="228"/>
      <c r="I286" s="228"/>
      <c r="J286" s="228"/>
      <c r="K286" s="228">
        <f t="shared" ref="K286:K362" si="38">G286*M286</f>
        <v>0</v>
      </c>
      <c r="L286" s="228">
        <f t="shared" ref="L286:L362" si="39">I286*M286</f>
        <v>0</v>
      </c>
      <c r="M286" s="228">
        <v>419.2</v>
      </c>
      <c r="N286" s="228">
        <f>+M286*1000/(51.9*1*110*60)*T286</f>
        <v>4.8951947217843168</v>
      </c>
      <c r="O286" s="228"/>
      <c r="P286" s="228">
        <f t="shared" ref="P286:P362" si="40">N286*I286+O286*U286</f>
        <v>0</v>
      </c>
      <c r="Q286" s="228"/>
      <c r="R286" s="19">
        <f t="shared" ref="R286:R362" si="41">Q286*U286</f>
        <v>0</v>
      </c>
      <c r="S286" s="228">
        <f t="shared" ref="S286:S362" si="42">R286-P286</f>
        <v>0</v>
      </c>
      <c r="T286" s="20">
        <v>4</v>
      </c>
      <c r="U286" s="20"/>
      <c r="V286" s="23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26">
        <v>300060</v>
      </c>
      <c r="B287" s="223">
        <v>5001</v>
      </c>
      <c r="C287" s="256" t="s">
        <v>317</v>
      </c>
      <c r="D287" s="256" t="s">
        <v>96</v>
      </c>
      <c r="E287" s="230" t="s">
        <v>57</v>
      </c>
      <c r="F287" s="229">
        <v>1574</v>
      </c>
      <c r="G287" s="228">
        <v>4.88</v>
      </c>
      <c r="H287" s="228">
        <v>0.875</v>
      </c>
      <c r="I287" s="228">
        <f>4+H287</f>
        <v>4.875</v>
      </c>
      <c r="J287" s="228"/>
      <c r="K287" s="228">
        <f t="shared" si="38"/>
        <v>2034.4719999999998</v>
      </c>
      <c r="L287" s="228">
        <f t="shared" si="39"/>
        <v>2032.3874999999998</v>
      </c>
      <c r="M287" s="228">
        <v>416.9</v>
      </c>
      <c r="N287" s="228">
        <f>+M287*1000/(51*1*110*60)*T287</f>
        <v>4.9542483660130721</v>
      </c>
      <c r="O287" s="228"/>
      <c r="P287" s="228">
        <f t="shared" si="40"/>
        <v>24.151960784313726</v>
      </c>
      <c r="Q287" s="228">
        <v>6.5</v>
      </c>
      <c r="R287" s="19">
        <f t="shared" si="41"/>
        <v>26</v>
      </c>
      <c r="S287" s="228">
        <f t="shared" si="42"/>
        <v>1.8480392156862742</v>
      </c>
      <c r="T287" s="20">
        <v>4</v>
      </c>
      <c r="U287" s="20">
        <v>4</v>
      </c>
      <c r="V287" s="235">
        <f t="array" ref="V287">IF(ISERROR(L287/K287),"",L287/K287)</f>
        <v>0.99897540983606559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26">
        <v>300068</v>
      </c>
      <c r="B288" s="223" t="s">
        <v>87</v>
      </c>
      <c r="C288" s="256" t="s">
        <v>98</v>
      </c>
      <c r="D288" s="256" t="s">
        <v>99</v>
      </c>
      <c r="E288" s="230" t="s">
        <v>37</v>
      </c>
      <c r="F288" s="229"/>
      <c r="G288" s="228"/>
      <c r="H288" s="228"/>
      <c r="I288" s="228"/>
      <c r="J288" s="228"/>
      <c r="K288" s="228">
        <f t="shared" si="38"/>
        <v>0</v>
      </c>
      <c r="L288" s="228">
        <f t="shared" si="39"/>
        <v>0</v>
      </c>
      <c r="M288" s="228">
        <v>438.4</v>
      </c>
      <c r="N288" s="228">
        <f>+M288*1000/(50*1*120*60)*T288</f>
        <v>4.8711111111111114</v>
      </c>
      <c r="O288" s="228"/>
      <c r="P288" s="228">
        <f t="shared" si="40"/>
        <v>0</v>
      </c>
      <c r="Q288" s="228"/>
      <c r="R288" s="19">
        <f t="shared" si="41"/>
        <v>0</v>
      </c>
      <c r="S288" s="228">
        <f t="shared" si="42"/>
        <v>0</v>
      </c>
      <c r="T288" s="20">
        <v>4</v>
      </c>
      <c r="U288" s="20"/>
      <c r="V288" s="23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26">
        <v>300065</v>
      </c>
      <c r="B289" s="223" t="s">
        <v>87</v>
      </c>
      <c r="C289" s="256" t="s">
        <v>98</v>
      </c>
      <c r="D289" s="256" t="s">
        <v>99</v>
      </c>
      <c r="E289" s="230" t="s">
        <v>35</v>
      </c>
      <c r="F289" s="229"/>
      <c r="G289" s="228"/>
      <c r="H289" s="228"/>
      <c r="I289" s="228"/>
      <c r="J289" s="228"/>
      <c r="K289" s="228">
        <f t="shared" si="38"/>
        <v>0</v>
      </c>
      <c r="L289" s="228">
        <f t="shared" si="39"/>
        <v>0</v>
      </c>
      <c r="M289" s="228">
        <v>438.8</v>
      </c>
      <c r="N289" s="228">
        <f>+M289*1000/(50*1*120*60)*T289</f>
        <v>4.8755555555555556</v>
      </c>
      <c r="O289" s="228"/>
      <c r="P289" s="228">
        <f t="shared" si="40"/>
        <v>0</v>
      </c>
      <c r="Q289" s="228"/>
      <c r="R289" s="19">
        <f t="shared" si="41"/>
        <v>0</v>
      </c>
      <c r="S289" s="228">
        <f t="shared" si="42"/>
        <v>0</v>
      </c>
      <c r="T289" s="20">
        <v>4</v>
      </c>
      <c r="U289" s="226"/>
      <c r="V289" s="23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26">
        <v>300066</v>
      </c>
      <c r="B290" s="223" t="s">
        <v>87</v>
      </c>
      <c r="C290" s="256" t="s">
        <v>98</v>
      </c>
      <c r="D290" s="256" t="s">
        <v>99</v>
      </c>
      <c r="E290" s="230" t="s">
        <v>66</v>
      </c>
      <c r="F290" s="229"/>
      <c r="G290" s="228"/>
      <c r="H290" s="228"/>
      <c r="I290" s="228"/>
      <c r="J290" s="228"/>
      <c r="K290" s="228">
        <f t="shared" si="38"/>
        <v>0</v>
      </c>
      <c r="L290" s="228">
        <f t="shared" si="39"/>
        <v>0</v>
      </c>
      <c r="M290" s="228">
        <v>438.4</v>
      </c>
      <c r="N290" s="228">
        <f>+M290*1000/(50*1*120*60)*T290</f>
        <v>4.8711111111111114</v>
      </c>
      <c r="O290" s="228"/>
      <c r="P290" s="228">
        <f t="shared" si="40"/>
        <v>0</v>
      </c>
      <c r="Q290" s="228"/>
      <c r="R290" s="19">
        <f t="shared" si="41"/>
        <v>0</v>
      </c>
      <c r="S290" s="228">
        <f t="shared" si="42"/>
        <v>0</v>
      </c>
      <c r="T290" s="20">
        <v>4</v>
      </c>
      <c r="U290" s="226"/>
      <c r="V290" s="235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26">
        <v>300067</v>
      </c>
      <c r="B291" s="223" t="s">
        <v>87</v>
      </c>
      <c r="C291" s="256" t="s">
        <v>98</v>
      </c>
      <c r="D291" s="256" t="s">
        <v>99</v>
      </c>
      <c r="E291" s="230" t="s">
        <v>41</v>
      </c>
      <c r="F291" s="229"/>
      <c r="G291" s="228"/>
      <c r="H291" s="228"/>
      <c r="I291" s="228"/>
      <c r="J291" s="228"/>
      <c r="K291" s="228">
        <f t="shared" si="38"/>
        <v>0</v>
      </c>
      <c r="L291" s="228">
        <f t="shared" si="39"/>
        <v>0</v>
      </c>
      <c r="M291" s="228">
        <v>438.8</v>
      </c>
      <c r="N291" s="228">
        <f>+M291*1000/(50*1*120*60)*T291</f>
        <v>4.8755555555555556</v>
      </c>
      <c r="O291" s="228"/>
      <c r="P291" s="228">
        <f t="shared" si="40"/>
        <v>0</v>
      </c>
      <c r="Q291" s="228"/>
      <c r="R291" s="19">
        <f t="shared" si="41"/>
        <v>0</v>
      </c>
      <c r="S291" s="228">
        <f t="shared" si="42"/>
        <v>0</v>
      </c>
      <c r="T291" s="20">
        <v>4</v>
      </c>
      <c r="U291" s="20"/>
      <c r="V291" s="23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26">
        <v>300437</v>
      </c>
      <c r="B292" s="223" t="s">
        <v>87</v>
      </c>
      <c r="C292" s="256" t="s">
        <v>98</v>
      </c>
      <c r="D292" s="256" t="s">
        <v>99</v>
      </c>
      <c r="E292" s="230" t="s">
        <v>310</v>
      </c>
      <c r="F292" s="27"/>
      <c r="G292" s="228"/>
      <c r="H292" s="228"/>
      <c r="I292" s="228"/>
      <c r="J292" s="228"/>
      <c r="K292" s="228">
        <f t="shared" si="38"/>
        <v>0</v>
      </c>
      <c r="L292" s="228">
        <f t="shared" si="39"/>
        <v>0</v>
      </c>
      <c r="M292" s="228">
        <v>438.8</v>
      </c>
      <c r="N292" s="228">
        <f>+M292*1000/(50*1*120*60)*T292</f>
        <v>4.8755555555555556</v>
      </c>
      <c r="O292" s="228"/>
      <c r="P292" s="228">
        <f t="shared" si="40"/>
        <v>0</v>
      </c>
      <c r="Q292" s="228"/>
      <c r="R292" s="19">
        <f t="shared" si="41"/>
        <v>0</v>
      </c>
      <c r="S292" s="228">
        <f t="shared" si="42"/>
        <v>0</v>
      </c>
      <c r="T292" s="20">
        <v>4</v>
      </c>
      <c r="U292" s="20"/>
      <c r="V292" s="235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26">
        <v>300384</v>
      </c>
      <c r="B293" s="223" t="s">
        <v>87</v>
      </c>
      <c r="C293" s="256" t="s">
        <v>100</v>
      </c>
      <c r="D293" s="256" t="s">
        <v>101</v>
      </c>
      <c r="E293" s="230" t="s">
        <v>35</v>
      </c>
      <c r="F293" s="229"/>
      <c r="G293" s="228"/>
      <c r="H293" s="228"/>
      <c r="I293" s="228"/>
      <c r="J293" s="228"/>
      <c r="K293" s="228">
        <f t="shared" si="38"/>
        <v>0</v>
      </c>
      <c r="L293" s="228">
        <f t="shared" si="39"/>
        <v>0</v>
      </c>
      <c r="M293" s="228">
        <v>415.5</v>
      </c>
      <c r="N293" s="228">
        <f>+M293*1000/(51*1*110*60)*T293</f>
        <v>8.6408199643493759</v>
      </c>
      <c r="O293" s="228"/>
      <c r="P293" s="228">
        <f t="shared" si="40"/>
        <v>0</v>
      </c>
      <c r="Q293" s="228"/>
      <c r="R293" s="19">
        <f t="shared" si="41"/>
        <v>0</v>
      </c>
      <c r="S293" s="228">
        <f t="shared" si="42"/>
        <v>0</v>
      </c>
      <c r="T293" s="20">
        <v>7</v>
      </c>
      <c r="U293" s="20"/>
      <c r="V293" s="23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26">
        <v>300383</v>
      </c>
      <c r="B294" s="223" t="s">
        <v>87</v>
      </c>
      <c r="C294" s="256" t="s">
        <v>100</v>
      </c>
      <c r="D294" s="256" t="s">
        <v>102</v>
      </c>
      <c r="E294" s="230" t="s">
        <v>41</v>
      </c>
      <c r="F294" s="229"/>
      <c r="G294" s="228"/>
      <c r="H294" s="228"/>
      <c r="I294" s="228"/>
      <c r="J294" s="228"/>
      <c r="K294" s="228">
        <f t="shared" si="38"/>
        <v>0</v>
      </c>
      <c r="L294" s="228">
        <f t="shared" si="39"/>
        <v>0</v>
      </c>
      <c r="M294" s="228">
        <v>415.5</v>
      </c>
      <c r="N294" s="228">
        <f>+M294*1000/(51*1*110*60)*T294</f>
        <v>8.6408199643493759</v>
      </c>
      <c r="O294" s="228"/>
      <c r="P294" s="228">
        <f t="shared" si="40"/>
        <v>0</v>
      </c>
      <c r="Q294" s="228"/>
      <c r="R294" s="19">
        <f t="shared" si="41"/>
        <v>0</v>
      </c>
      <c r="S294" s="228">
        <f t="shared" si="42"/>
        <v>0</v>
      </c>
      <c r="T294" s="20">
        <v>7</v>
      </c>
      <c r="U294" s="20"/>
      <c r="V294" s="235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26">
        <v>300386</v>
      </c>
      <c r="B295" s="223" t="s">
        <v>87</v>
      </c>
      <c r="C295" s="256" t="s">
        <v>100</v>
      </c>
      <c r="D295" s="256" t="s">
        <v>103</v>
      </c>
      <c r="E295" s="230" t="s">
        <v>66</v>
      </c>
      <c r="F295" s="229"/>
      <c r="G295" s="228"/>
      <c r="H295" s="228"/>
      <c r="I295" s="228"/>
      <c r="J295" s="228"/>
      <c r="K295" s="228">
        <f t="shared" si="38"/>
        <v>0</v>
      </c>
      <c r="L295" s="228">
        <f t="shared" si="39"/>
        <v>0</v>
      </c>
      <c r="M295" s="228">
        <v>415.5</v>
      </c>
      <c r="N295" s="228">
        <f>+M295*1000/(51*1*110*60)*T295</f>
        <v>8.6408199643493759</v>
      </c>
      <c r="O295" s="228"/>
      <c r="P295" s="228">
        <f t="shared" si="40"/>
        <v>0</v>
      </c>
      <c r="Q295" s="228"/>
      <c r="R295" s="19">
        <f t="shared" si="41"/>
        <v>0</v>
      </c>
      <c r="S295" s="228">
        <f t="shared" si="42"/>
        <v>0</v>
      </c>
      <c r="T295" s="20">
        <v>7</v>
      </c>
      <c r="U295" s="20"/>
      <c r="V295" s="235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26">
        <v>300385</v>
      </c>
      <c r="B296" s="223" t="s">
        <v>87</v>
      </c>
      <c r="C296" s="256" t="s">
        <v>100</v>
      </c>
      <c r="D296" s="256" t="s">
        <v>104</v>
      </c>
      <c r="E296" s="230" t="s">
        <v>105</v>
      </c>
      <c r="F296" s="229"/>
      <c r="G296" s="228"/>
      <c r="H296" s="228"/>
      <c r="I296" s="228"/>
      <c r="J296" s="228"/>
      <c r="K296" s="228">
        <f t="shared" si="38"/>
        <v>0</v>
      </c>
      <c r="L296" s="228">
        <f t="shared" si="39"/>
        <v>0</v>
      </c>
      <c r="M296" s="228">
        <v>415.5</v>
      </c>
      <c r="N296" s="228">
        <f>+M296*1000/(51*1*110*60)*T296</f>
        <v>8.6408199643493759</v>
      </c>
      <c r="O296" s="228"/>
      <c r="P296" s="228">
        <f t="shared" si="40"/>
        <v>0</v>
      </c>
      <c r="Q296" s="228"/>
      <c r="R296" s="19">
        <f t="shared" si="41"/>
        <v>0</v>
      </c>
      <c r="S296" s="228">
        <f t="shared" si="42"/>
        <v>0</v>
      </c>
      <c r="T296" s="20">
        <v>7</v>
      </c>
      <c r="U296" s="20"/>
      <c r="V296" s="235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26">
        <v>300352</v>
      </c>
      <c r="B297" s="223" t="s">
        <v>87</v>
      </c>
      <c r="C297" s="256" t="s">
        <v>106</v>
      </c>
      <c r="D297" s="256" t="s">
        <v>101</v>
      </c>
      <c r="E297" s="230" t="s">
        <v>35</v>
      </c>
      <c r="F297" s="229"/>
      <c r="G297" s="228"/>
      <c r="H297" s="228"/>
      <c r="I297" s="228"/>
      <c r="J297" s="228"/>
      <c r="K297" s="228">
        <f t="shared" si="38"/>
        <v>0</v>
      </c>
      <c r="L297" s="228">
        <f t="shared" si="39"/>
        <v>0</v>
      </c>
      <c r="M297" s="228">
        <v>515.9</v>
      </c>
      <c r="N297" s="228">
        <f>+M297*1000/(80*1*110*60)*T297</f>
        <v>6.8395833333333336</v>
      </c>
      <c r="O297" s="228"/>
      <c r="P297" s="228">
        <f t="shared" si="40"/>
        <v>0</v>
      </c>
      <c r="Q297" s="228"/>
      <c r="R297" s="19">
        <f t="shared" si="41"/>
        <v>0</v>
      </c>
      <c r="S297" s="228">
        <f t="shared" si="42"/>
        <v>0</v>
      </c>
      <c r="T297" s="20">
        <v>7</v>
      </c>
      <c r="U297" s="20"/>
      <c r="V297" s="23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26">
        <v>300353</v>
      </c>
      <c r="B298" s="223" t="s">
        <v>87</v>
      </c>
      <c r="C298" s="256" t="s">
        <v>106</v>
      </c>
      <c r="D298" s="256" t="s">
        <v>101</v>
      </c>
      <c r="E298" s="230" t="s">
        <v>105</v>
      </c>
      <c r="F298" s="229"/>
      <c r="G298" s="228"/>
      <c r="H298" s="228"/>
      <c r="I298" s="228"/>
      <c r="J298" s="228"/>
      <c r="K298" s="228">
        <f t="shared" si="38"/>
        <v>0</v>
      </c>
      <c r="L298" s="228">
        <f t="shared" si="39"/>
        <v>0</v>
      </c>
      <c r="M298" s="228">
        <v>515.9</v>
      </c>
      <c r="N298" s="228">
        <f>+M298*1000/(80*1*110*60)*T298</f>
        <v>6.8395833333333336</v>
      </c>
      <c r="O298" s="228"/>
      <c r="P298" s="228">
        <f t="shared" si="40"/>
        <v>0</v>
      </c>
      <c r="Q298" s="228"/>
      <c r="R298" s="19">
        <f t="shared" si="41"/>
        <v>0</v>
      </c>
      <c r="S298" s="228">
        <f t="shared" si="42"/>
        <v>0</v>
      </c>
      <c r="T298" s="20">
        <v>7</v>
      </c>
      <c r="U298" s="20"/>
      <c r="V298" s="23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26">
        <v>300351</v>
      </c>
      <c r="B299" s="223" t="s">
        <v>87</v>
      </c>
      <c r="C299" s="256" t="s">
        <v>106</v>
      </c>
      <c r="D299" s="256" t="s">
        <v>101</v>
      </c>
      <c r="E299" s="230" t="s">
        <v>41</v>
      </c>
      <c r="F299" s="229"/>
      <c r="G299" s="228"/>
      <c r="H299" s="228"/>
      <c r="I299" s="228"/>
      <c r="J299" s="228"/>
      <c r="K299" s="228">
        <f t="shared" si="38"/>
        <v>0</v>
      </c>
      <c r="L299" s="228">
        <f t="shared" si="39"/>
        <v>0</v>
      </c>
      <c r="M299" s="228">
        <v>515.9</v>
      </c>
      <c r="N299" s="228">
        <f>+M299*1000/(80*1*110*60)*T299</f>
        <v>6.8395833333333336</v>
      </c>
      <c r="O299" s="228"/>
      <c r="P299" s="228">
        <f t="shared" si="40"/>
        <v>0</v>
      </c>
      <c r="Q299" s="228"/>
      <c r="R299" s="19">
        <f t="shared" si="41"/>
        <v>0</v>
      </c>
      <c r="S299" s="228">
        <f t="shared" si="42"/>
        <v>0</v>
      </c>
      <c r="T299" s="20">
        <v>7</v>
      </c>
      <c r="U299" s="20"/>
      <c r="V299" s="23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26">
        <v>300354</v>
      </c>
      <c r="B300" s="223" t="s">
        <v>87</v>
      </c>
      <c r="C300" s="256" t="s">
        <v>106</v>
      </c>
      <c r="D300" s="256" t="s">
        <v>101</v>
      </c>
      <c r="E300" s="230" t="s">
        <v>66</v>
      </c>
      <c r="F300" s="229"/>
      <c r="G300" s="228"/>
      <c r="H300" s="228"/>
      <c r="I300" s="228"/>
      <c r="J300" s="228"/>
      <c r="K300" s="228">
        <f t="shared" si="38"/>
        <v>0</v>
      </c>
      <c r="L300" s="228">
        <f t="shared" si="39"/>
        <v>0</v>
      </c>
      <c r="M300" s="228">
        <v>515.9</v>
      </c>
      <c r="N300" s="228">
        <f>+M300*1000/(80*1*110*60)*T300</f>
        <v>6.8395833333333336</v>
      </c>
      <c r="O300" s="228"/>
      <c r="P300" s="228">
        <f t="shared" si="40"/>
        <v>0</v>
      </c>
      <c r="Q300" s="228"/>
      <c r="R300" s="19">
        <f t="shared" si="41"/>
        <v>0</v>
      </c>
      <c r="S300" s="228">
        <f t="shared" si="42"/>
        <v>0</v>
      </c>
      <c r="T300" s="20">
        <v>7</v>
      </c>
      <c r="U300" s="20"/>
      <c r="V300" s="23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26">
        <v>300250</v>
      </c>
      <c r="B301" s="223" t="s">
        <v>87</v>
      </c>
      <c r="C301" s="256" t="s">
        <v>107</v>
      </c>
      <c r="D301" s="256" t="s">
        <v>101</v>
      </c>
      <c r="E301" s="230" t="s">
        <v>35</v>
      </c>
      <c r="F301" s="229"/>
      <c r="G301" s="228"/>
      <c r="H301" s="228"/>
      <c r="I301" s="228"/>
      <c r="J301" s="228"/>
      <c r="K301" s="228">
        <f t="shared" si="38"/>
        <v>0</v>
      </c>
      <c r="L301" s="228">
        <f t="shared" si="39"/>
        <v>0</v>
      </c>
      <c r="M301" s="228">
        <v>412.5</v>
      </c>
      <c r="N301" s="228">
        <f>+M301*1000/(84*1*110*60)*T301</f>
        <v>5.2083333333333339</v>
      </c>
      <c r="O301" s="228"/>
      <c r="P301" s="228">
        <f t="shared" si="40"/>
        <v>0</v>
      </c>
      <c r="Q301" s="228"/>
      <c r="R301" s="19">
        <f t="shared" si="41"/>
        <v>0</v>
      </c>
      <c r="S301" s="228">
        <f t="shared" si="42"/>
        <v>0</v>
      </c>
      <c r="T301" s="20">
        <v>7</v>
      </c>
      <c r="U301" s="20"/>
      <c r="V301" s="23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26">
        <v>300251</v>
      </c>
      <c r="B302" s="223" t="s">
        <v>87</v>
      </c>
      <c r="C302" s="256" t="s">
        <v>107</v>
      </c>
      <c r="D302" s="256" t="s">
        <v>101</v>
      </c>
      <c r="E302" s="230" t="s">
        <v>105</v>
      </c>
      <c r="F302" s="229"/>
      <c r="G302" s="228"/>
      <c r="H302" s="228"/>
      <c r="I302" s="228"/>
      <c r="J302" s="228"/>
      <c r="K302" s="228">
        <f t="shared" si="38"/>
        <v>0</v>
      </c>
      <c r="L302" s="228">
        <f t="shared" si="39"/>
        <v>0</v>
      </c>
      <c r="M302" s="228">
        <v>412.5</v>
      </c>
      <c r="N302" s="228">
        <f>+M302*1000/(84*1*110*60)*T302</f>
        <v>5.2083333333333339</v>
      </c>
      <c r="O302" s="228"/>
      <c r="P302" s="228">
        <f t="shared" si="40"/>
        <v>0</v>
      </c>
      <c r="Q302" s="228"/>
      <c r="R302" s="19">
        <f t="shared" si="41"/>
        <v>0</v>
      </c>
      <c r="S302" s="228">
        <f t="shared" si="42"/>
        <v>0</v>
      </c>
      <c r="T302" s="20">
        <v>7</v>
      </c>
      <c r="U302" s="20"/>
      <c r="V302" s="23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26">
        <v>300254</v>
      </c>
      <c r="B303" s="223" t="s">
        <v>87</v>
      </c>
      <c r="C303" s="256" t="s">
        <v>107</v>
      </c>
      <c r="D303" s="256" t="s">
        <v>101</v>
      </c>
      <c r="E303" s="230" t="s">
        <v>41</v>
      </c>
      <c r="F303" s="229"/>
      <c r="G303" s="228"/>
      <c r="H303" s="228"/>
      <c r="I303" s="228"/>
      <c r="J303" s="228"/>
      <c r="K303" s="228">
        <f t="shared" si="38"/>
        <v>0</v>
      </c>
      <c r="L303" s="228">
        <f t="shared" si="39"/>
        <v>0</v>
      </c>
      <c r="M303" s="228">
        <v>412.5</v>
      </c>
      <c r="N303" s="228">
        <f>+M303*1000/(84*1*110*60)*T303</f>
        <v>5.2083333333333339</v>
      </c>
      <c r="O303" s="228"/>
      <c r="P303" s="228">
        <f t="shared" si="40"/>
        <v>0</v>
      </c>
      <c r="Q303" s="228"/>
      <c r="R303" s="19">
        <f t="shared" si="41"/>
        <v>0</v>
      </c>
      <c r="S303" s="228">
        <f t="shared" si="42"/>
        <v>0</v>
      </c>
      <c r="T303" s="20">
        <v>7</v>
      </c>
      <c r="U303" s="20"/>
      <c r="V303" s="23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26">
        <v>300253</v>
      </c>
      <c r="B304" s="223" t="s">
        <v>87</v>
      </c>
      <c r="C304" s="256" t="s">
        <v>107</v>
      </c>
      <c r="D304" s="256" t="s">
        <v>101</v>
      </c>
      <c r="E304" s="230" t="s">
        <v>66</v>
      </c>
      <c r="F304" s="229"/>
      <c r="G304" s="228"/>
      <c r="H304" s="228"/>
      <c r="I304" s="228"/>
      <c r="J304" s="228"/>
      <c r="K304" s="228">
        <f t="shared" si="38"/>
        <v>0</v>
      </c>
      <c r="L304" s="228">
        <f t="shared" si="39"/>
        <v>0</v>
      </c>
      <c r="M304" s="228">
        <v>412.5</v>
      </c>
      <c r="N304" s="228">
        <f>+M304*1000/(84*1*110*60)*T304</f>
        <v>5.2083333333333339</v>
      </c>
      <c r="O304" s="228"/>
      <c r="P304" s="228">
        <f t="shared" si="40"/>
        <v>0</v>
      </c>
      <c r="Q304" s="228"/>
      <c r="R304" s="19">
        <f t="shared" si="41"/>
        <v>0</v>
      </c>
      <c r="S304" s="228">
        <f t="shared" si="42"/>
        <v>0</v>
      </c>
      <c r="T304" s="20">
        <v>7</v>
      </c>
      <c r="U304" s="20"/>
      <c r="V304" s="23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26">
        <v>300255</v>
      </c>
      <c r="B305" s="223" t="s">
        <v>87</v>
      </c>
      <c r="C305" s="256" t="s">
        <v>107</v>
      </c>
      <c r="D305" s="256" t="s">
        <v>101</v>
      </c>
      <c r="E305" s="230" t="s">
        <v>108</v>
      </c>
      <c r="F305" s="229"/>
      <c r="G305" s="228"/>
      <c r="H305" s="228"/>
      <c r="I305" s="228"/>
      <c r="J305" s="228"/>
      <c r="K305" s="228">
        <f t="shared" si="38"/>
        <v>0</v>
      </c>
      <c r="L305" s="228">
        <f t="shared" si="39"/>
        <v>0</v>
      </c>
      <c r="M305" s="228">
        <v>412.5</v>
      </c>
      <c r="N305" s="228">
        <f>+M305*1000/(84*1*110*60)*T305</f>
        <v>5.2083333333333339</v>
      </c>
      <c r="O305" s="228"/>
      <c r="P305" s="228">
        <f t="shared" si="40"/>
        <v>0</v>
      </c>
      <c r="Q305" s="228"/>
      <c r="R305" s="19">
        <f t="shared" si="41"/>
        <v>0</v>
      </c>
      <c r="S305" s="228">
        <f t="shared" si="42"/>
        <v>0</v>
      </c>
      <c r="T305" s="20">
        <v>7</v>
      </c>
      <c r="U305" s="20"/>
      <c r="V305" s="23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26">
        <v>300392</v>
      </c>
      <c r="B306" s="223" t="s">
        <v>87</v>
      </c>
      <c r="C306" s="267" t="s">
        <v>109</v>
      </c>
      <c r="D306" s="268"/>
      <c r="E306" s="230" t="s">
        <v>105</v>
      </c>
      <c r="F306" s="226"/>
      <c r="G306" s="228"/>
      <c r="H306" s="228"/>
      <c r="I306" s="228"/>
      <c r="J306" s="228"/>
      <c r="K306" s="228">
        <f t="shared" si="38"/>
        <v>0</v>
      </c>
      <c r="L306" s="228">
        <f t="shared" si="39"/>
        <v>0</v>
      </c>
      <c r="M306" s="228">
        <v>523</v>
      </c>
      <c r="N306" s="228">
        <f>+M306*1000/(98*1*80*60)*T306</f>
        <v>7.7827380952380958</v>
      </c>
      <c r="O306" s="228"/>
      <c r="P306" s="228">
        <f t="shared" si="40"/>
        <v>0</v>
      </c>
      <c r="Q306" s="228"/>
      <c r="R306" s="19">
        <f t="shared" si="41"/>
        <v>0</v>
      </c>
      <c r="S306" s="228">
        <f t="shared" si="42"/>
        <v>0</v>
      </c>
      <c r="T306" s="20">
        <v>7</v>
      </c>
      <c r="U306" s="20"/>
      <c r="V306" s="23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26">
        <v>300088</v>
      </c>
      <c r="B307" s="223" t="s">
        <v>87</v>
      </c>
      <c r="C307" s="256" t="s">
        <v>318</v>
      </c>
      <c r="D307" s="256" t="s">
        <v>96</v>
      </c>
      <c r="E307" s="230" t="s">
        <v>39</v>
      </c>
      <c r="F307" s="229"/>
      <c r="G307" s="228"/>
      <c r="H307" s="228"/>
      <c r="I307" s="228"/>
      <c r="J307" s="228"/>
      <c r="K307" s="228">
        <f t="shared" si="38"/>
        <v>0</v>
      </c>
      <c r="L307" s="228">
        <f t="shared" si="39"/>
        <v>0</v>
      </c>
      <c r="M307" s="228">
        <v>617.79999999999995</v>
      </c>
      <c r="N307" s="228">
        <f>+M307*1000/(123*1*80*60)*T307</f>
        <v>3.1392276422764223</v>
      </c>
      <c r="O307" s="228"/>
      <c r="P307" s="228">
        <f t="shared" si="40"/>
        <v>0</v>
      </c>
      <c r="Q307" s="228"/>
      <c r="R307" s="19">
        <f t="shared" si="41"/>
        <v>0</v>
      </c>
      <c r="S307" s="228">
        <f t="shared" si="42"/>
        <v>0</v>
      </c>
      <c r="T307" s="20">
        <v>3</v>
      </c>
      <c r="U307" s="20"/>
      <c r="V307" s="23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26">
        <v>300089</v>
      </c>
      <c r="B308" s="223" t="s">
        <v>87</v>
      </c>
      <c r="C308" s="256" t="s">
        <v>318</v>
      </c>
      <c r="D308" s="256" t="s">
        <v>96</v>
      </c>
      <c r="E308" s="230" t="s">
        <v>42</v>
      </c>
      <c r="F308" s="229"/>
      <c r="G308" s="228"/>
      <c r="H308" s="228"/>
      <c r="I308" s="228"/>
      <c r="J308" s="228"/>
      <c r="K308" s="228">
        <f t="shared" si="38"/>
        <v>0</v>
      </c>
      <c r="L308" s="228">
        <f t="shared" si="39"/>
        <v>0</v>
      </c>
      <c r="M308" s="228">
        <v>618.6</v>
      </c>
      <c r="N308" s="228">
        <f>+M308*1000/(124*1*80*60)*T308</f>
        <v>3.117943548387097</v>
      </c>
      <c r="O308" s="228"/>
      <c r="P308" s="228">
        <f t="shared" si="40"/>
        <v>0</v>
      </c>
      <c r="Q308" s="228"/>
      <c r="R308" s="19">
        <f t="shared" si="41"/>
        <v>0</v>
      </c>
      <c r="S308" s="228">
        <f t="shared" si="42"/>
        <v>0</v>
      </c>
      <c r="T308" s="20">
        <v>3</v>
      </c>
      <c r="U308" s="20"/>
      <c r="V308" s="23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26">
        <v>300128</v>
      </c>
      <c r="B309" s="223" t="s">
        <v>87</v>
      </c>
      <c r="C309" s="256" t="s">
        <v>112</v>
      </c>
      <c r="D309" s="256" t="s">
        <v>113</v>
      </c>
      <c r="E309" s="230" t="s">
        <v>35</v>
      </c>
      <c r="F309" s="229"/>
      <c r="G309" s="228"/>
      <c r="H309" s="228"/>
      <c r="I309" s="228"/>
      <c r="J309" s="228"/>
      <c r="K309" s="228">
        <f t="shared" si="38"/>
        <v>0</v>
      </c>
      <c r="L309" s="228">
        <f t="shared" si="39"/>
        <v>0</v>
      </c>
      <c r="M309" s="228">
        <v>621.29999999999995</v>
      </c>
      <c r="N309" s="228">
        <f t="shared" ref="N309:N314" si="43">+M309*1000/(130.5*1*80*60)*T309</f>
        <v>3.9674329501915708</v>
      </c>
      <c r="O309" s="228"/>
      <c r="P309" s="228">
        <f t="shared" si="40"/>
        <v>0</v>
      </c>
      <c r="Q309" s="228"/>
      <c r="R309" s="19">
        <f t="shared" si="41"/>
        <v>0</v>
      </c>
      <c r="S309" s="228">
        <f t="shared" si="42"/>
        <v>0</v>
      </c>
      <c r="T309" s="20">
        <v>4</v>
      </c>
      <c r="U309" s="20"/>
      <c r="V309" s="23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26">
        <v>300129</v>
      </c>
      <c r="B310" s="223" t="s">
        <v>87</v>
      </c>
      <c r="C310" s="256" t="s">
        <v>112</v>
      </c>
      <c r="D310" s="256" t="s">
        <v>113</v>
      </c>
      <c r="E310" s="230" t="s">
        <v>41</v>
      </c>
      <c r="F310" s="229"/>
      <c r="G310" s="228"/>
      <c r="H310" s="228"/>
      <c r="I310" s="228"/>
      <c r="J310" s="228"/>
      <c r="K310" s="228">
        <f t="shared" si="38"/>
        <v>0</v>
      </c>
      <c r="L310" s="228">
        <f t="shared" si="39"/>
        <v>0</v>
      </c>
      <c r="M310" s="228">
        <v>621.29999999999995</v>
      </c>
      <c r="N310" s="228">
        <f t="shared" si="43"/>
        <v>3.9674329501915708</v>
      </c>
      <c r="O310" s="228"/>
      <c r="P310" s="228">
        <f t="shared" si="40"/>
        <v>0</v>
      </c>
      <c r="Q310" s="228"/>
      <c r="R310" s="19">
        <f t="shared" si="41"/>
        <v>0</v>
      </c>
      <c r="S310" s="228">
        <f t="shared" si="42"/>
        <v>0</v>
      </c>
      <c r="T310" s="20">
        <v>4</v>
      </c>
      <c r="U310" s="20"/>
      <c r="V310" s="23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26">
        <v>300130</v>
      </c>
      <c r="B311" s="223" t="s">
        <v>87</v>
      </c>
      <c r="C311" s="256" t="s">
        <v>112</v>
      </c>
      <c r="D311" s="256" t="s">
        <v>113</v>
      </c>
      <c r="E311" s="230" t="s">
        <v>37</v>
      </c>
      <c r="F311" s="229"/>
      <c r="G311" s="228"/>
      <c r="H311" s="228"/>
      <c r="I311" s="228"/>
      <c r="J311" s="228"/>
      <c r="K311" s="228">
        <f t="shared" si="38"/>
        <v>0</v>
      </c>
      <c r="L311" s="228">
        <f t="shared" si="39"/>
        <v>0</v>
      </c>
      <c r="M311" s="228">
        <v>621.29999999999995</v>
      </c>
      <c r="N311" s="228">
        <f t="shared" si="43"/>
        <v>3.9674329501915708</v>
      </c>
      <c r="O311" s="228"/>
      <c r="P311" s="228">
        <f t="shared" si="40"/>
        <v>0</v>
      </c>
      <c r="Q311" s="228"/>
      <c r="R311" s="19">
        <f t="shared" si="41"/>
        <v>0</v>
      </c>
      <c r="S311" s="228">
        <f t="shared" si="42"/>
        <v>0</v>
      </c>
      <c r="T311" s="20">
        <v>4</v>
      </c>
      <c r="U311" s="20"/>
      <c r="V311" s="23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26">
        <v>300423</v>
      </c>
      <c r="B312" s="223" t="s">
        <v>300</v>
      </c>
      <c r="C312" s="267" t="s">
        <v>296</v>
      </c>
      <c r="D312" s="268"/>
      <c r="E312" s="230" t="s">
        <v>297</v>
      </c>
      <c r="F312" s="27"/>
      <c r="G312" s="228"/>
      <c r="H312" s="228"/>
      <c r="I312" s="228"/>
      <c r="J312" s="228"/>
      <c r="K312" s="228">
        <f t="shared" si="38"/>
        <v>0</v>
      </c>
      <c r="L312" s="228">
        <f t="shared" si="39"/>
        <v>0</v>
      </c>
      <c r="M312" s="228">
        <v>524.1</v>
      </c>
      <c r="N312" s="228">
        <f t="shared" si="43"/>
        <v>3.3467432950191571</v>
      </c>
      <c r="O312" s="228"/>
      <c r="P312" s="228">
        <f t="shared" si="40"/>
        <v>0</v>
      </c>
      <c r="Q312" s="228"/>
      <c r="R312" s="19">
        <f t="shared" si="41"/>
        <v>0</v>
      </c>
      <c r="S312" s="228">
        <f t="shared" si="42"/>
        <v>0</v>
      </c>
      <c r="T312" s="20">
        <v>4</v>
      </c>
      <c r="U312" s="20"/>
      <c r="V312" s="235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26">
        <v>300424</v>
      </c>
      <c r="B313" s="223" t="s">
        <v>300</v>
      </c>
      <c r="C313" s="267" t="s">
        <v>296</v>
      </c>
      <c r="D313" s="268"/>
      <c r="E313" s="230" t="s">
        <v>298</v>
      </c>
      <c r="F313" s="27"/>
      <c r="G313" s="228"/>
      <c r="H313" s="228"/>
      <c r="I313" s="228"/>
      <c r="J313" s="228"/>
      <c r="K313" s="228">
        <f t="shared" si="38"/>
        <v>0</v>
      </c>
      <c r="L313" s="228">
        <f t="shared" si="39"/>
        <v>0</v>
      </c>
      <c r="M313" s="228">
        <v>524.1</v>
      </c>
      <c r="N313" s="228">
        <f t="shared" si="43"/>
        <v>3.3467432950191571</v>
      </c>
      <c r="O313" s="228"/>
      <c r="P313" s="228">
        <f t="shared" si="40"/>
        <v>0</v>
      </c>
      <c r="Q313" s="228"/>
      <c r="R313" s="19">
        <f t="shared" si="41"/>
        <v>0</v>
      </c>
      <c r="S313" s="228">
        <f t="shared" si="42"/>
        <v>0</v>
      </c>
      <c r="T313" s="20">
        <v>4</v>
      </c>
      <c r="U313" s="20"/>
      <c r="V313" s="235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26">
        <v>300425</v>
      </c>
      <c r="B314" s="223" t="s">
        <v>300</v>
      </c>
      <c r="C314" s="267" t="s">
        <v>296</v>
      </c>
      <c r="D314" s="268"/>
      <c r="E314" s="230" t="s">
        <v>299</v>
      </c>
      <c r="F314" s="27"/>
      <c r="G314" s="228"/>
      <c r="H314" s="228"/>
      <c r="I314" s="228"/>
      <c r="J314" s="228"/>
      <c r="K314" s="228">
        <f t="shared" si="38"/>
        <v>0</v>
      </c>
      <c r="L314" s="228">
        <f t="shared" si="39"/>
        <v>0</v>
      </c>
      <c r="M314" s="228">
        <v>524.1</v>
      </c>
      <c r="N314" s="228">
        <f t="shared" si="43"/>
        <v>3.3467432950191571</v>
      </c>
      <c r="O314" s="228"/>
      <c r="P314" s="228">
        <f t="shared" si="40"/>
        <v>0</v>
      </c>
      <c r="Q314" s="228"/>
      <c r="R314" s="19">
        <f t="shared" si="41"/>
        <v>0</v>
      </c>
      <c r="S314" s="228">
        <f t="shared" si="42"/>
        <v>0</v>
      </c>
      <c r="T314" s="20">
        <v>4</v>
      </c>
      <c r="U314" s="20"/>
      <c r="V314" s="235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26">
        <v>300390</v>
      </c>
      <c r="B315" s="223" t="s">
        <v>295</v>
      </c>
      <c r="C315" s="267" t="s">
        <v>114</v>
      </c>
      <c r="D315" s="268"/>
      <c r="E315" s="230" t="s">
        <v>115</v>
      </c>
      <c r="F315" s="229"/>
      <c r="G315" s="228"/>
      <c r="H315" s="228"/>
      <c r="I315" s="228"/>
      <c r="J315" s="228"/>
      <c r="K315" s="228">
        <f t="shared" si="38"/>
        <v>0</v>
      </c>
      <c r="L315" s="228">
        <f t="shared" si="39"/>
        <v>0</v>
      </c>
      <c r="M315" s="228">
        <v>417.4</v>
      </c>
      <c r="N315" s="228">
        <f>+M315*1000/(87*1*80*60)*T315</f>
        <v>3.9980842911877397</v>
      </c>
      <c r="O315" s="228"/>
      <c r="P315" s="228">
        <f t="shared" si="40"/>
        <v>0</v>
      </c>
      <c r="Q315" s="228"/>
      <c r="R315" s="19">
        <f t="shared" si="41"/>
        <v>0</v>
      </c>
      <c r="S315" s="228">
        <f t="shared" si="42"/>
        <v>0</v>
      </c>
      <c r="T315" s="20">
        <v>4</v>
      </c>
      <c r="U315" s="20"/>
      <c r="V315" s="23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26">
        <v>300391</v>
      </c>
      <c r="B316" s="223" t="s">
        <v>116</v>
      </c>
      <c r="C316" s="267" t="s">
        <v>114</v>
      </c>
      <c r="D316" s="268"/>
      <c r="E316" s="230" t="s">
        <v>117</v>
      </c>
      <c r="F316" s="229"/>
      <c r="G316" s="228"/>
      <c r="H316" s="228"/>
      <c r="I316" s="228"/>
      <c r="J316" s="228"/>
      <c r="K316" s="228">
        <f t="shared" si="38"/>
        <v>0</v>
      </c>
      <c r="L316" s="228">
        <f t="shared" si="39"/>
        <v>0</v>
      </c>
      <c r="M316" s="228">
        <v>417.4</v>
      </c>
      <c r="N316" s="228">
        <f>+M316*1000/(87*1*80*60)*T316</f>
        <v>3.9980842911877397</v>
      </c>
      <c r="O316" s="228"/>
      <c r="P316" s="228">
        <f t="shared" si="40"/>
        <v>0</v>
      </c>
      <c r="Q316" s="228"/>
      <c r="R316" s="19">
        <f t="shared" si="41"/>
        <v>0</v>
      </c>
      <c r="S316" s="228">
        <f t="shared" si="42"/>
        <v>0</v>
      </c>
      <c r="T316" s="20">
        <v>4</v>
      </c>
      <c r="U316" s="20"/>
      <c r="V316" s="23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26">
        <v>300431</v>
      </c>
      <c r="B317" s="223" t="s">
        <v>300</v>
      </c>
      <c r="C317" s="267" t="s">
        <v>305</v>
      </c>
      <c r="D317" s="268"/>
      <c r="E317" s="230" t="s">
        <v>306</v>
      </c>
      <c r="F317" s="27"/>
      <c r="G317" s="228"/>
      <c r="H317" s="228"/>
      <c r="I317" s="228"/>
      <c r="J317" s="228"/>
      <c r="K317" s="228">
        <f t="shared" si="38"/>
        <v>0</v>
      </c>
      <c r="L317" s="228">
        <f t="shared" si="39"/>
        <v>0</v>
      </c>
      <c r="M317" s="228">
        <v>628.79999999999995</v>
      </c>
      <c r="N317" s="228">
        <f>+M317*1000/(87*1*80*60)*T317</f>
        <v>6.0229885057471266</v>
      </c>
      <c r="O317" s="228"/>
      <c r="P317" s="228">
        <f t="shared" si="40"/>
        <v>0</v>
      </c>
      <c r="Q317" s="228"/>
      <c r="R317" s="19">
        <f t="shared" si="41"/>
        <v>0</v>
      </c>
      <c r="S317" s="228">
        <f t="shared" si="42"/>
        <v>0</v>
      </c>
      <c r="T317" s="20">
        <v>4</v>
      </c>
      <c r="U317" s="20"/>
      <c r="V317" s="235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26">
        <v>300432</v>
      </c>
      <c r="B318" s="223" t="s">
        <v>300</v>
      </c>
      <c r="C318" s="267" t="s">
        <v>305</v>
      </c>
      <c r="D318" s="268"/>
      <c r="E318" s="230" t="s">
        <v>307</v>
      </c>
      <c r="F318" s="27"/>
      <c r="G318" s="228"/>
      <c r="H318" s="228"/>
      <c r="I318" s="228"/>
      <c r="J318" s="228"/>
      <c r="K318" s="228">
        <f t="shared" si="38"/>
        <v>0</v>
      </c>
      <c r="L318" s="228">
        <f t="shared" si="39"/>
        <v>0</v>
      </c>
      <c r="M318" s="228">
        <v>628.79999999999995</v>
      </c>
      <c r="N318" s="228">
        <f>+M318*1000/(87*1*80*60)*T318</f>
        <v>6.0229885057471266</v>
      </c>
      <c r="O318" s="228"/>
      <c r="P318" s="228">
        <f t="shared" si="40"/>
        <v>0</v>
      </c>
      <c r="Q318" s="228"/>
      <c r="R318" s="19">
        <f t="shared" si="41"/>
        <v>0</v>
      </c>
      <c r="S318" s="228">
        <f t="shared" si="42"/>
        <v>0</v>
      </c>
      <c r="T318" s="20">
        <v>4</v>
      </c>
      <c r="U318" s="20"/>
      <c r="V318" s="235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26">
        <v>300433</v>
      </c>
      <c r="B319" s="223" t="s">
        <v>300</v>
      </c>
      <c r="C319" s="267" t="s">
        <v>305</v>
      </c>
      <c r="D319" s="268"/>
      <c r="E319" s="134" t="s">
        <v>308</v>
      </c>
      <c r="F319" s="27"/>
      <c r="G319" s="228"/>
      <c r="H319" s="228"/>
      <c r="I319" s="228"/>
      <c r="J319" s="228"/>
      <c r="K319" s="228">
        <f t="shared" si="38"/>
        <v>0</v>
      </c>
      <c r="L319" s="228">
        <f t="shared" si="39"/>
        <v>0</v>
      </c>
      <c r="M319" s="228">
        <v>628.79999999999995</v>
      </c>
      <c r="N319" s="228">
        <f>+M319*1000/(87*1*80*60)*T319</f>
        <v>6.0229885057471266</v>
      </c>
      <c r="O319" s="228"/>
      <c r="P319" s="228">
        <f t="shared" si="40"/>
        <v>0</v>
      </c>
      <c r="Q319" s="228"/>
      <c r="R319" s="19">
        <f t="shared" si="41"/>
        <v>0</v>
      </c>
      <c r="S319" s="228">
        <f t="shared" si="42"/>
        <v>0</v>
      </c>
      <c r="T319" s="20">
        <v>4</v>
      </c>
      <c r="U319" s="20"/>
      <c r="V319" s="235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26">
        <v>300074</v>
      </c>
      <c r="B320" s="223" t="s">
        <v>118</v>
      </c>
      <c r="C320" s="256" t="s">
        <v>119</v>
      </c>
      <c r="D320" s="256" t="s">
        <v>120</v>
      </c>
      <c r="E320" s="230" t="s">
        <v>54</v>
      </c>
      <c r="F320" s="229"/>
      <c r="G320" s="228"/>
      <c r="H320" s="228"/>
      <c r="I320" s="228"/>
      <c r="J320" s="228"/>
      <c r="K320" s="228">
        <f t="shared" si="38"/>
        <v>0</v>
      </c>
      <c r="L320" s="228">
        <f t="shared" si="39"/>
        <v>0</v>
      </c>
      <c r="M320" s="228">
        <v>290.8</v>
      </c>
      <c r="N320" s="228">
        <f>+M320*1000/(88*4*13*60)*T320</f>
        <v>3.1774475524475525</v>
      </c>
      <c r="O320" s="228"/>
      <c r="P320" s="228">
        <f t="shared" si="40"/>
        <v>0</v>
      </c>
      <c r="Q320" s="228"/>
      <c r="R320" s="19">
        <f t="shared" si="41"/>
        <v>0</v>
      </c>
      <c r="S320" s="228">
        <f t="shared" si="42"/>
        <v>0</v>
      </c>
      <c r="T320" s="20">
        <v>3</v>
      </c>
      <c r="U320" s="20"/>
      <c r="V320" s="23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26">
        <v>300076</v>
      </c>
      <c r="B321" s="223" t="s">
        <v>118</v>
      </c>
      <c r="C321" s="256" t="s">
        <v>119</v>
      </c>
      <c r="D321" s="256" t="s">
        <v>120</v>
      </c>
      <c r="E321" s="230" t="s">
        <v>35</v>
      </c>
      <c r="F321" s="229"/>
      <c r="G321" s="228"/>
      <c r="H321" s="228"/>
      <c r="I321" s="228"/>
      <c r="J321" s="228"/>
      <c r="K321" s="228">
        <f t="shared" si="38"/>
        <v>0</v>
      </c>
      <c r="L321" s="228">
        <f t="shared" si="39"/>
        <v>0</v>
      </c>
      <c r="M321" s="228">
        <v>303.10000000000002</v>
      </c>
      <c r="N321" s="228">
        <f>+M321*1000/(88*4*12*60)*T321</f>
        <v>4.7837752525252526</v>
      </c>
      <c r="O321" s="228"/>
      <c r="P321" s="228">
        <f t="shared" si="40"/>
        <v>0</v>
      </c>
      <c r="Q321" s="228"/>
      <c r="R321" s="19">
        <f t="shared" si="41"/>
        <v>0</v>
      </c>
      <c r="S321" s="228">
        <f t="shared" si="42"/>
        <v>0</v>
      </c>
      <c r="T321" s="20">
        <v>4</v>
      </c>
      <c r="U321" s="20"/>
      <c r="V321" s="23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26">
        <v>300096</v>
      </c>
      <c r="B322" s="223">
        <v>6502</v>
      </c>
      <c r="C322" s="256" t="s">
        <v>121</v>
      </c>
      <c r="D322" s="256" t="s">
        <v>122</v>
      </c>
      <c r="E322" s="230" t="s">
        <v>37</v>
      </c>
      <c r="F322" s="229"/>
      <c r="G322" s="228"/>
      <c r="H322" s="228"/>
      <c r="I322" s="228"/>
      <c r="J322" s="228"/>
      <c r="K322" s="228">
        <f t="shared" si="38"/>
        <v>0</v>
      </c>
      <c r="L322" s="228">
        <f t="shared" si="39"/>
        <v>0</v>
      </c>
      <c r="M322" s="228">
        <v>480.13</v>
      </c>
      <c r="N322" s="228">
        <f>+M322*1000/(126.5*4*12*60)*T322</f>
        <v>2.6357597716293371</v>
      </c>
      <c r="O322" s="228"/>
      <c r="P322" s="228">
        <f t="shared" si="40"/>
        <v>0</v>
      </c>
      <c r="Q322" s="228"/>
      <c r="R322" s="19">
        <f t="shared" si="41"/>
        <v>0</v>
      </c>
      <c r="S322" s="228">
        <f t="shared" si="42"/>
        <v>0</v>
      </c>
      <c r="T322" s="20">
        <v>2</v>
      </c>
      <c r="U322" s="20"/>
      <c r="V322" s="23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26"/>
      <c r="B323" s="223" t="s">
        <v>118</v>
      </c>
      <c r="C323" s="256" t="s">
        <v>121</v>
      </c>
      <c r="D323" s="256" t="s">
        <v>122</v>
      </c>
      <c r="E323" s="230" t="s">
        <v>35</v>
      </c>
      <c r="F323" s="229"/>
      <c r="G323" s="228"/>
      <c r="H323" s="228"/>
      <c r="I323" s="228"/>
      <c r="J323" s="228"/>
      <c r="K323" s="228">
        <f t="shared" si="38"/>
        <v>0</v>
      </c>
      <c r="L323" s="228">
        <f t="shared" si="39"/>
        <v>0</v>
      </c>
      <c r="M323" s="228">
        <v>480.13</v>
      </c>
      <c r="N323" s="228">
        <f>+M323*1000/(126.5*4*12*60)*T323</f>
        <v>2.6357597716293371</v>
      </c>
      <c r="O323" s="228"/>
      <c r="P323" s="228">
        <f t="shared" si="40"/>
        <v>0</v>
      </c>
      <c r="Q323" s="228"/>
      <c r="R323" s="19">
        <f t="shared" si="41"/>
        <v>0</v>
      </c>
      <c r="S323" s="228">
        <f t="shared" si="42"/>
        <v>0</v>
      </c>
      <c r="T323" s="20">
        <v>2</v>
      </c>
      <c r="U323" s="20"/>
      <c r="V323" s="23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226">
        <v>300097</v>
      </c>
      <c r="B324" s="223">
        <v>6502</v>
      </c>
      <c r="C324" s="256" t="s">
        <v>121</v>
      </c>
      <c r="D324" s="256" t="s">
        <v>122</v>
      </c>
      <c r="E324" s="230" t="s">
        <v>63</v>
      </c>
      <c r="F324" s="229"/>
      <c r="G324" s="228"/>
      <c r="H324" s="228"/>
      <c r="I324" s="228"/>
      <c r="J324" s="228"/>
      <c r="K324" s="228">
        <f t="shared" si="38"/>
        <v>0</v>
      </c>
      <c r="L324" s="228">
        <f t="shared" si="39"/>
        <v>0</v>
      </c>
      <c r="M324" s="228">
        <v>480.13</v>
      </c>
      <c r="N324" s="228">
        <f>+M324*1000/(126.5*4*12*60)*T324</f>
        <v>2.6357597716293371</v>
      </c>
      <c r="O324" s="228"/>
      <c r="P324" s="228">
        <f t="shared" si="40"/>
        <v>0</v>
      </c>
      <c r="Q324" s="228"/>
      <c r="R324" s="19">
        <f t="shared" si="41"/>
        <v>0</v>
      </c>
      <c r="S324" s="228">
        <f t="shared" si="42"/>
        <v>0</v>
      </c>
      <c r="T324" s="20">
        <v>2</v>
      </c>
      <c r="U324" s="20"/>
      <c r="V324" s="23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23">
        <v>300294</v>
      </c>
      <c r="B325" s="223" t="s">
        <v>118</v>
      </c>
      <c r="C325" s="256" t="s">
        <v>123</v>
      </c>
      <c r="D325" s="256"/>
      <c r="E325" s="230" t="s">
        <v>41</v>
      </c>
      <c r="F325" s="229"/>
      <c r="G325" s="228"/>
      <c r="H325" s="228"/>
      <c r="I325" s="228"/>
      <c r="J325" s="228"/>
      <c r="K325" s="228">
        <f t="shared" si="38"/>
        <v>0</v>
      </c>
      <c r="L325" s="228">
        <f t="shared" si="39"/>
        <v>0</v>
      </c>
      <c r="M325" s="228">
        <v>373.14</v>
      </c>
      <c r="N325" s="228">
        <f t="shared" ref="N325:N334" si="44">+M325*1000/(90*4*14*60)*T325</f>
        <v>3.7017857142857142</v>
      </c>
      <c r="O325" s="228"/>
      <c r="P325" s="228">
        <f t="shared" si="40"/>
        <v>0</v>
      </c>
      <c r="Q325" s="228"/>
      <c r="R325" s="19">
        <f t="shared" si="41"/>
        <v>0</v>
      </c>
      <c r="S325" s="228">
        <f t="shared" si="42"/>
        <v>0</v>
      </c>
      <c r="T325" s="20">
        <v>3</v>
      </c>
      <c r="U325" s="20"/>
      <c r="V325" s="23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23">
        <v>300295</v>
      </c>
      <c r="B326" s="223" t="s">
        <v>124</v>
      </c>
      <c r="C326" s="256" t="s">
        <v>125</v>
      </c>
      <c r="D326" s="256"/>
      <c r="E326" s="230" t="s">
        <v>126</v>
      </c>
      <c r="F326" s="229"/>
      <c r="G326" s="228"/>
      <c r="H326" s="228"/>
      <c r="I326" s="228"/>
      <c r="J326" s="228"/>
      <c r="K326" s="228">
        <f t="shared" si="38"/>
        <v>0</v>
      </c>
      <c r="L326" s="228">
        <f t="shared" si="39"/>
        <v>0</v>
      </c>
      <c r="M326" s="228">
        <v>373.14</v>
      </c>
      <c r="N326" s="228">
        <f t="shared" si="44"/>
        <v>3.7017857142857142</v>
      </c>
      <c r="O326" s="228"/>
      <c r="P326" s="228">
        <f t="shared" si="40"/>
        <v>0</v>
      </c>
      <c r="Q326" s="228"/>
      <c r="R326" s="19">
        <f t="shared" si="41"/>
        <v>0</v>
      </c>
      <c r="S326" s="228">
        <f t="shared" si="42"/>
        <v>0</v>
      </c>
      <c r="T326" s="20">
        <v>3</v>
      </c>
      <c r="U326" s="20"/>
      <c r="V326" s="23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23">
        <v>300258</v>
      </c>
      <c r="B327" s="223" t="s">
        <v>118</v>
      </c>
      <c r="C327" s="256" t="s">
        <v>123</v>
      </c>
      <c r="D327" s="256"/>
      <c r="E327" s="230" t="s">
        <v>42</v>
      </c>
      <c r="F327" s="229"/>
      <c r="G327" s="228"/>
      <c r="H327" s="228"/>
      <c r="I327" s="228"/>
      <c r="J327" s="228"/>
      <c r="K327" s="228">
        <f t="shared" si="38"/>
        <v>0</v>
      </c>
      <c r="L327" s="228">
        <f t="shared" si="39"/>
        <v>0</v>
      </c>
      <c r="M327" s="228">
        <v>373.14</v>
      </c>
      <c r="N327" s="228">
        <f t="shared" si="44"/>
        <v>3.7017857142857142</v>
      </c>
      <c r="O327" s="228"/>
      <c r="P327" s="228">
        <f t="shared" si="40"/>
        <v>0</v>
      </c>
      <c r="Q327" s="228"/>
      <c r="R327" s="19">
        <f t="shared" si="41"/>
        <v>0</v>
      </c>
      <c r="S327" s="228">
        <f t="shared" si="42"/>
        <v>0</v>
      </c>
      <c r="T327" s="20">
        <v>3</v>
      </c>
      <c r="U327" s="20"/>
      <c r="V327" s="23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23">
        <v>300256</v>
      </c>
      <c r="B328" s="223" t="s">
        <v>118</v>
      </c>
      <c r="C328" s="256" t="s">
        <v>123</v>
      </c>
      <c r="D328" s="256"/>
      <c r="E328" s="230" t="s">
        <v>74</v>
      </c>
      <c r="F328" s="229"/>
      <c r="G328" s="228"/>
      <c r="H328" s="228"/>
      <c r="I328" s="228"/>
      <c r="J328" s="228"/>
      <c r="K328" s="228">
        <f t="shared" si="38"/>
        <v>0</v>
      </c>
      <c r="L328" s="228">
        <f t="shared" si="39"/>
        <v>0</v>
      </c>
      <c r="M328" s="228">
        <v>373.14</v>
      </c>
      <c r="N328" s="228">
        <f t="shared" si="44"/>
        <v>3.7017857142857142</v>
      </c>
      <c r="O328" s="228"/>
      <c r="P328" s="228">
        <f t="shared" si="40"/>
        <v>0</v>
      </c>
      <c r="Q328" s="228"/>
      <c r="R328" s="19">
        <f t="shared" si="41"/>
        <v>0</v>
      </c>
      <c r="S328" s="228">
        <f t="shared" si="42"/>
        <v>0</v>
      </c>
      <c r="T328" s="20">
        <v>3</v>
      </c>
      <c r="U328" s="20"/>
      <c r="V328" s="23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23">
        <v>300259</v>
      </c>
      <c r="B329" s="223" t="s">
        <v>118</v>
      </c>
      <c r="C329" s="256" t="s">
        <v>123</v>
      </c>
      <c r="D329" s="256"/>
      <c r="E329" s="230" t="s">
        <v>40</v>
      </c>
      <c r="F329" s="229"/>
      <c r="G329" s="228"/>
      <c r="H329" s="228"/>
      <c r="I329" s="228"/>
      <c r="J329" s="228"/>
      <c r="K329" s="228">
        <f t="shared" si="38"/>
        <v>0</v>
      </c>
      <c r="L329" s="228">
        <f t="shared" si="39"/>
        <v>0</v>
      </c>
      <c r="M329" s="228">
        <v>373.14</v>
      </c>
      <c r="N329" s="228">
        <f t="shared" si="44"/>
        <v>3.7017857142857142</v>
      </c>
      <c r="O329" s="228"/>
      <c r="P329" s="228">
        <f t="shared" si="40"/>
        <v>0</v>
      </c>
      <c r="Q329" s="228"/>
      <c r="R329" s="19">
        <f t="shared" si="41"/>
        <v>0</v>
      </c>
      <c r="S329" s="228">
        <f t="shared" si="42"/>
        <v>0</v>
      </c>
      <c r="T329" s="20">
        <v>3</v>
      </c>
      <c r="U329" s="20"/>
      <c r="V329" s="23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23">
        <v>300345</v>
      </c>
      <c r="B330" s="223" t="s">
        <v>118</v>
      </c>
      <c r="C330" s="256" t="s">
        <v>127</v>
      </c>
      <c r="D330" s="256"/>
      <c r="E330" s="230" t="s">
        <v>74</v>
      </c>
      <c r="F330" s="229"/>
      <c r="G330" s="228"/>
      <c r="H330" s="228"/>
      <c r="I330" s="228"/>
      <c r="J330" s="228"/>
      <c r="K330" s="228">
        <f t="shared" si="38"/>
        <v>0</v>
      </c>
      <c r="L330" s="228">
        <f t="shared" si="39"/>
        <v>0</v>
      </c>
      <c r="M330" s="228">
        <v>373.14</v>
      </c>
      <c r="N330" s="228">
        <f t="shared" si="44"/>
        <v>3.7017857142857142</v>
      </c>
      <c r="O330" s="41"/>
      <c r="P330" s="228">
        <f t="shared" si="40"/>
        <v>0</v>
      </c>
      <c r="Q330" s="41"/>
      <c r="R330" s="19">
        <f t="shared" si="41"/>
        <v>0</v>
      </c>
      <c r="S330" s="228">
        <f t="shared" si="42"/>
        <v>0</v>
      </c>
      <c r="T330" s="20">
        <v>3</v>
      </c>
      <c r="U330" s="41"/>
      <c r="V330" s="235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23">
        <v>300346</v>
      </c>
      <c r="B331" s="223" t="s">
        <v>118</v>
      </c>
      <c r="C331" s="256" t="s">
        <v>127</v>
      </c>
      <c r="D331" s="256"/>
      <c r="E331" s="230" t="s">
        <v>42</v>
      </c>
      <c r="F331" s="229"/>
      <c r="G331" s="228"/>
      <c r="H331" s="228"/>
      <c r="I331" s="228"/>
      <c r="J331" s="228"/>
      <c r="K331" s="228">
        <f t="shared" si="38"/>
        <v>0</v>
      </c>
      <c r="L331" s="228">
        <f t="shared" si="39"/>
        <v>0</v>
      </c>
      <c r="M331" s="228">
        <v>373.14</v>
      </c>
      <c r="N331" s="228">
        <f t="shared" si="44"/>
        <v>3.7017857142857142</v>
      </c>
      <c r="O331" s="41"/>
      <c r="P331" s="228">
        <f t="shared" si="40"/>
        <v>0</v>
      </c>
      <c r="Q331" s="41"/>
      <c r="R331" s="19">
        <f t="shared" si="41"/>
        <v>0</v>
      </c>
      <c r="S331" s="228">
        <f t="shared" si="42"/>
        <v>0</v>
      </c>
      <c r="T331" s="20">
        <v>3</v>
      </c>
      <c r="U331" s="41"/>
      <c r="V331" s="235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23">
        <v>300347</v>
      </c>
      <c r="B332" s="223" t="s">
        <v>118</v>
      </c>
      <c r="C332" s="256" t="s">
        <v>127</v>
      </c>
      <c r="D332" s="256"/>
      <c r="E332" s="230" t="s">
        <v>41</v>
      </c>
      <c r="F332" s="229"/>
      <c r="G332" s="228"/>
      <c r="H332" s="228"/>
      <c r="I332" s="228"/>
      <c r="J332" s="228"/>
      <c r="K332" s="228">
        <f t="shared" si="38"/>
        <v>0</v>
      </c>
      <c r="L332" s="228">
        <f t="shared" si="39"/>
        <v>0</v>
      </c>
      <c r="M332" s="228">
        <v>373.14</v>
      </c>
      <c r="N332" s="228">
        <f t="shared" si="44"/>
        <v>3.7017857142857142</v>
      </c>
      <c r="O332" s="41"/>
      <c r="P332" s="228">
        <f t="shared" si="40"/>
        <v>0</v>
      </c>
      <c r="Q332" s="41"/>
      <c r="R332" s="19">
        <f t="shared" si="41"/>
        <v>0</v>
      </c>
      <c r="S332" s="228">
        <f t="shared" si="42"/>
        <v>0</v>
      </c>
      <c r="T332" s="20">
        <v>3</v>
      </c>
      <c r="U332" s="41"/>
      <c r="V332" s="235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23">
        <v>300348</v>
      </c>
      <c r="B333" s="223" t="s">
        <v>118</v>
      </c>
      <c r="C333" s="256" t="s">
        <v>127</v>
      </c>
      <c r="D333" s="256"/>
      <c r="E333" s="230" t="s">
        <v>126</v>
      </c>
      <c r="F333" s="229"/>
      <c r="G333" s="228"/>
      <c r="H333" s="228"/>
      <c r="I333" s="228"/>
      <c r="J333" s="228"/>
      <c r="K333" s="228">
        <f t="shared" si="38"/>
        <v>0</v>
      </c>
      <c r="L333" s="228">
        <f t="shared" si="39"/>
        <v>0</v>
      </c>
      <c r="M333" s="228">
        <v>373.14</v>
      </c>
      <c r="N333" s="228">
        <f t="shared" si="44"/>
        <v>3.7017857142857142</v>
      </c>
      <c r="O333" s="41"/>
      <c r="P333" s="228">
        <f t="shared" si="40"/>
        <v>0</v>
      </c>
      <c r="Q333" s="41"/>
      <c r="R333" s="19">
        <f t="shared" si="41"/>
        <v>0</v>
      </c>
      <c r="S333" s="228">
        <f t="shared" si="42"/>
        <v>0</v>
      </c>
      <c r="T333" s="20">
        <v>3</v>
      </c>
      <c r="U333" s="41"/>
      <c r="V333" s="235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23">
        <v>300349</v>
      </c>
      <c r="B334" s="223" t="s">
        <v>118</v>
      </c>
      <c r="C334" s="256" t="s">
        <v>127</v>
      </c>
      <c r="D334" s="256"/>
      <c r="E334" s="230" t="s">
        <v>40</v>
      </c>
      <c r="F334" s="229"/>
      <c r="G334" s="228"/>
      <c r="H334" s="228"/>
      <c r="I334" s="228"/>
      <c r="J334" s="228"/>
      <c r="K334" s="228">
        <f t="shared" si="38"/>
        <v>0</v>
      </c>
      <c r="L334" s="228">
        <f t="shared" si="39"/>
        <v>0</v>
      </c>
      <c r="M334" s="228">
        <v>373.14</v>
      </c>
      <c r="N334" s="228">
        <f t="shared" si="44"/>
        <v>3.7017857142857142</v>
      </c>
      <c r="O334" s="41"/>
      <c r="P334" s="228">
        <f t="shared" si="40"/>
        <v>0</v>
      </c>
      <c r="Q334" s="41"/>
      <c r="R334" s="19">
        <f t="shared" si="41"/>
        <v>0</v>
      </c>
      <c r="S334" s="228">
        <f t="shared" si="42"/>
        <v>0</v>
      </c>
      <c r="T334" s="20">
        <v>3</v>
      </c>
      <c r="U334" s="41"/>
      <c r="V334" s="235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23">
        <v>300298</v>
      </c>
      <c r="B335" s="223" t="s">
        <v>118</v>
      </c>
      <c r="C335" s="256" t="s">
        <v>128</v>
      </c>
      <c r="D335" s="256"/>
      <c r="E335" s="230" t="s">
        <v>54</v>
      </c>
      <c r="F335" s="229"/>
      <c r="G335" s="228"/>
      <c r="H335" s="228"/>
      <c r="I335" s="228"/>
      <c r="J335" s="228"/>
      <c r="K335" s="228">
        <f t="shared" si="38"/>
        <v>0</v>
      </c>
      <c r="L335" s="228">
        <f t="shared" si="39"/>
        <v>0</v>
      </c>
      <c r="M335" s="228">
        <v>380.63</v>
      </c>
      <c r="N335" s="228">
        <f t="shared" ref="N335:N340" si="45">+M335*1000/(94.7*4*15*60)*T335</f>
        <v>4.4659157573624313</v>
      </c>
      <c r="O335" s="228"/>
      <c r="P335" s="228">
        <f t="shared" si="40"/>
        <v>0</v>
      </c>
      <c r="Q335" s="228"/>
      <c r="R335" s="19">
        <f t="shared" si="41"/>
        <v>0</v>
      </c>
      <c r="S335" s="228">
        <f t="shared" si="42"/>
        <v>0</v>
      </c>
      <c r="T335" s="20">
        <v>4</v>
      </c>
      <c r="U335" s="20"/>
      <c r="V335" s="23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23">
        <v>300299</v>
      </c>
      <c r="B336" s="223" t="s">
        <v>118</v>
      </c>
      <c r="C336" s="256" t="s">
        <v>128</v>
      </c>
      <c r="D336" s="256"/>
      <c r="E336" s="230" t="s">
        <v>39</v>
      </c>
      <c r="F336" s="229"/>
      <c r="G336" s="228"/>
      <c r="H336" s="228"/>
      <c r="I336" s="228"/>
      <c r="J336" s="228"/>
      <c r="K336" s="228">
        <f t="shared" si="38"/>
        <v>0</v>
      </c>
      <c r="L336" s="228">
        <f t="shared" si="39"/>
        <v>0</v>
      </c>
      <c r="M336" s="228">
        <v>380.63</v>
      </c>
      <c r="N336" s="228">
        <f t="shared" si="45"/>
        <v>4.4659157573624313</v>
      </c>
      <c r="O336" s="228"/>
      <c r="P336" s="228">
        <f t="shared" si="40"/>
        <v>0</v>
      </c>
      <c r="Q336" s="228"/>
      <c r="R336" s="19">
        <f t="shared" si="41"/>
        <v>0</v>
      </c>
      <c r="S336" s="228">
        <f t="shared" si="42"/>
        <v>0</v>
      </c>
      <c r="T336" s="20">
        <v>4</v>
      </c>
      <c r="U336" s="20"/>
      <c r="V336" s="23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23">
        <v>300296</v>
      </c>
      <c r="B337" s="223" t="s">
        <v>118</v>
      </c>
      <c r="C337" s="256" t="s">
        <v>128</v>
      </c>
      <c r="D337" s="256"/>
      <c r="E337" s="230" t="s">
        <v>41</v>
      </c>
      <c r="F337" s="229"/>
      <c r="G337" s="228"/>
      <c r="H337" s="228"/>
      <c r="I337" s="228"/>
      <c r="J337" s="228"/>
      <c r="K337" s="228">
        <f t="shared" si="38"/>
        <v>0</v>
      </c>
      <c r="L337" s="228">
        <f t="shared" si="39"/>
        <v>0</v>
      </c>
      <c r="M337" s="228">
        <v>380.63</v>
      </c>
      <c r="N337" s="228">
        <f t="shared" si="45"/>
        <v>4.4659157573624313</v>
      </c>
      <c r="O337" s="228"/>
      <c r="P337" s="228">
        <f t="shared" si="40"/>
        <v>0</v>
      </c>
      <c r="Q337" s="228"/>
      <c r="R337" s="19">
        <f t="shared" si="41"/>
        <v>0</v>
      </c>
      <c r="S337" s="228">
        <f t="shared" si="42"/>
        <v>0</v>
      </c>
      <c r="T337" s="20">
        <v>4</v>
      </c>
      <c r="U337" s="20"/>
      <c r="V337" s="23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23">
        <v>300297</v>
      </c>
      <c r="B338" s="223" t="s">
        <v>118</v>
      </c>
      <c r="C338" s="256" t="s">
        <v>128</v>
      </c>
      <c r="D338" s="256"/>
      <c r="E338" s="230" t="s">
        <v>37</v>
      </c>
      <c r="F338" s="229"/>
      <c r="G338" s="228"/>
      <c r="H338" s="228"/>
      <c r="I338" s="228"/>
      <c r="J338" s="228"/>
      <c r="K338" s="228">
        <f t="shared" si="38"/>
        <v>0</v>
      </c>
      <c r="L338" s="228">
        <f t="shared" si="39"/>
        <v>0</v>
      </c>
      <c r="M338" s="228">
        <v>380.63</v>
      </c>
      <c r="N338" s="228">
        <f t="shared" si="45"/>
        <v>4.4659157573624313</v>
      </c>
      <c r="O338" s="228"/>
      <c r="P338" s="228">
        <f t="shared" si="40"/>
        <v>0</v>
      </c>
      <c r="Q338" s="228"/>
      <c r="R338" s="19">
        <f t="shared" si="41"/>
        <v>0</v>
      </c>
      <c r="S338" s="228">
        <f t="shared" si="42"/>
        <v>0</v>
      </c>
      <c r="T338" s="20">
        <v>4</v>
      </c>
      <c r="U338" s="20"/>
      <c r="V338" s="23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23">
        <v>300340</v>
      </c>
      <c r="B339" s="223" t="s">
        <v>118</v>
      </c>
      <c r="C339" s="267" t="s">
        <v>129</v>
      </c>
      <c r="D339" s="268"/>
      <c r="E339" s="230" t="s">
        <v>41</v>
      </c>
      <c r="F339" s="229"/>
      <c r="G339" s="228"/>
      <c r="H339" s="228"/>
      <c r="I339" s="228"/>
      <c r="J339" s="228"/>
      <c r="K339" s="228">
        <f t="shared" si="38"/>
        <v>0</v>
      </c>
      <c r="L339" s="228">
        <f t="shared" si="39"/>
        <v>0</v>
      </c>
      <c r="M339" s="228">
        <v>325.60000000000002</v>
      </c>
      <c r="N339" s="228">
        <f t="shared" si="45"/>
        <v>3.8202510852986036</v>
      </c>
      <c r="O339" s="228"/>
      <c r="P339" s="228">
        <f t="shared" si="40"/>
        <v>0</v>
      </c>
      <c r="Q339" s="228"/>
      <c r="R339" s="19">
        <f t="shared" si="41"/>
        <v>0</v>
      </c>
      <c r="S339" s="228">
        <f t="shared" si="42"/>
        <v>0</v>
      </c>
      <c r="T339" s="20">
        <v>4</v>
      </c>
      <c r="U339" s="20"/>
      <c r="V339" s="235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23">
        <v>300339</v>
      </c>
      <c r="B340" s="223" t="s">
        <v>118</v>
      </c>
      <c r="C340" s="267" t="s">
        <v>129</v>
      </c>
      <c r="D340" s="268"/>
      <c r="E340" s="230" t="s">
        <v>39</v>
      </c>
      <c r="F340" s="229"/>
      <c r="G340" s="228"/>
      <c r="H340" s="228"/>
      <c r="I340" s="228"/>
      <c r="J340" s="228"/>
      <c r="K340" s="228">
        <f t="shared" si="38"/>
        <v>0</v>
      </c>
      <c r="L340" s="228">
        <f t="shared" si="39"/>
        <v>0</v>
      </c>
      <c r="M340" s="228">
        <v>325.60000000000002</v>
      </c>
      <c r="N340" s="228">
        <f t="shared" si="45"/>
        <v>3.8202510852986036</v>
      </c>
      <c r="O340" s="228"/>
      <c r="P340" s="228">
        <f t="shared" si="40"/>
        <v>0</v>
      </c>
      <c r="Q340" s="228"/>
      <c r="R340" s="19">
        <f t="shared" si="41"/>
        <v>0</v>
      </c>
      <c r="S340" s="228">
        <f t="shared" si="42"/>
        <v>0</v>
      </c>
      <c r="T340" s="20">
        <v>4</v>
      </c>
      <c r="U340" s="20"/>
      <c r="V340" s="235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23">
        <v>300303</v>
      </c>
      <c r="B341" s="223" t="s">
        <v>118</v>
      </c>
      <c r="C341" s="256" t="s">
        <v>130</v>
      </c>
      <c r="D341" s="256" t="s">
        <v>131</v>
      </c>
      <c r="E341" s="230" t="s">
        <v>57</v>
      </c>
      <c r="F341" s="229"/>
      <c r="G341" s="228"/>
      <c r="H341" s="228"/>
      <c r="I341" s="228"/>
      <c r="J341" s="228"/>
      <c r="K341" s="228">
        <f t="shared" si="38"/>
        <v>0</v>
      </c>
      <c r="L341" s="228">
        <f t="shared" si="39"/>
        <v>0</v>
      </c>
      <c r="M341" s="228">
        <v>396.92</v>
      </c>
      <c r="N341" s="228">
        <f>+M341*1000/(113.8*4*15*60)*T341</f>
        <v>4.8442686975200155</v>
      </c>
      <c r="O341" s="228"/>
      <c r="P341" s="228">
        <f t="shared" si="40"/>
        <v>0</v>
      </c>
      <c r="Q341" s="228"/>
      <c r="R341" s="19">
        <f t="shared" si="41"/>
        <v>0</v>
      </c>
      <c r="S341" s="228">
        <f t="shared" si="42"/>
        <v>0</v>
      </c>
      <c r="T341" s="20">
        <v>5</v>
      </c>
      <c r="U341" s="20"/>
      <c r="V341" s="23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23">
        <v>300302</v>
      </c>
      <c r="B342" s="223" t="s">
        <v>118</v>
      </c>
      <c r="C342" s="256" t="s">
        <v>130</v>
      </c>
      <c r="D342" s="256" t="s">
        <v>131</v>
      </c>
      <c r="E342" s="230" t="s">
        <v>117</v>
      </c>
      <c r="F342" s="229"/>
      <c r="G342" s="228"/>
      <c r="H342" s="228"/>
      <c r="I342" s="228"/>
      <c r="J342" s="228"/>
      <c r="K342" s="228">
        <f t="shared" si="38"/>
        <v>0</v>
      </c>
      <c r="L342" s="228">
        <f t="shared" si="39"/>
        <v>0</v>
      </c>
      <c r="M342" s="228">
        <v>396.06</v>
      </c>
      <c r="N342" s="228">
        <f>+M342*1000/(113.8*4*15*60)*T342</f>
        <v>4.8337727006444053</v>
      </c>
      <c r="O342" s="228"/>
      <c r="P342" s="228">
        <f t="shared" si="40"/>
        <v>0</v>
      </c>
      <c r="Q342" s="228"/>
      <c r="R342" s="19">
        <f t="shared" si="41"/>
        <v>0</v>
      </c>
      <c r="S342" s="228">
        <f t="shared" si="42"/>
        <v>0</v>
      </c>
      <c r="T342" s="20">
        <v>5</v>
      </c>
      <c r="U342" s="20"/>
      <c r="V342" s="23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23">
        <v>300301</v>
      </c>
      <c r="B343" s="223" t="s">
        <v>118</v>
      </c>
      <c r="C343" s="256" t="s">
        <v>130</v>
      </c>
      <c r="D343" s="256" t="s">
        <v>131</v>
      </c>
      <c r="E343" s="230" t="s">
        <v>132</v>
      </c>
      <c r="F343" s="229"/>
      <c r="G343" s="228"/>
      <c r="H343" s="228"/>
      <c r="I343" s="228"/>
      <c r="J343" s="228"/>
      <c r="K343" s="228">
        <f t="shared" si="38"/>
        <v>0</v>
      </c>
      <c r="L343" s="228">
        <f t="shared" si="39"/>
        <v>0</v>
      </c>
      <c r="M343" s="228">
        <v>401.25</v>
      </c>
      <c r="N343" s="228">
        <f>+M343*1000/(113.8*4*15*60)*T343</f>
        <v>4.8971148213239601</v>
      </c>
      <c r="O343" s="228"/>
      <c r="P343" s="228">
        <f t="shared" si="40"/>
        <v>0</v>
      </c>
      <c r="Q343" s="228"/>
      <c r="R343" s="19">
        <f t="shared" si="41"/>
        <v>0</v>
      </c>
      <c r="S343" s="228">
        <f t="shared" si="42"/>
        <v>0</v>
      </c>
      <c r="T343" s="20">
        <v>5</v>
      </c>
      <c r="U343" s="20"/>
      <c r="V343" s="23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26">
        <v>300304</v>
      </c>
      <c r="B344" s="223" t="s">
        <v>118</v>
      </c>
      <c r="C344" s="256" t="s">
        <v>130</v>
      </c>
      <c r="D344" s="256"/>
      <c r="E344" s="230" t="s">
        <v>133</v>
      </c>
      <c r="F344" s="229"/>
      <c r="G344" s="228"/>
      <c r="H344" s="228"/>
      <c r="I344" s="228"/>
      <c r="J344" s="228"/>
      <c r="K344" s="228">
        <f t="shared" si="38"/>
        <v>0</v>
      </c>
      <c r="L344" s="228">
        <f t="shared" si="39"/>
        <v>0</v>
      </c>
      <c r="M344" s="228">
        <v>401.25</v>
      </c>
      <c r="N344" s="228">
        <f>+M344*1000/(113.8*4*15*60)*T344</f>
        <v>4.8971148213239601</v>
      </c>
      <c r="O344" s="228"/>
      <c r="P344" s="228">
        <f t="shared" si="40"/>
        <v>0</v>
      </c>
      <c r="Q344" s="228"/>
      <c r="R344" s="19">
        <f t="shared" si="41"/>
        <v>0</v>
      </c>
      <c r="S344" s="228">
        <f t="shared" si="42"/>
        <v>0</v>
      </c>
      <c r="T344" s="20">
        <v>5</v>
      </c>
      <c r="U344" s="20"/>
      <c r="V344" s="23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26">
        <v>300300</v>
      </c>
      <c r="B345" s="223" t="s">
        <v>118</v>
      </c>
      <c r="C345" s="256" t="s">
        <v>130</v>
      </c>
      <c r="D345" s="256" t="s">
        <v>131</v>
      </c>
      <c r="E345" s="230" t="s">
        <v>54</v>
      </c>
      <c r="F345" s="229"/>
      <c r="G345" s="228"/>
      <c r="H345" s="228"/>
      <c r="I345" s="228"/>
      <c r="J345" s="228"/>
      <c r="K345" s="228">
        <f t="shared" si="38"/>
        <v>0</v>
      </c>
      <c r="L345" s="228">
        <f t="shared" si="39"/>
        <v>0</v>
      </c>
      <c r="M345" s="228">
        <v>399.07</v>
      </c>
      <c r="N345" s="228">
        <f>+M345*1000/(113.8*4*15*60)*T345</f>
        <v>4.8705086897090411</v>
      </c>
      <c r="O345" s="228"/>
      <c r="P345" s="228">
        <f t="shared" si="40"/>
        <v>0</v>
      </c>
      <c r="Q345" s="228"/>
      <c r="R345" s="19">
        <f t="shared" si="41"/>
        <v>0</v>
      </c>
      <c r="S345" s="228">
        <f t="shared" si="42"/>
        <v>0</v>
      </c>
      <c r="T345" s="20">
        <v>5</v>
      </c>
      <c r="U345" s="20"/>
      <c r="V345" s="23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26">
        <v>300085</v>
      </c>
      <c r="B346" s="223" t="s">
        <v>118</v>
      </c>
      <c r="C346" s="256" t="s">
        <v>134</v>
      </c>
      <c r="D346" s="256" t="s">
        <v>131</v>
      </c>
      <c r="E346" s="230" t="s">
        <v>135</v>
      </c>
      <c r="F346" s="229"/>
      <c r="G346" s="228"/>
      <c r="H346" s="228"/>
      <c r="I346" s="228"/>
      <c r="J346" s="228"/>
      <c r="K346" s="228">
        <f t="shared" si="38"/>
        <v>0</v>
      </c>
      <c r="L346" s="228">
        <f t="shared" si="39"/>
        <v>0</v>
      </c>
      <c r="M346" s="228">
        <v>394.3</v>
      </c>
      <c r="N346" s="228">
        <f>+M346*1000/(104.2*4*15*60)*T346</f>
        <v>6.3067818298144598</v>
      </c>
      <c r="O346" s="228"/>
      <c r="P346" s="228">
        <f t="shared" si="40"/>
        <v>0</v>
      </c>
      <c r="Q346" s="228"/>
      <c r="R346" s="19">
        <f t="shared" si="41"/>
        <v>0</v>
      </c>
      <c r="S346" s="228">
        <f t="shared" si="42"/>
        <v>0</v>
      </c>
      <c r="T346" s="20">
        <v>6</v>
      </c>
      <c r="U346" s="20"/>
      <c r="V346" s="23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26">
        <v>300087</v>
      </c>
      <c r="B347" s="223" t="s">
        <v>118</v>
      </c>
      <c r="C347" s="256" t="s">
        <v>134</v>
      </c>
      <c r="D347" s="256" t="s">
        <v>131</v>
      </c>
      <c r="E347" s="230" t="s">
        <v>80</v>
      </c>
      <c r="F347" s="229"/>
      <c r="G347" s="228"/>
      <c r="H347" s="228"/>
      <c r="I347" s="228"/>
      <c r="J347" s="228"/>
      <c r="K347" s="228">
        <f t="shared" si="38"/>
        <v>0</v>
      </c>
      <c r="L347" s="228">
        <f t="shared" si="39"/>
        <v>0</v>
      </c>
      <c r="M347" s="228">
        <v>380.1</v>
      </c>
      <c r="N347" s="228">
        <f>+M347*1000/(104.2*4*16*60)*T347</f>
        <v>4.7497300863723604</v>
      </c>
      <c r="O347" s="228"/>
      <c r="P347" s="228">
        <f t="shared" si="40"/>
        <v>0</v>
      </c>
      <c r="Q347" s="228"/>
      <c r="R347" s="19">
        <f t="shared" si="41"/>
        <v>0</v>
      </c>
      <c r="S347" s="228">
        <f t="shared" si="42"/>
        <v>0</v>
      </c>
      <c r="T347" s="20">
        <v>5</v>
      </c>
      <c r="U347" s="20"/>
      <c r="V347" s="23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26">
        <v>300387</v>
      </c>
      <c r="B348" s="223" t="s">
        <v>136</v>
      </c>
      <c r="C348" s="267" t="s">
        <v>137</v>
      </c>
      <c r="D348" s="268"/>
      <c r="E348" s="230" t="s">
        <v>57</v>
      </c>
      <c r="F348" s="229"/>
      <c r="G348" s="228"/>
      <c r="H348" s="228"/>
      <c r="I348" s="228"/>
      <c r="J348" s="228"/>
      <c r="K348" s="228">
        <f t="shared" si="38"/>
        <v>0</v>
      </c>
      <c r="L348" s="228">
        <f t="shared" si="39"/>
        <v>0</v>
      </c>
      <c r="M348" s="228">
        <v>352.29</v>
      </c>
      <c r="N348" s="228">
        <f>+M348*1000/(104.2*4*16*60)*T348</f>
        <v>4.4022162907869484</v>
      </c>
      <c r="O348" s="228"/>
      <c r="P348" s="228">
        <f t="shared" si="40"/>
        <v>0</v>
      </c>
      <c r="Q348" s="228"/>
      <c r="R348" s="19">
        <f t="shared" si="41"/>
        <v>0</v>
      </c>
      <c r="S348" s="228">
        <f t="shared" si="42"/>
        <v>0</v>
      </c>
      <c r="T348" s="20">
        <v>5</v>
      </c>
      <c r="U348" s="20"/>
      <c r="V348" s="23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26">
        <v>300388</v>
      </c>
      <c r="B349" s="223" t="s">
        <v>138</v>
      </c>
      <c r="C349" s="267" t="s">
        <v>137</v>
      </c>
      <c r="D349" s="268"/>
      <c r="E349" s="230" t="s">
        <v>117</v>
      </c>
      <c r="F349" s="229"/>
      <c r="G349" s="228"/>
      <c r="H349" s="228"/>
      <c r="I349" s="228"/>
      <c r="J349" s="228"/>
      <c r="K349" s="228">
        <f t="shared" si="38"/>
        <v>0</v>
      </c>
      <c r="L349" s="228">
        <f t="shared" si="39"/>
        <v>0</v>
      </c>
      <c r="M349" s="228">
        <v>352.29</v>
      </c>
      <c r="N349" s="228">
        <f>+M349*1000/(104.2*4*16*60)*T349</f>
        <v>4.4022162907869484</v>
      </c>
      <c r="O349" s="228"/>
      <c r="P349" s="228">
        <f t="shared" si="40"/>
        <v>0</v>
      </c>
      <c r="Q349" s="228"/>
      <c r="R349" s="19">
        <f t="shared" si="41"/>
        <v>0</v>
      </c>
      <c r="S349" s="228">
        <f t="shared" si="42"/>
        <v>0</v>
      </c>
      <c r="T349" s="20">
        <v>5</v>
      </c>
      <c r="U349" s="20"/>
      <c r="V349" s="23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26">
        <v>300123</v>
      </c>
      <c r="B350" s="223" t="s">
        <v>118</v>
      </c>
      <c r="C350" s="256" t="s">
        <v>139</v>
      </c>
      <c r="D350" s="256" t="s">
        <v>140</v>
      </c>
      <c r="E350" s="230" t="s">
        <v>135</v>
      </c>
      <c r="F350" s="229"/>
      <c r="G350" s="228"/>
      <c r="H350" s="228"/>
      <c r="I350" s="228"/>
      <c r="J350" s="228"/>
      <c r="K350" s="228">
        <f t="shared" si="38"/>
        <v>0</v>
      </c>
      <c r="L350" s="228">
        <f t="shared" si="39"/>
        <v>0</v>
      </c>
      <c r="M350" s="228">
        <v>557</v>
      </c>
      <c r="N350" s="228">
        <f>+M350*1000/(126.5*4*15*60)*T350</f>
        <v>6.1155028546332888</v>
      </c>
      <c r="O350" s="228"/>
      <c r="P350" s="228">
        <f t="shared" si="40"/>
        <v>0</v>
      </c>
      <c r="Q350" s="228"/>
      <c r="R350" s="19">
        <f t="shared" si="41"/>
        <v>0</v>
      </c>
      <c r="S350" s="228">
        <f t="shared" si="42"/>
        <v>0</v>
      </c>
      <c r="T350" s="20">
        <v>5</v>
      </c>
      <c r="U350" s="20"/>
      <c r="V350" s="23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26">
        <v>300270</v>
      </c>
      <c r="B351" s="223" t="s">
        <v>118</v>
      </c>
      <c r="C351" s="256" t="s">
        <v>141</v>
      </c>
      <c r="D351" s="256"/>
      <c r="E351" s="230" t="s">
        <v>142</v>
      </c>
      <c r="F351" s="229"/>
      <c r="G351" s="228"/>
      <c r="H351" s="228"/>
      <c r="I351" s="228"/>
      <c r="J351" s="228"/>
      <c r="K351" s="228">
        <f t="shared" si="38"/>
        <v>0</v>
      </c>
      <c r="L351" s="228">
        <f t="shared" si="39"/>
        <v>0</v>
      </c>
      <c r="M351" s="228">
        <v>485.7</v>
      </c>
      <c r="N351" s="228">
        <f>+M351*1000/(126.5*4*15*60)*T351</f>
        <v>4.2661396574440049</v>
      </c>
      <c r="O351" s="228"/>
      <c r="P351" s="228">
        <f t="shared" si="40"/>
        <v>0</v>
      </c>
      <c r="Q351" s="228"/>
      <c r="R351" s="19">
        <f t="shared" si="41"/>
        <v>0</v>
      </c>
      <c r="S351" s="228">
        <f t="shared" si="42"/>
        <v>0</v>
      </c>
      <c r="T351" s="20">
        <v>4</v>
      </c>
      <c r="U351" s="20"/>
      <c r="V351" s="23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26">
        <v>300336</v>
      </c>
      <c r="B352" s="223" t="s">
        <v>118</v>
      </c>
      <c r="C352" s="256" t="s">
        <v>143</v>
      </c>
      <c r="D352" s="256"/>
      <c r="E352" s="230" t="s">
        <v>84</v>
      </c>
      <c r="F352" s="229"/>
      <c r="G352" s="228"/>
      <c r="H352" s="228"/>
      <c r="I352" s="228"/>
      <c r="J352" s="228"/>
      <c r="K352" s="228">
        <f t="shared" si="38"/>
        <v>0</v>
      </c>
      <c r="L352" s="228">
        <f t="shared" si="39"/>
        <v>0</v>
      </c>
      <c r="M352" s="228">
        <v>411.4</v>
      </c>
      <c r="N352" s="228">
        <f>+M352*1000/(104.2*4*16*60)*T352</f>
        <v>2.0563419705694179</v>
      </c>
      <c r="O352" s="228"/>
      <c r="P352" s="228">
        <f t="shared" si="40"/>
        <v>0</v>
      </c>
      <c r="Q352" s="228"/>
      <c r="R352" s="19">
        <f t="shared" si="41"/>
        <v>0</v>
      </c>
      <c r="S352" s="228">
        <f t="shared" si="42"/>
        <v>0</v>
      </c>
      <c r="T352" s="20">
        <v>2</v>
      </c>
      <c r="U352" s="20"/>
      <c r="V352" s="23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26">
        <v>300337</v>
      </c>
      <c r="B353" s="223" t="s">
        <v>118</v>
      </c>
      <c r="C353" s="256" t="s">
        <v>143</v>
      </c>
      <c r="D353" s="256"/>
      <c r="E353" s="230" t="s">
        <v>49</v>
      </c>
      <c r="F353" s="229"/>
      <c r="G353" s="228"/>
      <c r="H353" s="228"/>
      <c r="I353" s="228"/>
      <c r="J353" s="228"/>
      <c r="K353" s="228">
        <f t="shared" si="38"/>
        <v>0</v>
      </c>
      <c r="L353" s="228">
        <f t="shared" si="39"/>
        <v>0</v>
      </c>
      <c r="M353" s="228">
        <v>411.4</v>
      </c>
      <c r="N353" s="228">
        <f>+M353*1000/(104.2*4*16*60)*T353</f>
        <v>2.0563419705694179</v>
      </c>
      <c r="O353" s="228"/>
      <c r="P353" s="228">
        <f t="shared" si="40"/>
        <v>0</v>
      </c>
      <c r="Q353" s="228"/>
      <c r="R353" s="19">
        <f t="shared" si="41"/>
        <v>0</v>
      </c>
      <c r="S353" s="228">
        <f t="shared" si="42"/>
        <v>0</v>
      </c>
      <c r="T353" s="20">
        <v>2</v>
      </c>
      <c r="U353" s="20"/>
      <c r="V353" s="235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26">
        <v>300338</v>
      </c>
      <c r="B354" s="223" t="s">
        <v>118</v>
      </c>
      <c r="C354" s="256" t="s">
        <v>143</v>
      </c>
      <c r="D354" s="256"/>
      <c r="E354" s="230" t="s">
        <v>85</v>
      </c>
      <c r="F354" s="229"/>
      <c r="G354" s="228"/>
      <c r="H354" s="228"/>
      <c r="I354" s="228"/>
      <c r="J354" s="228"/>
      <c r="K354" s="228">
        <f t="shared" si="38"/>
        <v>0</v>
      </c>
      <c r="L354" s="228">
        <f t="shared" si="39"/>
        <v>0</v>
      </c>
      <c r="M354" s="228">
        <v>411.4</v>
      </c>
      <c r="N354" s="228">
        <f>+M354*1000/(104.2*4*16*60)*T354</f>
        <v>2.0563419705694179</v>
      </c>
      <c r="O354" s="228"/>
      <c r="P354" s="228">
        <f t="shared" si="40"/>
        <v>0</v>
      </c>
      <c r="Q354" s="228"/>
      <c r="R354" s="19">
        <f t="shared" si="41"/>
        <v>0</v>
      </c>
      <c r="S354" s="228">
        <f t="shared" si="42"/>
        <v>0</v>
      </c>
      <c r="T354" s="20">
        <v>2</v>
      </c>
      <c r="U354" s="20"/>
      <c r="V354" s="235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26">
        <v>300309</v>
      </c>
      <c r="B355" s="223">
        <v>6504</v>
      </c>
      <c r="C355" s="256" t="s">
        <v>145</v>
      </c>
      <c r="D355" s="256"/>
      <c r="E355" s="230" t="s">
        <v>47</v>
      </c>
      <c r="F355" s="229"/>
      <c r="G355" s="228"/>
      <c r="H355" s="228"/>
      <c r="I355" s="228"/>
      <c r="J355" s="228"/>
      <c r="K355" s="228">
        <f t="shared" si="38"/>
        <v>0</v>
      </c>
      <c r="L355" s="228">
        <f t="shared" si="39"/>
        <v>0</v>
      </c>
      <c r="M355" s="228">
        <v>316.88</v>
      </c>
      <c r="N355" s="228">
        <f>+M355*1000/(75.2*4*16*60)*T355</f>
        <v>6.5841090425531918</v>
      </c>
      <c r="O355" s="228"/>
      <c r="P355" s="228">
        <f t="shared" si="40"/>
        <v>0</v>
      </c>
      <c r="Q355" s="228"/>
      <c r="R355" s="19">
        <f t="shared" si="41"/>
        <v>0</v>
      </c>
      <c r="S355" s="228">
        <f t="shared" si="42"/>
        <v>0</v>
      </c>
      <c r="T355" s="20">
        <v>6</v>
      </c>
      <c r="U355" s="20"/>
      <c r="V355" s="23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26">
        <v>300310</v>
      </c>
      <c r="B356" s="223">
        <v>6504</v>
      </c>
      <c r="C356" s="256" t="s">
        <v>145</v>
      </c>
      <c r="D356" s="256"/>
      <c r="E356" s="230" t="s">
        <v>146</v>
      </c>
      <c r="F356" s="229"/>
      <c r="G356" s="228"/>
      <c r="H356" s="228"/>
      <c r="I356" s="228"/>
      <c r="J356" s="228"/>
      <c r="K356" s="228">
        <f t="shared" si="38"/>
        <v>0</v>
      </c>
      <c r="L356" s="228">
        <f t="shared" si="39"/>
        <v>0</v>
      </c>
      <c r="M356" s="228">
        <v>316.88</v>
      </c>
      <c r="N356" s="228">
        <f>+M356*1000/(75.2*4*16*60)*T356</f>
        <v>6.5841090425531918</v>
      </c>
      <c r="O356" s="228"/>
      <c r="P356" s="228">
        <f t="shared" si="40"/>
        <v>0</v>
      </c>
      <c r="Q356" s="228"/>
      <c r="R356" s="19">
        <f t="shared" si="41"/>
        <v>0</v>
      </c>
      <c r="S356" s="228">
        <f t="shared" si="42"/>
        <v>0</v>
      </c>
      <c r="T356" s="20">
        <v>6</v>
      </c>
      <c r="U356" s="20"/>
      <c r="V356" s="23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26">
        <v>300312</v>
      </c>
      <c r="B357" s="223">
        <v>6504</v>
      </c>
      <c r="C357" s="256" t="s">
        <v>145</v>
      </c>
      <c r="D357" s="256"/>
      <c r="E357" s="230" t="s">
        <v>147</v>
      </c>
      <c r="F357" s="229"/>
      <c r="G357" s="228"/>
      <c r="H357" s="228"/>
      <c r="I357" s="228"/>
      <c r="J357" s="228"/>
      <c r="K357" s="228">
        <f t="shared" si="38"/>
        <v>0</v>
      </c>
      <c r="L357" s="228">
        <f t="shared" si="39"/>
        <v>0</v>
      </c>
      <c r="M357" s="228">
        <v>316.88</v>
      </c>
      <c r="N357" s="228">
        <f>+M357*1000/(75.2*4*16*60)*T357</f>
        <v>6.5841090425531918</v>
      </c>
      <c r="O357" s="228"/>
      <c r="P357" s="228">
        <f t="shared" si="40"/>
        <v>0</v>
      </c>
      <c r="Q357" s="228"/>
      <c r="R357" s="19">
        <f t="shared" si="41"/>
        <v>0</v>
      </c>
      <c r="S357" s="228">
        <f t="shared" si="42"/>
        <v>0</v>
      </c>
      <c r="T357" s="20">
        <v>6</v>
      </c>
      <c r="U357" s="20"/>
      <c r="V357" s="23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26">
        <v>300311</v>
      </c>
      <c r="B358" s="223">
        <v>6504</v>
      </c>
      <c r="C358" s="256" t="s">
        <v>145</v>
      </c>
      <c r="D358" s="256"/>
      <c r="E358" s="230" t="s">
        <v>74</v>
      </c>
      <c r="F358" s="229"/>
      <c r="G358" s="228"/>
      <c r="H358" s="228"/>
      <c r="I358" s="228"/>
      <c r="J358" s="228"/>
      <c r="K358" s="228">
        <f t="shared" si="38"/>
        <v>0</v>
      </c>
      <c r="L358" s="228">
        <f t="shared" si="39"/>
        <v>0</v>
      </c>
      <c r="M358" s="228">
        <v>316.88</v>
      </c>
      <c r="N358" s="228">
        <f>+M358*1000/(75.2*4*16*60)*T358</f>
        <v>6.5841090425531918</v>
      </c>
      <c r="O358" s="228"/>
      <c r="P358" s="228">
        <f t="shared" si="40"/>
        <v>0</v>
      </c>
      <c r="Q358" s="228"/>
      <c r="R358" s="19">
        <f t="shared" si="41"/>
        <v>0</v>
      </c>
      <c r="S358" s="228">
        <f t="shared" si="42"/>
        <v>0</v>
      </c>
      <c r="T358" s="20">
        <v>6</v>
      </c>
      <c r="U358" s="20"/>
      <c r="V358" s="23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26">
        <v>300399</v>
      </c>
      <c r="B359" s="223">
        <v>18501</v>
      </c>
      <c r="C359" s="267" t="s">
        <v>148</v>
      </c>
      <c r="D359" s="268"/>
      <c r="E359" s="230" t="s">
        <v>41</v>
      </c>
      <c r="F359" s="229"/>
      <c r="G359" s="228"/>
      <c r="H359" s="228"/>
      <c r="I359" s="228"/>
      <c r="J359" s="228"/>
      <c r="K359" s="228">
        <f t="shared" si="38"/>
        <v>0</v>
      </c>
      <c r="L359" s="228">
        <f t="shared" si="39"/>
        <v>0</v>
      </c>
      <c r="M359" s="228">
        <v>311.2</v>
      </c>
      <c r="N359" s="228">
        <f>+M359*1000/(100*4*16*60)*T359</f>
        <v>4.8624999999999998</v>
      </c>
      <c r="O359" s="228"/>
      <c r="P359" s="228">
        <f t="shared" si="40"/>
        <v>0</v>
      </c>
      <c r="Q359" s="228"/>
      <c r="R359" s="19">
        <f t="shared" si="41"/>
        <v>0</v>
      </c>
      <c r="S359" s="228">
        <f t="shared" si="42"/>
        <v>0</v>
      </c>
      <c r="T359" s="20">
        <v>6</v>
      </c>
      <c r="U359" s="20"/>
      <c r="V359" s="235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26">
        <v>300400</v>
      </c>
      <c r="B360" s="223">
        <v>18501</v>
      </c>
      <c r="C360" s="267" t="s">
        <v>148</v>
      </c>
      <c r="D360" s="268"/>
      <c r="E360" s="230" t="s">
        <v>66</v>
      </c>
      <c r="F360" s="229"/>
      <c r="G360" s="228"/>
      <c r="H360" s="228"/>
      <c r="I360" s="228"/>
      <c r="J360" s="228"/>
      <c r="K360" s="228">
        <f t="shared" si="38"/>
        <v>0</v>
      </c>
      <c r="L360" s="228">
        <f t="shared" si="39"/>
        <v>0</v>
      </c>
      <c r="M360" s="228">
        <v>311.2</v>
      </c>
      <c r="N360" s="228">
        <f>+M360*1000/(100*4*16*60)*T360</f>
        <v>4.8624999999999998</v>
      </c>
      <c r="O360" s="228"/>
      <c r="P360" s="228">
        <f t="shared" si="40"/>
        <v>0</v>
      </c>
      <c r="Q360" s="228"/>
      <c r="R360" s="19">
        <f t="shared" si="41"/>
        <v>0</v>
      </c>
      <c r="S360" s="228">
        <f t="shared" si="42"/>
        <v>0</v>
      </c>
      <c r="T360" s="20">
        <v>6</v>
      </c>
      <c r="U360" s="20"/>
      <c r="V360" s="235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26">
        <v>300401</v>
      </c>
      <c r="B361" s="223">
        <v>18501</v>
      </c>
      <c r="C361" s="267" t="s">
        <v>148</v>
      </c>
      <c r="D361" s="268"/>
      <c r="E361" s="230" t="s">
        <v>149</v>
      </c>
      <c r="F361" s="229"/>
      <c r="G361" s="228"/>
      <c r="H361" s="228"/>
      <c r="I361" s="228"/>
      <c r="J361" s="228"/>
      <c r="K361" s="228">
        <f t="shared" si="38"/>
        <v>0</v>
      </c>
      <c r="L361" s="228">
        <f t="shared" si="39"/>
        <v>0</v>
      </c>
      <c r="M361" s="228">
        <v>311.2</v>
      </c>
      <c r="N361" s="228">
        <f>+M361*1000/(100*4*16*60)*T361</f>
        <v>4.8624999999999998</v>
      </c>
      <c r="O361" s="228"/>
      <c r="P361" s="228">
        <f t="shared" si="40"/>
        <v>0</v>
      </c>
      <c r="Q361" s="228"/>
      <c r="R361" s="19">
        <f t="shared" si="41"/>
        <v>0</v>
      </c>
      <c r="S361" s="228">
        <f t="shared" si="42"/>
        <v>0</v>
      </c>
      <c r="T361" s="20">
        <v>6</v>
      </c>
      <c r="U361" s="20"/>
      <c r="V361" s="235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26">
        <v>300402</v>
      </c>
      <c r="B362" s="223">
        <v>18501</v>
      </c>
      <c r="C362" s="267" t="s">
        <v>150</v>
      </c>
      <c r="D362" s="268"/>
      <c r="E362" s="230" t="s">
        <v>151</v>
      </c>
      <c r="F362" s="229"/>
      <c r="G362" s="228"/>
      <c r="H362" s="228"/>
      <c r="I362" s="228"/>
      <c r="J362" s="228"/>
      <c r="K362" s="228">
        <f t="shared" si="38"/>
        <v>0</v>
      </c>
      <c r="L362" s="228">
        <f t="shared" si="39"/>
        <v>0</v>
      </c>
      <c r="M362" s="228">
        <v>465.3</v>
      </c>
      <c r="N362" s="228">
        <f>+M362*1000/(137*4*16*60)*T362</f>
        <v>5.3067974452554747</v>
      </c>
      <c r="O362" s="228"/>
      <c r="P362" s="228">
        <f t="shared" si="40"/>
        <v>0</v>
      </c>
      <c r="Q362" s="228"/>
      <c r="R362" s="19">
        <f t="shared" si="41"/>
        <v>0</v>
      </c>
      <c r="S362" s="228">
        <f t="shared" si="42"/>
        <v>0</v>
      </c>
      <c r="T362" s="20">
        <v>6</v>
      </c>
      <c r="U362" s="20"/>
      <c r="V362" s="235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26">
        <v>300403</v>
      </c>
      <c r="B363" s="223">
        <v>18501</v>
      </c>
      <c r="C363" s="267" t="s">
        <v>150</v>
      </c>
      <c r="D363" s="268"/>
      <c r="E363" s="230" t="s">
        <v>152</v>
      </c>
      <c r="F363" s="229"/>
      <c r="G363" s="228"/>
      <c r="H363" s="228"/>
      <c r="I363" s="228"/>
      <c r="J363" s="228"/>
      <c r="K363" s="228">
        <f t="shared" ref="K363:K399" si="46">G363*M363</f>
        <v>0</v>
      </c>
      <c r="L363" s="228">
        <f t="shared" ref="L363:L399" si="47">I363*M363</f>
        <v>0</v>
      </c>
      <c r="M363" s="228">
        <v>465.3</v>
      </c>
      <c r="N363" s="228">
        <f>+M363*1000/(137*4*16*60)*T363</f>
        <v>5.3067974452554747</v>
      </c>
      <c r="O363" s="228"/>
      <c r="P363" s="228">
        <f t="shared" ref="P363:P399" si="48">N363*I363+O363*U363</f>
        <v>0</v>
      </c>
      <c r="Q363" s="228"/>
      <c r="R363" s="19">
        <f t="shared" ref="R363:R399" si="49">Q363*U363</f>
        <v>0</v>
      </c>
      <c r="S363" s="228">
        <f t="shared" ref="S363:S399" si="50">R363-P363</f>
        <v>0</v>
      </c>
      <c r="T363" s="20">
        <v>6</v>
      </c>
      <c r="U363" s="20"/>
      <c r="V363" s="235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26">
        <v>300404</v>
      </c>
      <c r="B364" s="223">
        <v>18501</v>
      </c>
      <c r="C364" s="267" t="s">
        <v>150</v>
      </c>
      <c r="D364" s="268"/>
      <c r="E364" s="230" t="s">
        <v>70</v>
      </c>
      <c r="F364" s="229"/>
      <c r="G364" s="228"/>
      <c r="H364" s="228"/>
      <c r="I364" s="228"/>
      <c r="J364" s="228"/>
      <c r="K364" s="228">
        <f t="shared" si="46"/>
        <v>0</v>
      </c>
      <c r="L364" s="228">
        <f t="shared" si="47"/>
        <v>0</v>
      </c>
      <c r="M364" s="228">
        <v>465.3</v>
      </c>
      <c r="N364" s="228">
        <f>+M364*1000/(137*4*16*60)*T364</f>
        <v>5.3067974452554747</v>
      </c>
      <c r="O364" s="228"/>
      <c r="P364" s="228">
        <f t="shared" si="48"/>
        <v>0</v>
      </c>
      <c r="Q364" s="228"/>
      <c r="R364" s="19">
        <f t="shared" si="49"/>
        <v>0</v>
      </c>
      <c r="S364" s="228">
        <f t="shared" si="50"/>
        <v>0</v>
      </c>
      <c r="T364" s="20">
        <v>6</v>
      </c>
      <c r="U364" s="20"/>
      <c r="V364" s="235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26">
        <v>300405</v>
      </c>
      <c r="B365" s="223">
        <v>18501</v>
      </c>
      <c r="C365" s="267" t="s">
        <v>150</v>
      </c>
      <c r="D365" s="268"/>
      <c r="E365" s="230" t="s">
        <v>35</v>
      </c>
      <c r="F365" s="229"/>
      <c r="G365" s="228"/>
      <c r="H365" s="228"/>
      <c r="I365" s="228"/>
      <c r="J365" s="228"/>
      <c r="K365" s="228">
        <f t="shared" si="46"/>
        <v>0</v>
      </c>
      <c r="L365" s="228">
        <f t="shared" si="47"/>
        <v>0</v>
      </c>
      <c r="M365" s="228">
        <v>465.3</v>
      </c>
      <c r="N365" s="228">
        <f>+M365*1000/(137*4*16*60)*T365</f>
        <v>5.3067974452554747</v>
      </c>
      <c r="O365" s="228"/>
      <c r="P365" s="228">
        <f t="shared" si="48"/>
        <v>0</v>
      </c>
      <c r="Q365" s="228"/>
      <c r="R365" s="19">
        <f t="shared" si="49"/>
        <v>0</v>
      </c>
      <c r="S365" s="228">
        <f t="shared" si="50"/>
        <v>0</v>
      </c>
      <c r="T365" s="20">
        <v>6</v>
      </c>
      <c r="U365" s="20"/>
      <c r="V365" s="235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26">
        <v>300372</v>
      </c>
      <c r="B366" s="223">
        <v>18501</v>
      </c>
      <c r="C366" s="267" t="s">
        <v>153</v>
      </c>
      <c r="D366" s="268"/>
      <c r="E366" s="230" t="s">
        <v>47</v>
      </c>
      <c r="F366" s="229"/>
      <c r="G366" s="228"/>
      <c r="H366" s="228"/>
      <c r="I366" s="228"/>
      <c r="J366" s="228"/>
      <c r="K366" s="228">
        <f t="shared" si="46"/>
        <v>0</v>
      </c>
      <c r="L366" s="228">
        <f t="shared" si="47"/>
        <v>0</v>
      </c>
      <c r="M366" s="228">
        <v>420.58</v>
      </c>
      <c r="N366" s="228">
        <f>+M366*1000/(140*4*16*60)*T366</f>
        <v>4.6939732142857142</v>
      </c>
      <c r="O366" s="228"/>
      <c r="P366" s="228">
        <f t="shared" si="48"/>
        <v>0</v>
      </c>
      <c r="Q366" s="228"/>
      <c r="R366" s="19">
        <f t="shared" si="49"/>
        <v>0</v>
      </c>
      <c r="S366" s="228">
        <f t="shared" si="50"/>
        <v>0</v>
      </c>
      <c r="T366" s="20">
        <v>6</v>
      </c>
      <c r="U366" s="20"/>
      <c r="V366" s="235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26">
        <v>300373</v>
      </c>
      <c r="B367" s="223">
        <v>18501</v>
      </c>
      <c r="C367" s="267" t="s">
        <v>153</v>
      </c>
      <c r="D367" s="268"/>
      <c r="E367" s="230" t="s">
        <v>146</v>
      </c>
      <c r="F367" s="229"/>
      <c r="G367" s="228"/>
      <c r="H367" s="228"/>
      <c r="I367" s="228"/>
      <c r="J367" s="228"/>
      <c r="K367" s="228">
        <f t="shared" si="46"/>
        <v>0</v>
      </c>
      <c r="L367" s="228">
        <f t="shared" si="47"/>
        <v>0</v>
      </c>
      <c r="M367" s="228">
        <v>420.58</v>
      </c>
      <c r="N367" s="228">
        <f>+M367*1000/(140*4*16*60)*T367</f>
        <v>4.6939732142857142</v>
      </c>
      <c r="O367" s="228"/>
      <c r="P367" s="228">
        <f t="shared" si="48"/>
        <v>0</v>
      </c>
      <c r="Q367" s="228"/>
      <c r="R367" s="19">
        <f t="shared" si="49"/>
        <v>0</v>
      </c>
      <c r="S367" s="228">
        <f t="shared" si="50"/>
        <v>0</v>
      </c>
      <c r="T367" s="20">
        <v>6</v>
      </c>
      <c r="U367" s="20"/>
      <c r="V367" s="235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26">
        <v>300374</v>
      </c>
      <c r="B368" s="223">
        <v>18501</v>
      </c>
      <c r="C368" s="267" t="s">
        <v>153</v>
      </c>
      <c r="D368" s="268"/>
      <c r="E368" s="230" t="s">
        <v>147</v>
      </c>
      <c r="F368" s="229"/>
      <c r="G368" s="228"/>
      <c r="H368" s="228"/>
      <c r="I368" s="228"/>
      <c r="J368" s="228"/>
      <c r="K368" s="228">
        <f t="shared" si="46"/>
        <v>0</v>
      </c>
      <c r="L368" s="228">
        <f t="shared" si="47"/>
        <v>0</v>
      </c>
      <c r="M368" s="228">
        <v>420.58</v>
      </c>
      <c r="N368" s="228">
        <f>+M368*1000/(140*4*16*60)*T368</f>
        <v>4.6939732142857142</v>
      </c>
      <c r="O368" s="228"/>
      <c r="P368" s="228">
        <f t="shared" si="48"/>
        <v>0</v>
      </c>
      <c r="Q368" s="228"/>
      <c r="R368" s="19">
        <f t="shared" si="49"/>
        <v>0</v>
      </c>
      <c r="S368" s="228">
        <f t="shared" si="50"/>
        <v>0</v>
      </c>
      <c r="T368" s="20">
        <v>6</v>
      </c>
      <c r="U368" s="20"/>
      <c r="V368" s="235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26">
        <v>300375</v>
      </c>
      <c r="B369" s="223">
        <v>18501</v>
      </c>
      <c r="C369" s="267" t="s">
        <v>153</v>
      </c>
      <c r="D369" s="268"/>
      <c r="E369" s="230" t="s">
        <v>74</v>
      </c>
      <c r="F369" s="229"/>
      <c r="G369" s="228"/>
      <c r="H369" s="228"/>
      <c r="I369" s="228"/>
      <c r="J369" s="228"/>
      <c r="K369" s="228">
        <f t="shared" si="46"/>
        <v>0</v>
      </c>
      <c r="L369" s="228">
        <f t="shared" si="47"/>
        <v>0</v>
      </c>
      <c r="M369" s="228">
        <v>420.58</v>
      </c>
      <c r="N369" s="228">
        <f>+M369*1000/(140*4*16*60)*T369</f>
        <v>4.6939732142857142</v>
      </c>
      <c r="O369" s="228"/>
      <c r="P369" s="228">
        <f t="shared" si="48"/>
        <v>0</v>
      </c>
      <c r="Q369" s="228"/>
      <c r="R369" s="19">
        <f t="shared" si="49"/>
        <v>0</v>
      </c>
      <c r="S369" s="228">
        <f t="shared" si="50"/>
        <v>0</v>
      </c>
      <c r="T369" s="20">
        <v>6</v>
      </c>
      <c r="U369" s="20"/>
      <c r="V369" s="235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26">
        <v>300341</v>
      </c>
      <c r="B370" s="223">
        <v>18501</v>
      </c>
      <c r="C370" s="274" t="s">
        <v>154</v>
      </c>
      <c r="D370" s="275"/>
      <c r="E370" s="230" t="s">
        <v>39</v>
      </c>
      <c r="F370" s="229"/>
      <c r="G370" s="228"/>
      <c r="H370" s="228"/>
      <c r="I370" s="228"/>
      <c r="J370" s="228"/>
      <c r="K370" s="228">
        <f t="shared" si="46"/>
        <v>0</v>
      </c>
      <c r="L370" s="228">
        <f t="shared" si="47"/>
        <v>0</v>
      </c>
      <c r="M370" s="228">
        <v>439.3</v>
      </c>
      <c r="N370" s="228">
        <f>+M370*1000/(169.7*4*13*60)*T370</f>
        <v>4.1485351223123761</v>
      </c>
      <c r="O370" s="228"/>
      <c r="P370" s="228">
        <f t="shared" si="48"/>
        <v>0</v>
      </c>
      <c r="Q370" s="228"/>
      <c r="R370" s="19">
        <f t="shared" si="49"/>
        <v>0</v>
      </c>
      <c r="S370" s="228">
        <f t="shared" si="50"/>
        <v>0</v>
      </c>
      <c r="T370" s="20">
        <v>5</v>
      </c>
      <c r="U370" s="20"/>
      <c r="V370" s="235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26">
        <v>300342</v>
      </c>
      <c r="B371" s="223">
        <v>18501</v>
      </c>
      <c r="C371" s="274" t="s">
        <v>154</v>
      </c>
      <c r="D371" s="275"/>
      <c r="E371" s="230" t="s">
        <v>80</v>
      </c>
      <c r="F371" s="229"/>
      <c r="G371" s="228"/>
      <c r="H371" s="228"/>
      <c r="I371" s="228"/>
      <c r="J371" s="228"/>
      <c r="K371" s="228">
        <f t="shared" si="46"/>
        <v>0</v>
      </c>
      <c r="L371" s="228">
        <f t="shared" si="47"/>
        <v>0</v>
      </c>
      <c r="M371" s="228">
        <v>439.3</v>
      </c>
      <c r="N371" s="228">
        <f t="shared" ref="N371:N376" si="51">+M371*1000/(169.7*4*13*60)*T371</f>
        <v>4.1485351223123761</v>
      </c>
      <c r="O371" s="228"/>
      <c r="P371" s="228">
        <f t="shared" si="48"/>
        <v>0</v>
      </c>
      <c r="Q371" s="228"/>
      <c r="R371" s="19">
        <f t="shared" si="49"/>
        <v>0</v>
      </c>
      <c r="S371" s="228">
        <f t="shared" si="50"/>
        <v>0</v>
      </c>
      <c r="T371" s="20">
        <v>5</v>
      </c>
      <c r="U371" s="20"/>
      <c r="V371" s="235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26">
        <v>300343</v>
      </c>
      <c r="B372" s="223">
        <v>18501</v>
      </c>
      <c r="C372" s="274" t="s">
        <v>154</v>
      </c>
      <c r="D372" s="275"/>
      <c r="E372" s="230" t="s">
        <v>35</v>
      </c>
      <c r="F372" s="229"/>
      <c r="G372" s="228"/>
      <c r="H372" s="228"/>
      <c r="I372" s="228"/>
      <c r="J372" s="228"/>
      <c r="K372" s="228">
        <f t="shared" si="46"/>
        <v>0</v>
      </c>
      <c r="L372" s="228">
        <f t="shared" si="47"/>
        <v>0</v>
      </c>
      <c r="M372" s="228">
        <v>455.4</v>
      </c>
      <c r="N372" s="228">
        <f t="shared" si="51"/>
        <v>4.3005756765332483</v>
      </c>
      <c r="O372" s="228"/>
      <c r="P372" s="228">
        <f t="shared" si="48"/>
        <v>0</v>
      </c>
      <c r="Q372" s="228"/>
      <c r="R372" s="19">
        <f t="shared" si="49"/>
        <v>0</v>
      </c>
      <c r="S372" s="228">
        <f t="shared" si="50"/>
        <v>0</v>
      </c>
      <c r="T372" s="20">
        <v>5</v>
      </c>
      <c r="U372" s="20"/>
      <c r="V372" s="235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26">
        <v>300344</v>
      </c>
      <c r="B373" s="223">
        <v>18501</v>
      </c>
      <c r="C373" s="274" t="s">
        <v>154</v>
      </c>
      <c r="D373" s="275"/>
      <c r="E373" s="230" t="s">
        <v>40</v>
      </c>
      <c r="F373" s="229"/>
      <c r="G373" s="228"/>
      <c r="H373" s="228"/>
      <c r="I373" s="228"/>
      <c r="J373" s="228"/>
      <c r="K373" s="228">
        <f t="shared" si="46"/>
        <v>0</v>
      </c>
      <c r="L373" s="228">
        <f t="shared" si="47"/>
        <v>0</v>
      </c>
      <c r="M373" s="228">
        <v>455.4</v>
      </c>
      <c r="N373" s="228">
        <f t="shared" si="51"/>
        <v>4.3005756765332483</v>
      </c>
      <c r="O373" s="228"/>
      <c r="P373" s="228">
        <f t="shared" si="48"/>
        <v>0</v>
      </c>
      <c r="Q373" s="228"/>
      <c r="R373" s="19">
        <f t="shared" si="49"/>
        <v>0</v>
      </c>
      <c r="S373" s="228">
        <f t="shared" si="50"/>
        <v>0</v>
      </c>
      <c r="T373" s="20">
        <v>5</v>
      </c>
      <c r="U373" s="20"/>
      <c r="V373" s="235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26">
        <v>300396</v>
      </c>
      <c r="B374" s="223">
        <v>18501</v>
      </c>
      <c r="C374" s="274" t="s">
        <v>155</v>
      </c>
      <c r="D374" s="275"/>
      <c r="E374" s="230" t="s">
        <v>41</v>
      </c>
      <c r="F374" s="229"/>
      <c r="G374" s="228"/>
      <c r="H374" s="228"/>
      <c r="I374" s="228"/>
      <c r="J374" s="228"/>
      <c r="K374" s="228">
        <f t="shared" si="46"/>
        <v>0</v>
      </c>
      <c r="L374" s="228">
        <f t="shared" si="47"/>
        <v>0</v>
      </c>
      <c r="M374" s="228">
        <v>417.1</v>
      </c>
      <c r="N374" s="228">
        <f t="shared" si="51"/>
        <v>3.9388891407158937</v>
      </c>
      <c r="O374" s="228"/>
      <c r="P374" s="228">
        <f t="shared" si="48"/>
        <v>0</v>
      </c>
      <c r="Q374" s="228"/>
      <c r="R374" s="19">
        <f t="shared" si="49"/>
        <v>0</v>
      </c>
      <c r="S374" s="228">
        <f t="shared" si="50"/>
        <v>0</v>
      </c>
      <c r="T374" s="20">
        <v>5</v>
      </c>
      <c r="U374" s="20"/>
      <c r="V374" s="235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26">
        <v>300397</v>
      </c>
      <c r="B375" s="223">
        <v>18501</v>
      </c>
      <c r="C375" s="274" t="s">
        <v>155</v>
      </c>
      <c r="D375" s="275"/>
      <c r="E375" s="230" t="s">
        <v>66</v>
      </c>
      <c r="F375" s="229"/>
      <c r="G375" s="228"/>
      <c r="H375" s="228"/>
      <c r="I375" s="228"/>
      <c r="J375" s="228"/>
      <c r="K375" s="228">
        <f t="shared" si="46"/>
        <v>0</v>
      </c>
      <c r="L375" s="228">
        <f t="shared" si="47"/>
        <v>0</v>
      </c>
      <c r="M375" s="228">
        <v>417.1</v>
      </c>
      <c r="N375" s="228">
        <f t="shared" si="51"/>
        <v>3.9388891407158937</v>
      </c>
      <c r="O375" s="228"/>
      <c r="P375" s="228">
        <f t="shared" si="48"/>
        <v>0</v>
      </c>
      <c r="Q375" s="228"/>
      <c r="R375" s="19">
        <f t="shared" si="49"/>
        <v>0</v>
      </c>
      <c r="S375" s="228">
        <f t="shared" si="50"/>
        <v>0</v>
      </c>
      <c r="T375" s="20">
        <v>5</v>
      </c>
      <c r="U375" s="20"/>
      <c r="V375" s="235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26">
        <v>300398</v>
      </c>
      <c r="B376" s="223">
        <v>18501</v>
      </c>
      <c r="C376" s="274" t="s">
        <v>155</v>
      </c>
      <c r="D376" s="275"/>
      <c r="E376" s="230" t="s">
        <v>149</v>
      </c>
      <c r="F376" s="229"/>
      <c r="G376" s="228"/>
      <c r="H376" s="228"/>
      <c r="I376" s="228"/>
      <c r="J376" s="228"/>
      <c r="K376" s="228">
        <f t="shared" si="46"/>
        <v>0</v>
      </c>
      <c r="L376" s="228">
        <f t="shared" si="47"/>
        <v>0</v>
      </c>
      <c r="M376" s="228">
        <v>417.1</v>
      </c>
      <c r="N376" s="228">
        <f t="shared" si="51"/>
        <v>3.9388891407158937</v>
      </c>
      <c r="O376" s="228"/>
      <c r="P376" s="228">
        <f t="shared" si="48"/>
        <v>0</v>
      </c>
      <c r="Q376" s="228"/>
      <c r="R376" s="19">
        <f t="shared" si="49"/>
        <v>0</v>
      </c>
      <c r="S376" s="228">
        <f t="shared" si="50"/>
        <v>0</v>
      </c>
      <c r="T376" s="20">
        <v>5</v>
      </c>
      <c r="U376" s="20"/>
      <c r="V376" s="235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26">
        <v>300271</v>
      </c>
      <c r="B377" s="223">
        <v>18501</v>
      </c>
      <c r="C377" s="256" t="s">
        <v>156</v>
      </c>
      <c r="D377" s="256"/>
      <c r="E377" s="230" t="s">
        <v>142</v>
      </c>
      <c r="F377" s="229"/>
      <c r="G377" s="228"/>
      <c r="H377" s="228"/>
      <c r="I377" s="228"/>
      <c r="J377" s="228"/>
      <c r="K377" s="228">
        <f t="shared" si="46"/>
        <v>0</v>
      </c>
      <c r="L377" s="228">
        <f t="shared" si="47"/>
        <v>0</v>
      </c>
      <c r="M377" s="228">
        <v>580.1</v>
      </c>
      <c r="N377" s="228">
        <f>+M377*1000/(188*4*13*60)*T377</f>
        <v>4.9449331696672125</v>
      </c>
      <c r="O377" s="228"/>
      <c r="P377" s="228">
        <f t="shared" si="48"/>
        <v>0</v>
      </c>
      <c r="Q377" s="228"/>
      <c r="R377" s="19">
        <f t="shared" si="49"/>
        <v>0</v>
      </c>
      <c r="S377" s="228">
        <f t="shared" si="50"/>
        <v>0</v>
      </c>
      <c r="T377" s="20">
        <v>5</v>
      </c>
      <c r="U377" s="20"/>
      <c r="V377" s="23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26">
        <v>300009</v>
      </c>
      <c r="B378" s="223">
        <v>18502</v>
      </c>
      <c r="C378" s="256" t="s">
        <v>157</v>
      </c>
      <c r="D378" s="256" t="s">
        <v>158</v>
      </c>
      <c r="E378" s="230" t="s">
        <v>135</v>
      </c>
      <c r="F378" s="229">
        <v>1572</v>
      </c>
      <c r="G378" s="228">
        <v>8</v>
      </c>
      <c r="H378" s="228"/>
      <c r="I378" s="228">
        <v>8</v>
      </c>
      <c r="J378" s="228"/>
      <c r="K378" s="228">
        <f t="shared" si="46"/>
        <v>4166.3999999999996</v>
      </c>
      <c r="L378" s="228">
        <f t="shared" si="47"/>
        <v>4166.3999999999996</v>
      </c>
      <c r="M378" s="228">
        <v>520.79999999999995</v>
      </c>
      <c r="N378" s="228">
        <f>+M378*1000/(188*4*13*60)*T378</f>
        <v>4.4394435351882153</v>
      </c>
      <c r="O378" s="228"/>
      <c r="P378" s="228">
        <f t="shared" si="48"/>
        <v>35.515548281505723</v>
      </c>
      <c r="Q378" s="228">
        <v>7</v>
      </c>
      <c r="R378" s="19">
        <f t="shared" si="49"/>
        <v>56</v>
      </c>
      <c r="S378" s="228">
        <f t="shared" si="50"/>
        <v>20.484451718494277</v>
      </c>
      <c r="T378" s="20">
        <v>5</v>
      </c>
      <c r="U378" s="20">
        <v>8</v>
      </c>
      <c r="V378" s="235">
        <f t="array" ref="V378">IF(ISERROR(L378/K378),"",L378/K378)</f>
        <v>1</v>
      </c>
      <c r="W378" s="20"/>
      <c r="X378" s="20"/>
      <c r="Y378" s="20"/>
      <c r="Z378" s="20"/>
      <c r="AA378" s="20">
        <v>2</v>
      </c>
      <c r="AB378" s="20"/>
      <c r="AC378" s="20"/>
    </row>
    <row r="379" spans="1:29" s="2" customFormat="1" ht="21.95" hidden="1" customHeight="1">
      <c r="A379" s="226">
        <v>300010</v>
      </c>
      <c r="B379" s="223">
        <v>18501</v>
      </c>
      <c r="C379" s="256" t="s">
        <v>157</v>
      </c>
      <c r="D379" s="256" t="s">
        <v>158</v>
      </c>
      <c r="E379" s="230" t="s">
        <v>80</v>
      </c>
      <c r="F379" s="229"/>
      <c r="G379" s="228"/>
      <c r="H379" s="228"/>
      <c r="I379" s="228"/>
      <c r="J379" s="228"/>
      <c r="K379" s="228">
        <f t="shared" si="46"/>
        <v>0</v>
      </c>
      <c r="L379" s="228">
        <f t="shared" si="47"/>
        <v>0</v>
      </c>
      <c r="M379" s="228">
        <v>530.9</v>
      </c>
      <c r="N379" s="228">
        <f>+M379*1000/(188*4*13*60)*T379</f>
        <v>4.5255387343153304</v>
      </c>
      <c r="O379" s="228"/>
      <c r="P379" s="228">
        <f t="shared" si="48"/>
        <v>0</v>
      </c>
      <c r="Q379" s="228"/>
      <c r="R379" s="19">
        <f t="shared" si="49"/>
        <v>0</v>
      </c>
      <c r="S379" s="228">
        <f t="shared" si="50"/>
        <v>0</v>
      </c>
      <c r="T379" s="20">
        <v>5</v>
      </c>
      <c r="U379" s="20"/>
      <c r="V379" s="23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26">
        <v>300305</v>
      </c>
      <c r="B380" s="223">
        <v>18501</v>
      </c>
      <c r="C380" s="256" t="s">
        <v>159</v>
      </c>
      <c r="D380" s="256" t="s">
        <v>160</v>
      </c>
      <c r="E380" s="230" t="s">
        <v>57</v>
      </c>
      <c r="F380" s="229"/>
      <c r="G380" s="228"/>
      <c r="H380" s="228"/>
      <c r="I380" s="228"/>
      <c r="J380" s="228"/>
      <c r="K380" s="228">
        <f t="shared" si="46"/>
        <v>0</v>
      </c>
      <c r="L380" s="228">
        <f t="shared" si="47"/>
        <v>0</v>
      </c>
      <c r="M380" s="228">
        <v>530.20000000000005</v>
      </c>
      <c r="N380" s="228">
        <f t="shared" ref="N380:N385" si="52">+M380*1000/(202*4*13*60)*T380</f>
        <v>4.2063340949479562</v>
      </c>
      <c r="O380" s="228"/>
      <c r="P380" s="228">
        <f t="shared" si="48"/>
        <v>0</v>
      </c>
      <c r="Q380" s="228"/>
      <c r="R380" s="19">
        <f t="shared" si="49"/>
        <v>0</v>
      </c>
      <c r="S380" s="228">
        <f t="shared" si="50"/>
        <v>0</v>
      </c>
      <c r="T380" s="20">
        <v>5</v>
      </c>
      <c r="U380" s="20"/>
      <c r="V380" s="23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26">
        <v>300306</v>
      </c>
      <c r="B381" s="223">
        <v>18501</v>
      </c>
      <c r="C381" s="256" t="s">
        <v>159</v>
      </c>
      <c r="D381" s="256" t="s">
        <v>160</v>
      </c>
      <c r="E381" s="230" t="s">
        <v>117</v>
      </c>
      <c r="F381" s="229"/>
      <c r="G381" s="228"/>
      <c r="H381" s="228"/>
      <c r="I381" s="228"/>
      <c r="J381" s="228"/>
      <c r="K381" s="228">
        <f t="shared" si="46"/>
        <v>0</v>
      </c>
      <c r="L381" s="228">
        <f t="shared" si="47"/>
        <v>0</v>
      </c>
      <c r="M381" s="228">
        <v>538.79999999999995</v>
      </c>
      <c r="N381" s="228">
        <f t="shared" si="52"/>
        <v>4.2745620715917747</v>
      </c>
      <c r="O381" s="228"/>
      <c r="P381" s="228">
        <f t="shared" si="48"/>
        <v>0</v>
      </c>
      <c r="Q381" s="228"/>
      <c r="R381" s="19">
        <f t="shared" si="49"/>
        <v>0</v>
      </c>
      <c r="S381" s="228">
        <f t="shared" si="50"/>
        <v>0</v>
      </c>
      <c r="T381" s="20">
        <v>5</v>
      </c>
      <c r="U381" s="20"/>
      <c r="V381" s="23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26">
        <v>300307</v>
      </c>
      <c r="B382" s="223">
        <v>18501</v>
      </c>
      <c r="C382" s="256" t="s">
        <v>159</v>
      </c>
      <c r="D382" s="256" t="s">
        <v>160</v>
      </c>
      <c r="E382" s="230" t="s">
        <v>133</v>
      </c>
      <c r="F382" s="229"/>
      <c r="G382" s="228"/>
      <c r="H382" s="228"/>
      <c r="I382" s="228"/>
      <c r="J382" s="228"/>
      <c r="K382" s="228">
        <f t="shared" si="46"/>
        <v>0</v>
      </c>
      <c r="L382" s="228">
        <f t="shared" si="47"/>
        <v>0</v>
      </c>
      <c r="M382" s="228">
        <v>569</v>
      </c>
      <c r="N382" s="228">
        <f t="shared" si="52"/>
        <v>4.5141533384107637</v>
      </c>
      <c r="O382" s="228"/>
      <c r="P382" s="228">
        <f t="shared" si="48"/>
        <v>0</v>
      </c>
      <c r="Q382" s="228"/>
      <c r="R382" s="19">
        <f t="shared" si="49"/>
        <v>0</v>
      </c>
      <c r="S382" s="228">
        <f t="shared" si="50"/>
        <v>0</v>
      </c>
      <c r="T382" s="20">
        <v>5</v>
      </c>
      <c r="U382" s="20"/>
      <c r="V382" s="23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26">
        <v>300308</v>
      </c>
      <c r="B383" s="223">
        <v>18501</v>
      </c>
      <c r="C383" s="256" t="s">
        <v>159</v>
      </c>
      <c r="D383" s="256" t="s">
        <v>160</v>
      </c>
      <c r="E383" s="230" t="s">
        <v>132</v>
      </c>
      <c r="F383" s="229"/>
      <c r="G383" s="228"/>
      <c r="H383" s="228"/>
      <c r="I383" s="228"/>
      <c r="J383" s="228"/>
      <c r="K383" s="228">
        <f t="shared" si="46"/>
        <v>0</v>
      </c>
      <c r="L383" s="228">
        <f t="shared" si="47"/>
        <v>0</v>
      </c>
      <c r="M383" s="228">
        <v>523.6</v>
      </c>
      <c r="N383" s="228">
        <f t="shared" si="52"/>
        <v>4.1539730896166542</v>
      </c>
      <c r="O383" s="228"/>
      <c r="P383" s="228">
        <f t="shared" si="48"/>
        <v>0</v>
      </c>
      <c r="Q383" s="228"/>
      <c r="R383" s="19">
        <f t="shared" si="49"/>
        <v>0</v>
      </c>
      <c r="S383" s="228">
        <f t="shared" si="50"/>
        <v>0</v>
      </c>
      <c r="T383" s="20">
        <v>5</v>
      </c>
      <c r="U383" s="20"/>
      <c r="V383" s="23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26">
        <v>300182</v>
      </c>
      <c r="B384" s="223">
        <v>18501</v>
      </c>
      <c r="C384" s="256" t="s">
        <v>161</v>
      </c>
      <c r="D384" s="256" t="s">
        <v>160</v>
      </c>
      <c r="E384" s="230" t="s">
        <v>80</v>
      </c>
      <c r="F384" s="229"/>
      <c r="G384" s="228"/>
      <c r="H384" s="228"/>
      <c r="I384" s="228"/>
      <c r="J384" s="228"/>
      <c r="K384" s="228">
        <f t="shared" si="46"/>
        <v>0</v>
      </c>
      <c r="L384" s="228">
        <f t="shared" si="47"/>
        <v>0</v>
      </c>
      <c r="M384" s="228">
        <v>649.1</v>
      </c>
      <c r="N384" s="228">
        <f t="shared" si="52"/>
        <v>5.1496255394770252</v>
      </c>
      <c r="O384" s="228"/>
      <c r="P384" s="228">
        <f t="shared" si="48"/>
        <v>0</v>
      </c>
      <c r="Q384" s="228"/>
      <c r="R384" s="19">
        <f t="shared" si="49"/>
        <v>0</v>
      </c>
      <c r="S384" s="228">
        <f t="shared" si="50"/>
        <v>0</v>
      </c>
      <c r="T384" s="20">
        <v>5</v>
      </c>
      <c r="U384" s="20"/>
      <c r="V384" s="23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26">
        <v>300185</v>
      </c>
      <c r="B385" s="223">
        <v>18501</v>
      </c>
      <c r="C385" s="256" t="s">
        <v>161</v>
      </c>
      <c r="D385" s="256" t="s">
        <v>160</v>
      </c>
      <c r="E385" s="230" t="s">
        <v>135</v>
      </c>
      <c r="F385" s="229"/>
      <c r="G385" s="228"/>
      <c r="H385" s="228"/>
      <c r="I385" s="228"/>
      <c r="J385" s="228"/>
      <c r="K385" s="228">
        <f t="shared" si="46"/>
        <v>0</v>
      </c>
      <c r="L385" s="228">
        <f t="shared" si="47"/>
        <v>0</v>
      </c>
      <c r="M385" s="228">
        <v>638</v>
      </c>
      <c r="N385" s="228">
        <f t="shared" si="52"/>
        <v>6.0738766184310737</v>
      </c>
      <c r="O385" s="228"/>
      <c r="P385" s="228">
        <f t="shared" si="48"/>
        <v>0</v>
      </c>
      <c r="Q385" s="228"/>
      <c r="R385" s="19">
        <f t="shared" si="49"/>
        <v>0</v>
      </c>
      <c r="S385" s="228">
        <f t="shared" si="50"/>
        <v>0</v>
      </c>
      <c r="T385" s="20">
        <v>6</v>
      </c>
      <c r="U385" s="20"/>
      <c r="V385" s="23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26">
        <v>300272</v>
      </c>
      <c r="B386" s="223">
        <v>18502</v>
      </c>
      <c r="C386" s="256" t="s">
        <v>162</v>
      </c>
      <c r="D386" s="256"/>
      <c r="E386" s="230" t="s">
        <v>42</v>
      </c>
      <c r="F386" s="229"/>
      <c r="G386" s="228"/>
      <c r="H386" s="228"/>
      <c r="I386" s="228"/>
      <c r="J386" s="228"/>
      <c r="K386" s="228">
        <f t="shared" si="46"/>
        <v>0</v>
      </c>
      <c r="L386" s="228">
        <f t="shared" si="47"/>
        <v>0</v>
      </c>
      <c r="M386" s="228">
        <v>523.9</v>
      </c>
      <c r="N386" s="228">
        <f>+M386*1000/(128*4*13*60)*T386</f>
        <v>5.247395833333333</v>
      </c>
      <c r="O386" s="228"/>
      <c r="P386" s="228">
        <f t="shared" si="48"/>
        <v>0</v>
      </c>
      <c r="Q386" s="228"/>
      <c r="R386" s="19">
        <f t="shared" si="49"/>
        <v>0</v>
      </c>
      <c r="S386" s="228">
        <f t="shared" si="50"/>
        <v>0</v>
      </c>
      <c r="T386" s="20">
        <v>4</v>
      </c>
      <c r="U386" s="20"/>
      <c r="V386" s="23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26">
        <v>300273</v>
      </c>
      <c r="B387" s="223">
        <v>18502</v>
      </c>
      <c r="C387" s="256" t="s">
        <v>162</v>
      </c>
      <c r="D387" s="256"/>
      <c r="E387" s="230" t="s">
        <v>163</v>
      </c>
      <c r="F387" s="229"/>
      <c r="G387" s="228"/>
      <c r="H387" s="228"/>
      <c r="I387" s="228"/>
      <c r="J387" s="228"/>
      <c r="K387" s="228">
        <f t="shared" si="46"/>
        <v>0</v>
      </c>
      <c r="L387" s="228">
        <f t="shared" si="47"/>
        <v>0</v>
      </c>
      <c r="M387" s="228">
        <v>523.9</v>
      </c>
      <c r="N387" s="228">
        <f>+M387*1000/(128*4*13*60)*T387</f>
        <v>6.5592447916666661</v>
      </c>
      <c r="O387" s="228"/>
      <c r="P387" s="228">
        <f t="shared" si="48"/>
        <v>0</v>
      </c>
      <c r="Q387" s="228"/>
      <c r="R387" s="19">
        <f t="shared" si="49"/>
        <v>0</v>
      </c>
      <c r="S387" s="228">
        <f t="shared" si="50"/>
        <v>0</v>
      </c>
      <c r="T387" s="20">
        <v>5</v>
      </c>
      <c r="U387" s="20"/>
      <c r="V387" s="23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26">
        <v>300274</v>
      </c>
      <c r="B388" s="223">
        <v>18502</v>
      </c>
      <c r="C388" s="256" t="s">
        <v>162</v>
      </c>
      <c r="D388" s="256"/>
      <c r="E388" s="230" t="s">
        <v>146</v>
      </c>
      <c r="F388" s="229"/>
      <c r="G388" s="228"/>
      <c r="H388" s="228"/>
      <c r="I388" s="228"/>
      <c r="J388" s="228"/>
      <c r="K388" s="228">
        <f t="shared" si="46"/>
        <v>0</v>
      </c>
      <c r="L388" s="228">
        <f t="shared" si="47"/>
        <v>0</v>
      </c>
      <c r="M388" s="228">
        <v>523.9</v>
      </c>
      <c r="N388" s="228">
        <f>+M388*1000/(128*4*13*60)*T388</f>
        <v>5.247395833333333</v>
      </c>
      <c r="O388" s="228"/>
      <c r="P388" s="228">
        <f t="shared" si="48"/>
        <v>0</v>
      </c>
      <c r="Q388" s="228"/>
      <c r="R388" s="19">
        <f t="shared" si="49"/>
        <v>0</v>
      </c>
      <c r="S388" s="228">
        <f t="shared" si="50"/>
        <v>0</v>
      </c>
      <c r="T388" s="20">
        <v>4</v>
      </c>
      <c r="U388" s="20"/>
      <c r="V388" s="23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26">
        <v>300275</v>
      </c>
      <c r="B389" s="223">
        <v>18502</v>
      </c>
      <c r="C389" s="256" t="s">
        <v>162</v>
      </c>
      <c r="D389" s="256"/>
      <c r="E389" s="230" t="s">
        <v>164</v>
      </c>
      <c r="F389" s="229"/>
      <c r="G389" s="228"/>
      <c r="H389" s="228"/>
      <c r="I389" s="228"/>
      <c r="J389" s="228"/>
      <c r="K389" s="228">
        <f t="shared" si="46"/>
        <v>0</v>
      </c>
      <c r="L389" s="228">
        <f t="shared" si="47"/>
        <v>0</v>
      </c>
      <c r="M389" s="228">
        <v>523.9</v>
      </c>
      <c r="N389" s="228">
        <f>+M389*1000/(128*4*13*60)*T389</f>
        <v>5.247395833333333</v>
      </c>
      <c r="O389" s="228"/>
      <c r="P389" s="228">
        <f t="shared" si="48"/>
        <v>0</v>
      </c>
      <c r="Q389" s="228"/>
      <c r="R389" s="19">
        <f t="shared" si="49"/>
        <v>0</v>
      </c>
      <c r="S389" s="228">
        <f t="shared" si="50"/>
        <v>0</v>
      </c>
      <c r="T389" s="20">
        <v>4</v>
      </c>
      <c r="U389" s="20"/>
      <c r="V389" s="23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26">
        <v>300285</v>
      </c>
      <c r="B390" s="223">
        <v>13001</v>
      </c>
      <c r="C390" s="256" t="s">
        <v>165</v>
      </c>
      <c r="D390" s="256"/>
      <c r="E390" s="230" t="s">
        <v>37</v>
      </c>
      <c r="F390" s="229"/>
      <c r="G390" s="228"/>
      <c r="H390" s="228"/>
      <c r="I390" s="228"/>
      <c r="J390" s="228"/>
      <c r="K390" s="228">
        <f t="shared" si="46"/>
        <v>0</v>
      </c>
      <c r="L390" s="228">
        <f t="shared" si="47"/>
        <v>0</v>
      </c>
      <c r="M390" s="228">
        <v>438.7</v>
      </c>
      <c r="N390" s="228">
        <f t="shared" ref="N390:N395" si="53">+M390*1000/(90*4*18*60)*T390</f>
        <v>5.6417181069958842</v>
      </c>
      <c r="O390" s="228"/>
      <c r="P390" s="228">
        <f t="shared" si="48"/>
        <v>0</v>
      </c>
      <c r="Q390" s="228"/>
      <c r="R390" s="19">
        <f t="shared" si="49"/>
        <v>0</v>
      </c>
      <c r="S390" s="228">
        <f t="shared" si="50"/>
        <v>0</v>
      </c>
      <c r="T390" s="20">
        <v>5</v>
      </c>
      <c r="U390" s="20"/>
      <c r="V390" s="23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26">
        <v>300287</v>
      </c>
      <c r="B391" s="223">
        <v>13001</v>
      </c>
      <c r="C391" s="256" t="s">
        <v>165</v>
      </c>
      <c r="D391" s="256"/>
      <c r="E391" s="230" t="s">
        <v>57</v>
      </c>
      <c r="F391" s="229"/>
      <c r="G391" s="228"/>
      <c r="H391" s="228"/>
      <c r="I391" s="228"/>
      <c r="J391" s="228"/>
      <c r="K391" s="228">
        <f t="shared" si="46"/>
        <v>0</v>
      </c>
      <c r="L391" s="228">
        <f t="shared" si="47"/>
        <v>0</v>
      </c>
      <c r="M391" s="228">
        <v>438.7</v>
      </c>
      <c r="N391" s="228">
        <f t="shared" si="53"/>
        <v>5.6417181069958842</v>
      </c>
      <c r="O391" s="228"/>
      <c r="P391" s="228">
        <f t="shared" si="48"/>
        <v>0</v>
      </c>
      <c r="Q391" s="228"/>
      <c r="R391" s="19">
        <f t="shared" si="49"/>
        <v>0</v>
      </c>
      <c r="S391" s="228">
        <f t="shared" si="50"/>
        <v>0</v>
      </c>
      <c r="T391" s="20">
        <v>5</v>
      </c>
      <c r="U391" s="20"/>
      <c r="V391" s="23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26">
        <v>300284</v>
      </c>
      <c r="B392" s="223">
        <v>13001</v>
      </c>
      <c r="C392" s="256" t="s">
        <v>165</v>
      </c>
      <c r="D392" s="256"/>
      <c r="E392" s="230" t="s">
        <v>41</v>
      </c>
      <c r="F392" s="229"/>
      <c r="G392" s="228"/>
      <c r="H392" s="228"/>
      <c r="I392" s="228"/>
      <c r="J392" s="228"/>
      <c r="K392" s="228">
        <f t="shared" si="46"/>
        <v>0</v>
      </c>
      <c r="L392" s="228">
        <f t="shared" si="47"/>
        <v>0</v>
      </c>
      <c r="M392" s="228">
        <v>438.7</v>
      </c>
      <c r="N392" s="228">
        <f t="shared" si="53"/>
        <v>5.6417181069958842</v>
      </c>
      <c r="O392" s="228"/>
      <c r="P392" s="228">
        <f t="shared" si="48"/>
        <v>0</v>
      </c>
      <c r="Q392" s="228"/>
      <c r="R392" s="19">
        <f t="shared" si="49"/>
        <v>0</v>
      </c>
      <c r="S392" s="228">
        <f t="shared" si="50"/>
        <v>0</v>
      </c>
      <c r="T392" s="20">
        <v>5</v>
      </c>
      <c r="U392" s="20"/>
      <c r="V392" s="23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26">
        <v>300283</v>
      </c>
      <c r="B393" s="223">
        <v>13001</v>
      </c>
      <c r="C393" s="256" t="s">
        <v>165</v>
      </c>
      <c r="D393" s="256"/>
      <c r="E393" s="230" t="s">
        <v>35</v>
      </c>
      <c r="F393" s="229"/>
      <c r="G393" s="228"/>
      <c r="H393" s="228"/>
      <c r="I393" s="228"/>
      <c r="J393" s="228"/>
      <c r="K393" s="224">
        <f t="shared" si="46"/>
        <v>0</v>
      </c>
      <c r="L393" s="224">
        <f t="shared" si="47"/>
        <v>0</v>
      </c>
      <c r="M393" s="228">
        <v>438.7</v>
      </c>
      <c r="N393" s="228">
        <f t="shared" si="53"/>
        <v>5.6417181069958842</v>
      </c>
      <c r="O393" s="224"/>
      <c r="P393" s="228">
        <f t="shared" si="48"/>
        <v>0</v>
      </c>
      <c r="Q393" s="228"/>
      <c r="R393" s="19">
        <f t="shared" si="49"/>
        <v>0</v>
      </c>
      <c r="S393" s="228">
        <f t="shared" si="50"/>
        <v>0</v>
      </c>
      <c r="T393" s="20">
        <v>5</v>
      </c>
      <c r="U393" s="20"/>
      <c r="V393" s="23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26">
        <v>300289</v>
      </c>
      <c r="B394" s="223">
        <v>13001</v>
      </c>
      <c r="C394" s="256" t="s">
        <v>165</v>
      </c>
      <c r="D394" s="256"/>
      <c r="E394" s="230" t="s">
        <v>66</v>
      </c>
      <c r="F394" s="229"/>
      <c r="G394" s="228"/>
      <c r="H394" s="228"/>
      <c r="I394" s="228"/>
      <c r="J394" s="228"/>
      <c r="K394" s="224">
        <f t="shared" si="46"/>
        <v>0</v>
      </c>
      <c r="L394" s="224">
        <f t="shared" si="47"/>
        <v>0</v>
      </c>
      <c r="M394" s="228">
        <v>438.7</v>
      </c>
      <c r="N394" s="228">
        <f t="shared" si="53"/>
        <v>5.6417181069958842</v>
      </c>
      <c r="O394" s="224"/>
      <c r="P394" s="228">
        <f t="shared" si="48"/>
        <v>0</v>
      </c>
      <c r="Q394" s="228"/>
      <c r="R394" s="19">
        <f t="shared" si="49"/>
        <v>0</v>
      </c>
      <c r="S394" s="228">
        <f t="shared" si="50"/>
        <v>0</v>
      </c>
      <c r="T394" s="20">
        <v>5</v>
      </c>
      <c r="U394" s="20"/>
      <c r="V394" s="23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26">
        <v>300288</v>
      </c>
      <c r="B395" s="223">
        <v>13001</v>
      </c>
      <c r="C395" s="256" t="s">
        <v>165</v>
      </c>
      <c r="D395" s="256"/>
      <c r="E395" s="230" t="s">
        <v>166</v>
      </c>
      <c r="F395" s="229"/>
      <c r="G395" s="228"/>
      <c r="H395" s="228"/>
      <c r="I395" s="228"/>
      <c r="J395" s="228"/>
      <c r="K395" s="228">
        <f t="shared" si="46"/>
        <v>0</v>
      </c>
      <c r="L395" s="228">
        <f t="shared" si="47"/>
        <v>0</v>
      </c>
      <c r="M395" s="228">
        <v>438.7</v>
      </c>
      <c r="N395" s="228">
        <f t="shared" si="53"/>
        <v>5.6417181069958842</v>
      </c>
      <c r="O395" s="228"/>
      <c r="P395" s="228">
        <f t="shared" si="48"/>
        <v>0</v>
      </c>
      <c r="Q395" s="228"/>
      <c r="R395" s="19">
        <f t="shared" si="49"/>
        <v>0</v>
      </c>
      <c r="S395" s="228">
        <f t="shared" si="50"/>
        <v>0</v>
      </c>
      <c r="T395" s="20">
        <v>5</v>
      </c>
      <c r="U395" s="20"/>
      <c r="V395" s="23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25">
        <v>300355</v>
      </c>
      <c r="B396" s="223">
        <v>13001</v>
      </c>
      <c r="C396" s="267" t="s">
        <v>168</v>
      </c>
      <c r="D396" s="268"/>
      <c r="E396" s="33" t="s">
        <v>35</v>
      </c>
      <c r="F396" s="229"/>
      <c r="G396" s="228"/>
      <c r="H396" s="228"/>
      <c r="I396" s="228"/>
      <c r="J396" s="228"/>
      <c r="K396" s="224">
        <f t="shared" si="46"/>
        <v>0</v>
      </c>
      <c r="L396" s="228">
        <f t="shared" si="47"/>
        <v>0</v>
      </c>
      <c r="M396" s="228">
        <v>438</v>
      </c>
      <c r="N396" s="228">
        <f>+M396*1000/(110*4*18*60)*T396</f>
        <v>4.6085858585858581</v>
      </c>
      <c r="O396" s="228"/>
      <c r="P396" s="228">
        <f t="shared" si="48"/>
        <v>0</v>
      </c>
      <c r="Q396" s="228"/>
      <c r="R396" s="19">
        <f t="shared" si="49"/>
        <v>0</v>
      </c>
      <c r="S396" s="228">
        <f t="shared" si="50"/>
        <v>0</v>
      </c>
      <c r="T396" s="20">
        <v>5</v>
      </c>
      <c r="U396" s="20"/>
      <c r="V396" s="23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25">
        <v>300356</v>
      </c>
      <c r="B397" s="223">
        <v>13001</v>
      </c>
      <c r="C397" s="267" t="s">
        <v>168</v>
      </c>
      <c r="D397" s="268"/>
      <c r="E397" s="231" t="s">
        <v>41</v>
      </c>
      <c r="F397" s="229"/>
      <c r="G397" s="228"/>
      <c r="H397" s="228"/>
      <c r="I397" s="228"/>
      <c r="J397" s="228"/>
      <c r="K397" s="224">
        <f t="shared" si="46"/>
        <v>0</v>
      </c>
      <c r="L397" s="228">
        <f t="shared" si="47"/>
        <v>0</v>
      </c>
      <c r="M397" s="228">
        <v>438</v>
      </c>
      <c r="N397" s="228">
        <f>+M397*1000/(110*4*18*60)*T397</f>
        <v>4.6085858585858581</v>
      </c>
      <c r="O397" s="228"/>
      <c r="P397" s="228">
        <f t="shared" si="48"/>
        <v>0</v>
      </c>
      <c r="Q397" s="228"/>
      <c r="R397" s="19">
        <f t="shared" si="49"/>
        <v>0</v>
      </c>
      <c r="S397" s="228">
        <f t="shared" si="50"/>
        <v>0</v>
      </c>
      <c r="T397" s="20">
        <v>5</v>
      </c>
      <c r="U397" s="20"/>
      <c r="V397" s="23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25">
        <v>300357</v>
      </c>
      <c r="B398" s="223" t="s">
        <v>170</v>
      </c>
      <c r="C398" s="267" t="s">
        <v>168</v>
      </c>
      <c r="D398" s="268"/>
      <c r="E398" s="231" t="s">
        <v>37</v>
      </c>
      <c r="F398" s="27"/>
      <c r="G398" s="228"/>
      <c r="H398" s="228"/>
      <c r="I398" s="228"/>
      <c r="J398" s="228"/>
      <c r="K398" s="224">
        <f t="shared" si="46"/>
        <v>0</v>
      </c>
      <c r="L398" s="228">
        <f t="shared" si="47"/>
        <v>0</v>
      </c>
      <c r="M398" s="228">
        <v>438</v>
      </c>
      <c r="N398" s="228">
        <f>+M398*1000/(110*4*18*60)*T398</f>
        <v>4.6085858585858581</v>
      </c>
      <c r="O398" s="228"/>
      <c r="P398" s="228">
        <f t="shared" si="48"/>
        <v>0</v>
      </c>
      <c r="Q398" s="228"/>
      <c r="R398" s="19">
        <f t="shared" si="49"/>
        <v>0</v>
      </c>
      <c r="S398" s="228">
        <f t="shared" si="50"/>
        <v>0</v>
      </c>
      <c r="T398" s="20">
        <v>5</v>
      </c>
      <c r="U398" s="20"/>
      <c r="V398" s="23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customHeight="1">
      <c r="A399" s="225">
        <v>300358</v>
      </c>
      <c r="B399" s="223">
        <v>13002</v>
      </c>
      <c r="C399" s="267" t="s">
        <v>168</v>
      </c>
      <c r="D399" s="268"/>
      <c r="E399" s="231" t="s">
        <v>66</v>
      </c>
      <c r="F399" s="27"/>
      <c r="G399" s="228">
        <v>0.38</v>
      </c>
      <c r="H399" s="228">
        <v>0.375</v>
      </c>
      <c r="I399" s="228">
        <f>+H399</f>
        <v>0.375</v>
      </c>
      <c r="J399" s="228"/>
      <c r="K399" s="224">
        <f t="shared" si="46"/>
        <v>166.44</v>
      </c>
      <c r="L399" s="228">
        <f t="shared" si="47"/>
        <v>164.25</v>
      </c>
      <c r="M399" s="228">
        <v>438</v>
      </c>
      <c r="N399" s="228">
        <f>+M399*1000/(110*4*18*60)*T399</f>
        <v>4.6085858585858581</v>
      </c>
      <c r="O399" s="228"/>
      <c r="P399" s="228">
        <f t="shared" si="48"/>
        <v>1.7282196969696968</v>
      </c>
      <c r="Q399" s="228">
        <v>1</v>
      </c>
      <c r="R399" s="19">
        <f t="shared" si="49"/>
        <v>0</v>
      </c>
      <c r="S399" s="228">
        <f t="shared" si="50"/>
        <v>-1.7282196969696968</v>
      </c>
      <c r="T399" s="20">
        <v>5</v>
      </c>
      <c r="U399" s="20">
        <v>0</v>
      </c>
      <c r="V399" s="227">
        <f t="array" ref="V399">IF(ISERROR(L399/K399),"",L399/K399)</f>
        <v>0.98684210526315785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44.38</v>
      </c>
      <c r="H408" s="164">
        <f t="array" ref="H408">SUM(IF(ISERROR(H215:H407),“”,H215:H407))</f>
        <v>2.41</v>
      </c>
      <c r="I408" s="164">
        <f t="array" ref="I408">SUM(IF(ISERROR(I215:I407),“”,I215:I407))</f>
        <v>42.484999999999999</v>
      </c>
      <c r="J408" s="164">
        <f t="array" ref="J408">SUM(IF(ISERROR(J215:J407),“”,J215:J407))</f>
        <v>400</v>
      </c>
      <c r="K408" s="164">
        <f t="array" ref="K408">SUM(IF(ISERROR(K215:K407),“”,K215:K407))</f>
        <v>21164.359999999997</v>
      </c>
      <c r="L408" s="117">
        <f>SUM(L215:L399)</f>
        <v>20213.857499999998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286.98432748749485</v>
      </c>
      <c r="Q408" s="164"/>
      <c r="R408" s="56">
        <f>SUM((R215:R399),(Y413:Z418))</f>
        <v>339</v>
      </c>
      <c r="S408" s="164">
        <f t="array" ref="S408">SUM(IF(ISERROR(S215:S407),“”,S215:S407))</f>
        <v>17.515672512505105</v>
      </c>
      <c r="T408" s="164"/>
      <c r="U408" s="164"/>
      <c r="V408" s="161">
        <f t="array" ref="V408">IF(ISERROR(L408/K408),"",L408/K408)</f>
        <v>0.95508947589249105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0.84656143801620898</v>
      </c>
      <c r="P409" s="282"/>
      <c r="Q409" s="282"/>
      <c r="R409" s="283"/>
      <c r="S409" s="44"/>
      <c r="T409" s="45"/>
      <c r="U409" s="45"/>
      <c r="V409" s="45"/>
      <c r="W409" s="284">
        <f>SUM(W408:AC408)</f>
        <v>8.3333333333333339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119</v>
      </c>
      <c r="F411" s="287"/>
      <c r="G411" s="287">
        <v>119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3511.5</v>
      </c>
      <c r="F412" s="287"/>
      <c r="G412" s="287">
        <v>3651.5</v>
      </c>
      <c r="H412" s="287"/>
      <c r="I412" s="287">
        <f>G412-E412</f>
        <v>140</v>
      </c>
      <c r="J412" s="287"/>
      <c r="K412" s="289">
        <f t="array" ref="K412">IF(ISERROR(I412/E412),"",I412/E412)</f>
        <v>3.9869001851060799E-2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21</v>
      </c>
      <c r="T412" s="292"/>
      <c r="U412" s="292">
        <v>12</v>
      </c>
      <c r="V412" s="292"/>
      <c r="W412" s="291">
        <f>S412*11.5</f>
        <v>241.5</v>
      </c>
      <c r="X412" s="291"/>
      <c r="Y412" s="291">
        <f>U412*11.5</f>
        <v>138</v>
      </c>
      <c r="Z412" s="291"/>
      <c r="AA412" s="291">
        <f t="shared" ref="AA412:AA419" si="59">Y412-W412</f>
        <v>-103.5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1452</v>
      </c>
      <c r="F413" s="287"/>
      <c r="G413" s="287">
        <v>1452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4</v>
      </c>
      <c r="V413" s="292"/>
      <c r="W413" s="291">
        <f t="shared" ref="W413:W419" si="60">S413*11.5</f>
        <v>46</v>
      </c>
      <c r="X413" s="291"/>
      <c r="Y413" s="291">
        <f t="shared" ref="Y413:Y419" si="61">U413*11.5</f>
        <v>46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1</v>
      </c>
      <c r="V414" s="292"/>
      <c r="W414" s="291">
        <f t="shared" si="60"/>
        <v>8.625</v>
      </c>
      <c r="X414" s="291"/>
      <c r="Y414" s="291">
        <f t="shared" si="61"/>
        <v>11.5</v>
      </c>
      <c r="Z414" s="291"/>
      <c r="AA414" s="291">
        <f t="shared" si="59"/>
        <v>2.875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151096</v>
      </c>
      <c r="H415" s="332"/>
      <c r="I415" s="333">
        <v>150995</v>
      </c>
      <c r="J415" s="334"/>
      <c r="K415" s="297">
        <f>G415-I415</f>
        <v>101</v>
      </c>
      <c r="L415" s="297"/>
      <c r="M415" s="298">
        <f t="array" ref="M415">IF(ISERROR(K415/L408),"",K415/(L408/1000))</f>
        <v>4.9965722772113139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8.625</v>
      </c>
      <c r="X415" s="291"/>
      <c r="Y415" s="291">
        <f t="shared" si="61"/>
        <v>11.5</v>
      </c>
      <c r="Z415" s="291"/>
      <c r="AA415" s="291">
        <f t="shared" si="59"/>
        <v>2.875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45004.8*60+28689.7*120</f>
        <v>6143052</v>
      </c>
      <c r="H416" s="331"/>
      <c r="I416" s="330">
        <v>6141498</v>
      </c>
      <c r="J416" s="331"/>
      <c r="K416" s="297">
        <f>G416-I416</f>
        <v>1554</v>
      </c>
      <c r="L416" s="297"/>
      <c r="M416" s="298">
        <f t="array" ref="M416">IF(ISERROR(K416/L408),"",K416/(L408/1000))</f>
        <v>76.877953651350325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17.25</v>
      </c>
      <c r="X416" s="291"/>
      <c r="Y416" s="291">
        <f t="shared" si="61"/>
        <v>11.5</v>
      </c>
      <c r="Z416" s="291"/>
      <c r="AA416" s="291">
        <f t="shared" si="59"/>
        <v>-5.75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+I417+16</f>
        <v>27066</v>
      </c>
      <c r="H417" s="332"/>
      <c r="I417" s="335">
        <v>27050</v>
      </c>
      <c r="J417" s="336"/>
      <c r="K417" s="297">
        <f>G417-I417</f>
        <v>16</v>
      </c>
      <c r="L417" s="297"/>
      <c r="M417" s="301">
        <f t="array" ref="M417">IF(ISERROR(K417/L408),"",K417/(L408/1000))</f>
        <v>0.79153620233050526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11.5</v>
      </c>
      <c r="X417" s="291"/>
      <c r="Y417" s="291">
        <f t="shared" si="61"/>
        <v>11.5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2.14/2+2.4</f>
        <v>3.4699999999999998</v>
      </c>
      <c r="L418" s="309"/>
      <c r="M418" s="302">
        <f t="array" ref="M418">IF(ISERROR((K418+K419)/L408),"",((K418+K419)*1000)/(L408/1000))</f>
        <v>171.6644138804283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6</v>
      </c>
      <c r="V418" s="292"/>
      <c r="W418" s="291">
        <f t="shared" si="60"/>
        <v>34.5</v>
      </c>
      <c r="X418" s="291"/>
      <c r="Y418" s="291">
        <f t="shared" si="61"/>
        <v>69</v>
      </c>
      <c r="Z418" s="291"/>
      <c r="AA418" s="291">
        <f t="shared" si="59"/>
        <v>34.5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32</v>
      </c>
      <c r="T419" s="292"/>
      <c r="U419" s="292">
        <f>SUM(U412:V418)</f>
        <v>26</v>
      </c>
      <c r="V419" s="292"/>
      <c r="W419" s="291">
        <f t="shared" si="60"/>
        <v>368</v>
      </c>
      <c r="X419" s="291"/>
      <c r="Y419" s="291">
        <f t="shared" si="61"/>
        <v>299</v>
      </c>
      <c r="Z419" s="291"/>
      <c r="AA419" s="291">
        <f t="shared" si="59"/>
        <v>-69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4.6109510086455332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67.604874581939796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47442.64409999999</v>
      </c>
      <c r="D423" s="345"/>
      <c r="E423" s="341" t="s">
        <v>226</v>
      </c>
      <c r="F423" s="341"/>
      <c r="G423" s="341">
        <f>L199+L408</f>
        <v>46029.308666666664</v>
      </c>
      <c r="H423" s="341"/>
      <c r="I423" s="348" t="s">
        <v>227</v>
      </c>
      <c r="J423" s="348"/>
      <c r="K423" s="347">
        <f>IF(ISERROR(G423/C423),"",G423/C423)</f>
        <v>0.97020959813381635</v>
      </c>
      <c r="L423" s="347"/>
      <c r="M423" s="341" t="s">
        <v>228</v>
      </c>
      <c r="N423" s="341"/>
      <c r="O423" s="342">
        <f>IF(ISERROR(G423/G424),"",G423/G424)</f>
        <v>64.46681886087768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599.71494874766643</v>
      </c>
      <c r="D424" s="345"/>
      <c r="E424" s="346" t="s">
        <v>18</v>
      </c>
      <c r="F424" s="346"/>
      <c r="G424" s="341">
        <f>R199+R408</f>
        <v>714</v>
      </c>
      <c r="H424" s="341"/>
      <c r="I424" s="321" t="s">
        <v>176</v>
      </c>
      <c r="J424" s="321"/>
      <c r="K424" s="347">
        <f>IF(ISERROR(C424/G424),"",C424/G424)</f>
        <v>0.83993690300793622</v>
      </c>
      <c r="L424" s="347"/>
      <c r="M424" s="287" t="s">
        <v>230</v>
      </c>
      <c r="N424" s="287"/>
      <c r="O424" s="341">
        <f>W200+W409</f>
        <v>14.5</v>
      </c>
      <c r="P424" s="287"/>
      <c r="Q424" s="287" t="s">
        <v>231</v>
      </c>
      <c r="R424" s="287"/>
      <c r="S424" s="347">
        <f t="array" ref="S424">IF(ISERROR(O424/G424),"",O424/G424)</f>
        <v>2.0308123249299721E-2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219</v>
      </c>
      <c r="D426" s="345"/>
      <c r="E426" s="341" t="s">
        <v>234</v>
      </c>
      <c r="F426" s="341"/>
      <c r="G426" s="301">
        <f t="array" ref="G426">IF(ISERROR(C426/G423),"",C426/(G423/1000))</f>
        <v>4.7578381327850492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3306</v>
      </c>
      <c r="D427" s="345"/>
      <c r="E427" s="341" t="s">
        <v>236</v>
      </c>
      <c r="F427" s="341"/>
      <c r="G427" s="301">
        <f>IF(ISERROR(C427/G423),"",C427/(G423/1000))</f>
        <v>71.823803045604436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33</v>
      </c>
      <c r="D428" s="345"/>
      <c r="E428" s="341" t="s">
        <v>238</v>
      </c>
      <c r="F428" s="341"/>
      <c r="G428" s="301">
        <f>IF(ISERROR(C428/G423),"",C428/(G423/1000))</f>
        <v>0.71693451315939094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7.15</v>
      </c>
      <c r="D429" s="345"/>
      <c r="E429" s="341" t="s">
        <v>240</v>
      </c>
      <c r="F429" s="341"/>
      <c r="G429" s="349">
        <f>IF(ISERROR(C429/G423),"",C429/(G423/1000))</f>
        <v>0.15533581118453471</v>
      </c>
      <c r="H429" s="349"/>
      <c r="I429" s="341" t="s">
        <v>241</v>
      </c>
      <c r="J429" s="341"/>
      <c r="K429" s="350">
        <f>IF(ISERROR(C428/C429),"",C428/C429)</f>
        <v>4.615384615384615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269</v>
      </c>
      <c r="D432" s="354"/>
      <c r="E432" s="341" t="s">
        <v>247</v>
      </c>
      <c r="F432" s="359"/>
      <c r="G432" s="355">
        <f>+G411+G202</f>
        <v>269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8304.1</v>
      </c>
      <c r="D433" s="354"/>
      <c r="E433" s="341" t="s">
        <v>251</v>
      </c>
      <c r="F433" s="341"/>
      <c r="G433" s="355">
        <f>+G412+G203</f>
        <v>8588.1</v>
      </c>
      <c r="H433" s="356"/>
      <c r="I433" s="341" t="s">
        <v>252</v>
      </c>
      <c r="J433" s="341"/>
      <c r="K433" s="323">
        <f>G433-C433</f>
        <v>284</v>
      </c>
      <c r="L433" s="325"/>
      <c r="M433" s="357" t="s">
        <v>253</v>
      </c>
      <c r="N433" s="358"/>
      <c r="O433" s="351">
        <f t="array" ref="O433">IF(ISERROR(K433/C433),"",K433/C433)</f>
        <v>3.4199973507062775E-2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3121</v>
      </c>
      <c r="D434" s="354"/>
      <c r="E434" s="341" t="s">
        <v>255</v>
      </c>
      <c r="F434" s="359"/>
      <c r="G434" s="355">
        <f>+G413+G204</f>
        <v>3121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0.88461538461538458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>
        <v>2</v>
      </c>
      <c r="L447" s="67">
        <v>2</v>
      </c>
      <c r="M447" s="67"/>
      <c r="N447" s="67"/>
      <c r="O447" s="67"/>
      <c r="P447" s="67"/>
      <c r="Q447" s="83">
        <f t="shared" si="64"/>
        <v>11</v>
      </c>
      <c r="R447" s="158">
        <f t="shared" si="68"/>
        <v>126.5</v>
      </c>
      <c r="S447" s="101">
        <f t="array" ref="S447">IF(ISERROR(Q447/J447),"",Q447/J447)</f>
        <v>0.73333333333333328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3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0.83870967741935487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9</v>
      </c>
      <c r="J452" s="85">
        <f t="shared" si="63"/>
        <v>48</v>
      </c>
      <c r="K452" s="69">
        <f t="shared" ref="K452:P452" si="71">+K443+K450+K451</f>
        <v>6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40</v>
      </c>
      <c r="R452" s="67">
        <f>R443+R450+R451</f>
        <v>783</v>
      </c>
      <c r="S452" s="123">
        <f t="array" ref="S452">IF(ISERROR(Q452/J452),"",Q452/J452)</f>
        <v>0.83333333333333337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8" topLeftCell="F438" activePane="bottomRight" state="frozen"/>
      <selection pane="topRight" activeCell="F1" sqref="F1"/>
      <selection pane="bottomLeft" activeCell="A29" sqref="A2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customHeight="1">
      <c r="A29" s="237">
        <v>3000435</v>
      </c>
      <c r="B29" s="236">
        <v>3004</v>
      </c>
      <c r="C29" s="256" t="s">
        <v>51</v>
      </c>
      <c r="D29" s="256"/>
      <c r="E29" s="241" t="s">
        <v>309</v>
      </c>
      <c r="F29" s="240" t="s">
        <v>329</v>
      </c>
      <c r="G29" s="133">
        <v>10.3</v>
      </c>
      <c r="H29" s="133">
        <v>0.3</v>
      </c>
      <c r="I29" s="133">
        <f>10+H29</f>
        <v>10.3</v>
      </c>
      <c r="J29" s="133"/>
      <c r="K29" s="239">
        <f t="shared" si="0"/>
        <v>5403.380000000001</v>
      </c>
      <c r="L29" s="239">
        <f t="shared" si="1"/>
        <v>5403.380000000001</v>
      </c>
      <c r="M29" s="239">
        <v>524.6</v>
      </c>
      <c r="N29" s="239">
        <f>+M29*1000/(25.4*20*15*60)*T29</f>
        <v>3.4422572178477688</v>
      </c>
      <c r="O29" s="239"/>
      <c r="P29" s="239">
        <f t="shared" si="2"/>
        <v>35.455249343832023</v>
      </c>
      <c r="Q29" s="239">
        <v>11</v>
      </c>
      <c r="R29" s="19">
        <f t="shared" si="3"/>
        <v>22</v>
      </c>
      <c r="S29" s="239">
        <f t="shared" si="4"/>
        <v>-13.455249343832023</v>
      </c>
      <c r="T29" s="20">
        <v>3</v>
      </c>
      <c r="U29" s="20">
        <v>2</v>
      </c>
      <c r="V29" s="238">
        <f t="array" ref="V29">IF(ISERROR(L29/K29),"",L29/K29)</f>
        <v>1</v>
      </c>
      <c r="W29" s="20"/>
      <c r="X29" s="20"/>
      <c r="Y29" s="20"/>
      <c r="Z29" s="20"/>
      <c r="AA29" s="20"/>
      <c r="AB29" s="20"/>
      <c r="AC29" s="2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>
        <v>3602</v>
      </c>
      <c r="C42" s="256" t="s">
        <v>61</v>
      </c>
      <c r="D42" s="256" t="s">
        <v>62</v>
      </c>
      <c r="E42" s="166" t="s">
        <v>63</v>
      </c>
      <c r="F42" s="243">
        <v>1596</v>
      </c>
      <c r="G42" s="133">
        <v>5</v>
      </c>
      <c r="H42" s="133"/>
      <c r="I42" s="133">
        <f>6-J42/250</f>
        <v>5</v>
      </c>
      <c r="J42" s="133">
        <v>250</v>
      </c>
      <c r="K42" s="164">
        <f t="shared" si="0"/>
        <v>1834.65</v>
      </c>
      <c r="L42" s="164">
        <f t="shared" si="1"/>
        <v>1834.65</v>
      </c>
      <c r="M42" s="164">
        <v>366.93</v>
      </c>
      <c r="N42" s="164">
        <f>+M42*1000/(35.8*10*13*60)*T42</f>
        <v>2.6280618822518265</v>
      </c>
      <c r="O42" s="164">
        <v>0.5</v>
      </c>
      <c r="P42" s="164">
        <f t="shared" si="2"/>
        <v>14.640309411259132</v>
      </c>
      <c r="Q42" s="164">
        <v>5</v>
      </c>
      <c r="R42" s="19">
        <f t="shared" si="3"/>
        <v>15</v>
      </c>
      <c r="S42" s="164">
        <f t="shared" si="4"/>
        <v>0.35969058874086812</v>
      </c>
      <c r="T42" s="20">
        <v>2</v>
      </c>
      <c r="U42" s="20">
        <v>3</v>
      </c>
      <c r="V42" s="161">
        <f t="array" ref="V42">IF(ISERROR(L42/K42),"",L42/K42)</f>
        <v>1</v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>
        <v>3602</v>
      </c>
      <c r="C43" s="256" t="s">
        <v>61</v>
      </c>
      <c r="D43" s="256" t="s">
        <v>62</v>
      </c>
      <c r="E43" s="166" t="s">
        <v>37</v>
      </c>
      <c r="F43" s="243">
        <v>1595</v>
      </c>
      <c r="G43" s="133">
        <v>4.2</v>
      </c>
      <c r="H43" s="133">
        <v>0.2</v>
      </c>
      <c r="I43" s="133">
        <f>4+H43</f>
        <v>4.2</v>
      </c>
      <c r="J43" s="133"/>
      <c r="K43" s="164">
        <f t="shared" si="0"/>
        <v>1541.106</v>
      </c>
      <c r="L43" s="164">
        <f t="shared" si="1"/>
        <v>1541.106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11.037859905457672</v>
      </c>
      <c r="Q43" s="164">
        <v>6</v>
      </c>
      <c r="R43" s="19">
        <f t="shared" si="3"/>
        <v>18</v>
      </c>
      <c r="S43" s="164">
        <f t="shared" si="4"/>
        <v>6.9621400945423275</v>
      </c>
      <c r="T43" s="20">
        <v>2</v>
      </c>
      <c r="U43" s="20">
        <v>3</v>
      </c>
      <c r="V43" s="161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240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240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240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240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>
        <v>4503</v>
      </c>
      <c r="C56" s="256" t="s">
        <v>75</v>
      </c>
      <c r="D56" s="256" t="s">
        <v>76</v>
      </c>
      <c r="E56" s="166" t="s">
        <v>38</v>
      </c>
      <c r="F56" s="243" t="s">
        <v>328</v>
      </c>
      <c r="G56" s="133">
        <v>9</v>
      </c>
      <c r="H56" s="133">
        <v>0.3</v>
      </c>
      <c r="I56" s="133">
        <f>9+H56-J56/500</f>
        <v>8.9</v>
      </c>
      <c r="J56" s="133">
        <v>200</v>
      </c>
      <c r="K56" s="164">
        <f t="shared" si="0"/>
        <v>4913.0999999999995</v>
      </c>
      <c r="L56" s="164">
        <f t="shared" si="1"/>
        <v>4858.51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24.390110441767071</v>
      </c>
      <c r="Q56" s="164">
        <v>11</v>
      </c>
      <c r="R56" s="19">
        <f t="shared" si="3"/>
        <v>33</v>
      </c>
      <c r="S56" s="164">
        <f t="shared" si="4"/>
        <v>8.6098895582329291</v>
      </c>
      <c r="T56" s="20">
        <v>2</v>
      </c>
      <c r="U56" s="20">
        <v>3</v>
      </c>
      <c r="V56" s="161">
        <f t="array" ref="V56">IF(ISERROR(L56/K56),"",L56/K56)</f>
        <v>0.98888888888888904</v>
      </c>
      <c r="W56" s="20"/>
      <c r="X56" s="20">
        <f>20/60*3</f>
        <v>1</v>
      </c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>
        <v>5001</v>
      </c>
      <c r="C76" s="256" t="s">
        <v>317</v>
      </c>
      <c r="D76" s="256" t="s">
        <v>96</v>
      </c>
      <c r="E76" s="166" t="s">
        <v>41</v>
      </c>
      <c r="F76" s="243">
        <v>1600</v>
      </c>
      <c r="G76" s="133">
        <v>10.25</v>
      </c>
      <c r="H76" s="133">
        <v>0.125</v>
      </c>
      <c r="I76" s="133">
        <f>11+H76-J76/400</f>
        <v>10.25</v>
      </c>
      <c r="J76" s="133">
        <v>350</v>
      </c>
      <c r="K76" s="164">
        <f t="shared" si="0"/>
        <v>4288.5999999999995</v>
      </c>
      <c r="L76" s="164">
        <f t="shared" si="1"/>
        <v>4288.5999999999995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50.963755199049317</v>
      </c>
      <c r="Q76" s="164">
        <v>11</v>
      </c>
      <c r="R76" s="19">
        <f t="shared" si="3"/>
        <v>44</v>
      </c>
      <c r="S76" s="164">
        <f t="shared" si="4"/>
        <v>-6.9637551990493165</v>
      </c>
      <c r="T76" s="20">
        <v>4</v>
      </c>
      <c r="U76" s="20">
        <v>4</v>
      </c>
      <c r="V76" s="161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67" t="s">
        <v>137</v>
      </c>
      <c r="D139" s="268"/>
      <c r="E139" s="166" t="s">
        <v>57</v>
      </c>
      <c r="F139" s="240">
        <v>1599</v>
      </c>
      <c r="G139" s="133">
        <v>9</v>
      </c>
      <c r="H139" s="133"/>
      <c r="I139" s="133">
        <v>9</v>
      </c>
      <c r="J139" s="133"/>
      <c r="K139" s="164">
        <f t="shared" si="7"/>
        <v>3170.61</v>
      </c>
      <c r="L139" s="164">
        <f t="shared" si="8"/>
        <v>3170.61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39.619946617082533</v>
      </c>
      <c r="Q139" s="164">
        <v>8</v>
      </c>
      <c r="R139" s="19">
        <f t="shared" si="10"/>
        <v>40</v>
      </c>
      <c r="S139" s="164">
        <f t="shared" si="11"/>
        <v>0.38005338291746682</v>
      </c>
      <c r="T139" s="20">
        <v>5</v>
      </c>
      <c r="U139" s="20">
        <v>5</v>
      </c>
      <c r="V139" s="161">
        <f t="array" ref="V139">IF(ISERROR(L139/K139),"",L139/K139)</f>
        <v>1</v>
      </c>
      <c r="W139" s="20"/>
      <c r="X139" s="20"/>
      <c r="Y139" s="20"/>
      <c r="Z139" s="20"/>
      <c r="AA139" s="20">
        <v>2</v>
      </c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47.75</v>
      </c>
      <c r="H199" s="164">
        <f t="array" ref="H199">SUM(IF(ISERROR(H6:H198),“”,H6:H198))</f>
        <v>0.92500000000000004</v>
      </c>
      <c r="I199" s="164">
        <f t="array" ref="I199">SUM(IF(ISERROR(I6:I198),“”,I6:I198))</f>
        <v>47.65</v>
      </c>
      <c r="J199" s="164">
        <f t="array" ref="J199">SUM(IF(ISERROR(J6:J198),“”,J6:J198))</f>
        <v>800</v>
      </c>
      <c r="K199" s="164">
        <f t="array" ref="K199">SUM(IF(ISERROR(K6:K198),“”,K6:K198))</f>
        <v>21151.446</v>
      </c>
      <c r="L199" s="56">
        <f>SUM(L6:L198)</f>
        <v>21096.856</v>
      </c>
      <c r="M199" s="164"/>
      <c r="N199" s="164"/>
      <c r="O199" s="164">
        <f>SUM(O6:O190)</f>
        <v>0.5</v>
      </c>
      <c r="P199" s="56">
        <f>SUM((P6:P190),(W204:X209))</f>
        <v>297.10723091844773</v>
      </c>
      <c r="Q199" s="164"/>
      <c r="R199" s="56">
        <f>SUM((R6:R190),(Y204:Z209))</f>
        <v>304</v>
      </c>
      <c r="S199" s="164">
        <f t="array" ref="S199">SUM(IF(ISERROR(S6:S198),“”,S6:S198))</f>
        <v>-4.1072309184477476</v>
      </c>
      <c r="T199" s="164"/>
      <c r="U199" s="164"/>
      <c r="V199" s="161">
        <f>IF(ISERROR(L199/K199),"",L199/K199)</f>
        <v>0.99741908898332532</v>
      </c>
      <c r="W199" s="164">
        <f t="array" ref="W199">SUM(IF(ISERROR(W6:W198),“”,W6:W198))</f>
        <v>0</v>
      </c>
      <c r="X199" s="164">
        <f t="array" ref="X199">SUM(IF(ISERROR(X6:X198),“”,X6:X198))</f>
        <v>1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0.9773264174948938</v>
      </c>
      <c r="P200" s="282"/>
      <c r="Q200" s="282"/>
      <c r="R200" s="283"/>
      <c r="S200" s="44"/>
      <c r="T200" s="45"/>
      <c r="U200" s="45"/>
      <c r="V200" s="45"/>
      <c r="W200" s="284">
        <f>SUM(W199:AC199)</f>
        <v>3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137.5</v>
      </c>
      <c r="F202" s="287"/>
      <c r="G202" s="287">
        <v>137.5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3969.2</v>
      </c>
      <c r="F203" s="287"/>
      <c r="G203" s="287">
        <v>4200.2</v>
      </c>
      <c r="H203" s="287"/>
      <c r="I203" s="287">
        <f>G203-E203</f>
        <v>231</v>
      </c>
      <c r="J203" s="287"/>
      <c r="K203" s="289">
        <f t="array" ref="K203">IF(ISERROR(I203/E203),"",I203/E203)</f>
        <v>5.8198125566864864E-2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16</v>
      </c>
      <c r="T203" s="292"/>
      <c r="U203" s="292">
        <v>17</v>
      </c>
      <c r="V203" s="292"/>
      <c r="W203" s="291">
        <f t="shared" ref="W203:W210" si="28">S203*11</f>
        <v>176</v>
      </c>
      <c r="X203" s="291"/>
      <c r="Y203" s="291">
        <f t="shared" ref="Y203:Y210" si="29">U203*11</f>
        <v>187</v>
      </c>
      <c r="Z203" s="291"/>
      <c r="AA203" s="291">
        <f t="shared" ref="AA203:AA210" si="30">Y203-W203</f>
        <v>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540</v>
      </c>
      <c r="F204" s="287"/>
      <c r="G204" s="287">
        <v>540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4</v>
      </c>
      <c r="T204" s="292"/>
      <c r="U204" s="292">
        <v>7</v>
      </c>
      <c r="V204" s="292"/>
      <c r="W204" s="291">
        <f t="shared" si="28"/>
        <v>44</v>
      </c>
      <c r="X204" s="291"/>
      <c r="Y204" s="291">
        <f t="shared" si="29"/>
        <v>77</v>
      </c>
      <c r="Z204" s="291"/>
      <c r="AA204" s="291">
        <f t="shared" si="30"/>
        <v>33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151197</v>
      </c>
      <c r="H206" s="294"/>
      <c r="I206" s="333">
        <v>151096</v>
      </c>
      <c r="J206" s="334"/>
      <c r="K206" s="297">
        <f>G206-I206</f>
        <v>101</v>
      </c>
      <c r="L206" s="297"/>
      <c r="M206" s="298">
        <f t="array" ref="M206">IF(ISERROR(K206/L199),"",K206/(L199/1000))</f>
        <v>4.7874432095474324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8"/>
        <v>8.25</v>
      </c>
      <c r="X206" s="291"/>
      <c r="Y206" s="291">
        <f t="shared" si="29"/>
        <v>0</v>
      </c>
      <c r="Z206" s="291"/>
      <c r="AA206" s="291">
        <f t="shared" si="30"/>
        <v>-8.25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28698.2*120+45014.8*60</f>
        <v>6144672</v>
      </c>
      <c r="H207" s="294"/>
      <c r="I207" s="333">
        <v>6143052</v>
      </c>
      <c r="J207" s="334"/>
      <c r="K207" s="297">
        <f>G207-I207</f>
        <v>1620</v>
      </c>
      <c r="L207" s="297"/>
      <c r="M207" s="298">
        <f t="array" ref="M207">IF(ISERROR(K207/L199),"",K207/(L199/1000))</f>
        <v>76.788693064028124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+I208+16</f>
        <v>27082</v>
      </c>
      <c r="H208" s="294"/>
      <c r="I208" s="293">
        <v>27066</v>
      </c>
      <c r="J208" s="294"/>
      <c r="K208" s="297">
        <f>G208-I208</f>
        <v>16</v>
      </c>
      <c r="L208" s="297"/>
      <c r="M208" s="301">
        <f t="array" ref="M208">IF(ISERROR(K208/L199),"",K208/(L199/1000))</f>
        <v>0.75840684507682099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v>3.52</v>
      </c>
      <c r="L209" s="300"/>
      <c r="M209" s="302">
        <f t="array" ref="M209">IF(ISERROR((K209+K210)/L199),"",((K209+K210)*1000)/(L199/1000))</f>
        <v>166.84950591690063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3</v>
      </c>
      <c r="V209" s="292"/>
      <c r="W209" s="291">
        <f t="shared" si="28"/>
        <v>33</v>
      </c>
      <c r="X209" s="291"/>
      <c r="Y209" s="291">
        <f t="shared" si="29"/>
        <v>33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27</v>
      </c>
      <c r="T210" s="292"/>
      <c r="U210" s="292">
        <f>SUM(U203:V209)</f>
        <v>29</v>
      </c>
      <c r="V210" s="292"/>
      <c r="W210" s="291">
        <f t="shared" si="28"/>
        <v>297</v>
      </c>
      <c r="X210" s="291"/>
      <c r="Y210" s="291">
        <f t="shared" si="29"/>
        <v>319</v>
      </c>
      <c r="Z210" s="291"/>
      <c r="AA210" s="291">
        <f t="shared" si="30"/>
        <v>22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4.5454545454545459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66.134344827586204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56" t="s">
        <v>51</v>
      </c>
      <c r="D234" s="256"/>
      <c r="E234" s="166" t="s">
        <v>40</v>
      </c>
      <c r="F234" s="240">
        <v>1594</v>
      </c>
      <c r="G234" s="164">
        <v>6</v>
      </c>
      <c r="H234" s="164"/>
      <c r="I234" s="164">
        <v>6</v>
      </c>
      <c r="J234" s="164"/>
      <c r="K234" s="164">
        <f t="shared" si="31"/>
        <v>3147.6000000000004</v>
      </c>
      <c r="L234" s="164">
        <f t="shared" si="32"/>
        <v>3147.6000000000004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21.653543307086615</v>
      </c>
      <c r="Q234" s="164">
        <v>6.5</v>
      </c>
      <c r="R234" s="19">
        <f t="shared" si="35"/>
        <v>13</v>
      </c>
      <c r="S234" s="164">
        <f t="shared" si="36"/>
        <v>-8.6535433070866148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240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242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240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42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240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42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37">
        <v>3000435</v>
      </c>
      <c r="B238" s="236">
        <v>3004</v>
      </c>
      <c r="C238" s="256" t="s">
        <v>51</v>
      </c>
      <c r="D238" s="256"/>
      <c r="E238" s="241" t="s">
        <v>309</v>
      </c>
      <c r="F238" s="240">
        <v>1593</v>
      </c>
      <c r="G238" s="239">
        <v>1</v>
      </c>
      <c r="H238" s="239"/>
      <c r="I238" s="239">
        <v>1</v>
      </c>
      <c r="J238" s="239"/>
      <c r="K238" s="239">
        <f t="shared" si="31"/>
        <v>524.6</v>
      </c>
      <c r="L238" s="239">
        <f t="shared" si="32"/>
        <v>524.6</v>
      </c>
      <c r="M238" s="239">
        <v>524.6</v>
      </c>
      <c r="N238" s="239">
        <f>+M238*1000/(25.4*20*15*60)*T238</f>
        <v>3.4422572178477688</v>
      </c>
      <c r="O238" s="239"/>
      <c r="P238" s="239">
        <f t="shared" si="34"/>
        <v>3.4422572178477688</v>
      </c>
      <c r="Q238" s="239">
        <v>1.5</v>
      </c>
      <c r="R238" s="19">
        <f t="shared" si="35"/>
        <v>3</v>
      </c>
      <c r="S238" s="239">
        <f t="shared" si="36"/>
        <v>-0.44225721784776884</v>
      </c>
      <c r="T238" s="20">
        <v>3</v>
      </c>
      <c r="U238" s="20">
        <v>2</v>
      </c>
      <c r="V238" s="242">
        <f t="array" ref="V238">IF(ISERROR(L238/K238),"",L238/K238)</f>
        <v>1</v>
      </c>
      <c r="W238" s="20"/>
      <c r="X238" s="20"/>
      <c r="Y238" s="20"/>
      <c r="Z238" s="20"/>
      <c r="AA238" s="20"/>
      <c r="AB238" s="20"/>
      <c r="AC238" s="2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243"/>
      <c r="G239" s="239"/>
      <c r="H239" s="239"/>
      <c r="I239" s="239"/>
      <c r="J239" s="239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42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243"/>
      <c r="G240" s="239"/>
      <c r="H240" s="239"/>
      <c r="I240" s="239"/>
      <c r="J240" s="239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42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243"/>
      <c r="G241" s="239"/>
      <c r="H241" s="239"/>
      <c r="I241" s="239"/>
      <c r="J241" s="239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42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240"/>
      <c r="G242" s="239"/>
      <c r="H242" s="239"/>
      <c r="I242" s="239"/>
      <c r="J242" s="239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42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240"/>
      <c r="G243" s="239"/>
      <c r="H243" s="239"/>
      <c r="I243" s="239"/>
      <c r="J243" s="239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42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240"/>
      <c r="G244" s="239"/>
      <c r="H244" s="239"/>
      <c r="I244" s="239"/>
      <c r="J244" s="239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42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240"/>
      <c r="G245" s="239"/>
      <c r="H245" s="239"/>
      <c r="I245" s="239"/>
      <c r="J245" s="239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42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240"/>
      <c r="G246" s="239"/>
      <c r="H246" s="239"/>
      <c r="I246" s="239"/>
      <c r="J246" s="239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42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243"/>
      <c r="G247" s="239"/>
      <c r="H247" s="239"/>
      <c r="I247" s="239"/>
      <c r="J247" s="239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42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243"/>
      <c r="G248" s="239"/>
      <c r="H248" s="239"/>
      <c r="I248" s="239"/>
      <c r="J248" s="239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42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243"/>
      <c r="G249" s="239"/>
      <c r="H249" s="239"/>
      <c r="I249" s="239"/>
      <c r="J249" s="239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42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240"/>
      <c r="G250" s="239"/>
      <c r="H250" s="239"/>
      <c r="I250" s="239"/>
      <c r="J250" s="239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42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256" t="s">
        <v>61</v>
      </c>
      <c r="D251" s="256" t="s">
        <v>62</v>
      </c>
      <c r="E251" s="166" t="s">
        <v>63</v>
      </c>
      <c r="F251" s="240">
        <v>1596</v>
      </c>
      <c r="G251" s="239">
        <v>7</v>
      </c>
      <c r="H251" s="239">
        <v>1</v>
      </c>
      <c r="I251" s="239">
        <f>6+H251</f>
        <v>7</v>
      </c>
      <c r="J251" s="239"/>
      <c r="K251" s="164">
        <f t="shared" si="31"/>
        <v>2568.5100000000002</v>
      </c>
      <c r="L251" s="164">
        <f t="shared" si="32"/>
        <v>2568.5100000000002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18.396433175762784</v>
      </c>
      <c r="Q251" s="164">
        <v>9</v>
      </c>
      <c r="R251" s="19">
        <f t="shared" si="35"/>
        <v>18</v>
      </c>
      <c r="S251" s="164">
        <f t="shared" si="36"/>
        <v>-0.39643317576278392</v>
      </c>
      <c r="T251" s="20">
        <v>2</v>
      </c>
      <c r="U251" s="20">
        <v>2</v>
      </c>
      <c r="V251" s="242">
        <f t="array" ref="V251">IF(ISERROR(L251/K251),"",L251/K251)</f>
        <v>1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240"/>
      <c r="G252" s="239"/>
      <c r="H252" s="239"/>
      <c r="I252" s="239"/>
      <c r="J252" s="239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42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240"/>
      <c r="G253" s="239"/>
      <c r="H253" s="239"/>
      <c r="I253" s="239"/>
      <c r="J253" s="239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42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240"/>
      <c r="G254" s="239"/>
      <c r="H254" s="239"/>
      <c r="I254" s="239"/>
      <c r="J254" s="239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42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240"/>
      <c r="G255" s="239"/>
      <c r="H255" s="239"/>
      <c r="I255" s="239"/>
      <c r="J255" s="239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42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240"/>
      <c r="G256" s="239"/>
      <c r="H256" s="239"/>
      <c r="I256" s="239"/>
      <c r="J256" s="239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42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240"/>
      <c r="G257" s="239"/>
      <c r="H257" s="239"/>
      <c r="I257" s="239"/>
      <c r="J257" s="239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42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240"/>
      <c r="G258" s="239"/>
      <c r="H258" s="239"/>
      <c r="I258" s="239"/>
      <c r="J258" s="239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42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240"/>
      <c r="G259" s="239"/>
      <c r="H259" s="239"/>
      <c r="I259" s="239"/>
      <c r="J259" s="239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42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240"/>
      <c r="G260" s="239"/>
      <c r="H260" s="239"/>
      <c r="I260" s="239"/>
      <c r="J260" s="239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42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240"/>
      <c r="G261" s="239"/>
      <c r="H261" s="239"/>
      <c r="I261" s="239"/>
      <c r="J261" s="239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42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240"/>
      <c r="G262" s="239"/>
      <c r="H262" s="239"/>
      <c r="I262" s="239"/>
      <c r="J262" s="239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42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240"/>
      <c r="G263" s="239"/>
      <c r="H263" s="239"/>
      <c r="I263" s="239"/>
      <c r="J263" s="239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42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240"/>
      <c r="G264" s="239"/>
      <c r="H264" s="239"/>
      <c r="I264" s="239"/>
      <c r="J264" s="239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42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256" t="s">
        <v>75</v>
      </c>
      <c r="D265" s="256" t="s">
        <v>76</v>
      </c>
      <c r="E265" s="166" t="s">
        <v>38</v>
      </c>
      <c r="F265" s="240">
        <v>1598</v>
      </c>
      <c r="G265" s="239">
        <v>5.4</v>
      </c>
      <c r="H265" s="239">
        <v>0.4</v>
      </c>
      <c r="I265" s="239">
        <f>5+H265</f>
        <v>5.4</v>
      </c>
      <c r="J265" s="239"/>
      <c r="K265" s="164">
        <f t="shared" si="31"/>
        <v>2947.86</v>
      </c>
      <c r="L265" s="164">
        <f t="shared" si="32"/>
        <v>2947.86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14.798493975903616</v>
      </c>
      <c r="Q265" s="164">
        <v>8</v>
      </c>
      <c r="R265" s="19">
        <f t="shared" si="35"/>
        <v>16</v>
      </c>
      <c r="S265" s="164">
        <f t="shared" si="36"/>
        <v>1.2015060240963837</v>
      </c>
      <c r="T265" s="20">
        <v>2</v>
      </c>
      <c r="U265" s="20">
        <v>2</v>
      </c>
      <c r="V265" s="161">
        <f t="array" ref="V265">IF(ISERROR(L265/K265),"",L265/K265)</f>
        <v>1</v>
      </c>
      <c r="W265" s="20"/>
      <c r="X265" s="20"/>
      <c r="Y265" s="20"/>
      <c r="Z265" s="20"/>
      <c r="AA265" s="20">
        <v>2</v>
      </c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244"/>
      <c r="G266" s="239"/>
      <c r="H266" s="239"/>
      <c r="I266" s="239"/>
      <c r="J266" s="239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240"/>
      <c r="G267" s="239"/>
      <c r="H267" s="239"/>
      <c r="I267" s="239"/>
      <c r="J267" s="239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240"/>
      <c r="G268" s="239"/>
      <c r="H268" s="239"/>
      <c r="I268" s="239"/>
      <c r="J268" s="239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240"/>
      <c r="G269" s="239"/>
      <c r="H269" s="239"/>
      <c r="I269" s="239"/>
      <c r="J269" s="239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240"/>
      <c r="G270" s="239"/>
      <c r="H270" s="239"/>
      <c r="I270" s="239"/>
      <c r="J270" s="239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240"/>
      <c r="G271" s="239"/>
      <c r="H271" s="239"/>
      <c r="I271" s="239"/>
      <c r="J271" s="239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240"/>
      <c r="G272" s="239"/>
      <c r="H272" s="239"/>
      <c r="I272" s="239"/>
      <c r="J272" s="239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240"/>
      <c r="G273" s="239"/>
      <c r="H273" s="239"/>
      <c r="I273" s="239"/>
      <c r="J273" s="239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240"/>
      <c r="G274" s="239"/>
      <c r="H274" s="239"/>
      <c r="I274" s="239"/>
      <c r="J274" s="239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240"/>
      <c r="G275" s="239"/>
      <c r="H275" s="239"/>
      <c r="I275" s="239"/>
      <c r="J275" s="239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240"/>
      <c r="G276" s="239"/>
      <c r="H276" s="239"/>
      <c r="I276" s="239"/>
      <c r="J276" s="239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240"/>
      <c r="G277" s="239"/>
      <c r="H277" s="239"/>
      <c r="I277" s="239"/>
      <c r="J277" s="239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240"/>
      <c r="G278" s="239"/>
      <c r="H278" s="239"/>
      <c r="I278" s="239"/>
      <c r="J278" s="239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240"/>
      <c r="G279" s="239"/>
      <c r="H279" s="239"/>
      <c r="I279" s="239"/>
      <c r="J279" s="239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240"/>
      <c r="G280" s="239"/>
      <c r="H280" s="239"/>
      <c r="I280" s="239"/>
      <c r="J280" s="239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240"/>
      <c r="G281" s="239"/>
      <c r="H281" s="239"/>
      <c r="I281" s="239"/>
      <c r="J281" s="239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240"/>
      <c r="G282" s="239"/>
      <c r="H282" s="239"/>
      <c r="I282" s="239"/>
      <c r="J282" s="239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240"/>
      <c r="G283" s="239"/>
      <c r="H283" s="239"/>
      <c r="I283" s="239"/>
      <c r="J283" s="239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240"/>
      <c r="G284" s="239"/>
      <c r="H284" s="239"/>
      <c r="I284" s="239"/>
      <c r="J284" s="239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>
        <v>5001</v>
      </c>
      <c r="C285" s="256" t="s">
        <v>317</v>
      </c>
      <c r="D285" s="256" t="s">
        <v>96</v>
      </c>
      <c r="E285" s="166" t="s">
        <v>41</v>
      </c>
      <c r="F285" s="240">
        <v>1600</v>
      </c>
      <c r="G285" s="239">
        <v>5.88</v>
      </c>
      <c r="H285" s="239">
        <v>0.875</v>
      </c>
      <c r="I285" s="239">
        <f>5+H285</f>
        <v>5.875</v>
      </c>
      <c r="J285" s="239"/>
      <c r="K285" s="164">
        <f t="shared" si="31"/>
        <v>2460.192</v>
      </c>
      <c r="L285" s="164">
        <f t="shared" si="32"/>
        <v>2458.1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29.210932857991683</v>
      </c>
      <c r="Q285" s="164">
        <v>7</v>
      </c>
      <c r="R285" s="19">
        <f t="shared" si="35"/>
        <v>28</v>
      </c>
      <c r="S285" s="164">
        <f t="shared" si="36"/>
        <v>-1.2109328579916827</v>
      </c>
      <c r="T285" s="20">
        <v>4</v>
      </c>
      <c r="U285" s="20">
        <v>4</v>
      </c>
      <c r="V285" s="161">
        <f t="array" ref="V285">IF(ISERROR(L285/K285),"",L285/K285)</f>
        <v>0.99914965986394555</v>
      </c>
      <c r="W285" s="20"/>
      <c r="X285" s="20"/>
      <c r="Y285" s="20"/>
      <c r="Z285" s="20"/>
      <c r="AA285" s="20">
        <v>2</v>
      </c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240"/>
      <c r="G286" s="239"/>
      <c r="H286" s="239"/>
      <c r="I286" s="239"/>
      <c r="J286" s="239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240"/>
      <c r="G287" s="239"/>
      <c r="H287" s="239"/>
      <c r="I287" s="239"/>
      <c r="J287" s="239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240"/>
      <c r="G288" s="239"/>
      <c r="H288" s="239"/>
      <c r="I288" s="239"/>
      <c r="J288" s="239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240"/>
      <c r="G289" s="239"/>
      <c r="H289" s="239"/>
      <c r="I289" s="239"/>
      <c r="J289" s="239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240"/>
      <c r="G290" s="239"/>
      <c r="H290" s="239"/>
      <c r="I290" s="239"/>
      <c r="J290" s="239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240"/>
      <c r="G291" s="239"/>
      <c r="H291" s="239"/>
      <c r="I291" s="239"/>
      <c r="J291" s="239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244"/>
      <c r="G292" s="239"/>
      <c r="H292" s="239"/>
      <c r="I292" s="239"/>
      <c r="J292" s="239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240"/>
      <c r="G293" s="239"/>
      <c r="H293" s="239"/>
      <c r="I293" s="239"/>
      <c r="J293" s="239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240"/>
      <c r="G294" s="239"/>
      <c r="H294" s="239"/>
      <c r="I294" s="239"/>
      <c r="J294" s="239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240"/>
      <c r="G295" s="239"/>
      <c r="H295" s="239"/>
      <c r="I295" s="239"/>
      <c r="J295" s="239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240"/>
      <c r="G296" s="239"/>
      <c r="H296" s="239"/>
      <c r="I296" s="239"/>
      <c r="J296" s="239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240"/>
      <c r="G297" s="239"/>
      <c r="H297" s="239"/>
      <c r="I297" s="239"/>
      <c r="J297" s="239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240"/>
      <c r="G298" s="239"/>
      <c r="H298" s="239"/>
      <c r="I298" s="239"/>
      <c r="J298" s="239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240"/>
      <c r="G299" s="239"/>
      <c r="H299" s="239"/>
      <c r="I299" s="239"/>
      <c r="J299" s="239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240"/>
      <c r="G300" s="239"/>
      <c r="H300" s="239"/>
      <c r="I300" s="239"/>
      <c r="J300" s="239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240"/>
      <c r="G301" s="239"/>
      <c r="H301" s="239"/>
      <c r="I301" s="239"/>
      <c r="J301" s="239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240"/>
      <c r="G302" s="239"/>
      <c r="H302" s="239"/>
      <c r="I302" s="239"/>
      <c r="J302" s="239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240"/>
      <c r="G303" s="239"/>
      <c r="H303" s="239"/>
      <c r="I303" s="239"/>
      <c r="J303" s="239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240"/>
      <c r="G304" s="239"/>
      <c r="H304" s="239"/>
      <c r="I304" s="239"/>
      <c r="J304" s="239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240"/>
      <c r="G305" s="239"/>
      <c r="H305" s="239"/>
      <c r="I305" s="239"/>
      <c r="J305" s="239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237"/>
      <c r="G306" s="239"/>
      <c r="H306" s="239"/>
      <c r="I306" s="239"/>
      <c r="J306" s="239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240"/>
      <c r="G307" s="239"/>
      <c r="H307" s="239"/>
      <c r="I307" s="239"/>
      <c r="J307" s="239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240"/>
      <c r="G308" s="239"/>
      <c r="H308" s="239"/>
      <c r="I308" s="239"/>
      <c r="J308" s="239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240"/>
      <c r="G309" s="239"/>
      <c r="H309" s="239"/>
      <c r="I309" s="239"/>
      <c r="J309" s="239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240"/>
      <c r="G310" s="239"/>
      <c r="H310" s="239"/>
      <c r="I310" s="239"/>
      <c r="J310" s="239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240"/>
      <c r="G311" s="239"/>
      <c r="H311" s="239"/>
      <c r="I311" s="239"/>
      <c r="J311" s="239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243"/>
      <c r="G312" s="239"/>
      <c r="H312" s="239"/>
      <c r="I312" s="239"/>
      <c r="J312" s="239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243"/>
      <c r="G313" s="239"/>
      <c r="H313" s="239"/>
      <c r="I313" s="239"/>
      <c r="J313" s="239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243"/>
      <c r="G314" s="239"/>
      <c r="H314" s="239"/>
      <c r="I314" s="239"/>
      <c r="J314" s="239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240"/>
      <c r="G315" s="239"/>
      <c r="H315" s="239"/>
      <c r="I315" s="239"/>
      <c r="J315" s="239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240"/>
      <c r="G316" s="239"/>
      <c r="H316" s="239"/>
      <c r="I316" s="239"/>
      <c r="J316" s="239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45"/>
      <c r="G317" s="239"/>
      <c r="H317" s="239"/>
      <c r="I317" s="239"/>
      <c r="J317" s="239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45"/>
      <c r="G318" s="239"/>
      <c r="H318" s="239"/>
      <c r="I318" s="239"/>
      <c r="J318" s="239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45"/>
      <c r="G319" s="239"/>
      <c r="H319" s="239"/>
      <c r="I319" s="239"/>
      <c r="J319" s="239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240"/>
      <c r="G320" s="239"/>
      <c r="H320" s="239"/>
      <c r="I320" s="239"/>
      <c r="J320" s="239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240"/>
      <c r="G321" s="239"/>
      <c r="H321" s="239"/>
      <c r="I321" s="239"/>
      <c r="J321" s="239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240"/>
      <c r="G322" s="239"/>
      <c r="H322" s="239"/>
      <c r="I322" s="239"/>
      <c r="J322" s="239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240"/>
      <c r="G323" s="239"/>
      <c r="H323" s="239"/>
      <c r="I323" s="239"/>
      <c r="J323" s="239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240"/>
      <c r="G324" s="239"/>
      <c r="H324" s="239"/>
      <c r="I324" s="239"/>
      <c r="J324" s="239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240"/>
      <c r="G325" s="239"/>
      <c r="H325" s="239"/>
      <c r="I325" s="239"/>
      <c r="J325" s="239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240"/>
      <c r="G326" s="239"/>
      <c r="H326" s="239"/>
      <c r="I326" s="239"/>
      <c r="J326" s="239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240"/>
      <c r="G327" s="239"/>
      <c r="H327" s="239"/>
      <c r="I327" s="239"/>
      <c r="J327" s="239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240"/>
      <c r="G328" s="239"/>
      <c r="H328" s="239"/>
      <c r="I328" s="239"/>
      <c r="J328" s="239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240"/>
      <c r="G329" s="239"/>
      <c r="H329" s="239"/>
      <c r="I329" s="239"/>
      <c r="J329" s="239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240"/>
      <c r="G330" s="239"/>
      <c r="H330" s="239"/>
      <c r="I330" s="239"/>
      <c r="J330" s="239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240"/>
      <c r="G331" s="239"/>
      <c r="H331" s="239"/>
      <c r="I331" s="239"/>
      <c r="J331" s="239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240"/>
      <c r="G332" s="239"/>
      <c r="H332" s="239"/>
      <c r="I332" s="239"/>
      <c r="J332" s="239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240"/>
      <c r="G333" s="239"/>
      <c r="H333" s="239"/>
      <c r="I333" s="239"/>
      <c r="J333" s="239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240"/>
      <c r="G334" s="239"/>
      <c r="H334" s="239"/>
      <c r="I334" s="239"/>
      <c r="J334" s="239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240"/>
      <c r="G335" s="239"/>
      <c r="H335" s="239"/>
      <c r="I335" s="239"/>
      <c r="J335" s="239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240"/>
      <c r="G336" s="239"/>
      <c r="H336" s="239"/>
      <c r="I336" s="239"/>
      <c r="J336" s="239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240"/>
      <c r="G337" s="239"/>
      <c r="H337" s="239"/>
      <c r="I337" s="239"/>
      <c r="J337" s="239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240"/>
      <c r="G338" s="239"/>
      <c r="H338" s="239"/>
      <c r="I338" s="239"/>
      <c r="J338" s="239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240"/>
      <c r="G339" s="239"/>
      <c r="H339" s="239"/>
      <c r="I339" s="239"/>
      <c r="J339" s="239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240"/>
      <c r="G340" s="239"/>
      <c r="H340" s="239"/>
      <c r="I340" s="239"/>
      <c r="J340" s="239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240"/>
      <c r="G341" s="239"/>
      <c r="H341" s="239"/>
      <c r="I341" s="239"/>
      <c r="J341" s="239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240"/>
      <c r="G342" s="239"/>
      <c r="H342" s="239"/>
      <c r="I342" s="239"/>
      <c r="J342" s="239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240"/>
      <c r="G343" s="239"/>
      <c r="H343" s="239"/>
      <c r="I343" s="239"/>
      <c r="J343" s="239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240"/>
      <c r="G344" s="239"/>
      <c r="H344" s="239"/>
      <c r="I344" s="239"/>
      <c r="J344" s="239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240"/>
      <c r="G345" s="239"/>
      <c r="H345" s="239"/>
      <c r="I345" s="239"/>
      <c r="J345" s="239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240"/>
      <c r="G346" s="239"/>
      <c r="H346" s="239"/>
      <c r="I346" s="239"/>
      <c r="J346" s="239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240"/>
      <c r="G347" s="239"/>
      <c r="H347" s="239"/>
      <c r="I347" s="239"/>
      <c r="J347" s="239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>
        <v>6503</v>
      </c>
      <c r="C348" s="267" t="s">
        <v>137</v>
      </c>
      <c r="D348" s="268"/>
      <c r="E348" s="166" t="s">
        <v>57</v>
      </c>
      <c r="F348" s="240">
        <v>1599</v>
      </c>
      <c r="G348" s="239">
        <v>3</v>
      </c>
      <c r="H348" s="239"/>
      <c r="I348" s="239">
        <v>3</v>
      </c>
      <c r="J348" s="239"/>
      <c r="K348" s="164">
        <f t="shared" si="38"/>
        <v>1056.8700000000001</v>
      </c>
      <c r="L348" s="164">
        <f t="shared" si="39"/>
        <v>1056.8700000000001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13.206648872360844</v>
      </c>
      <c r="Q348" s="164">
        <v>6</v>
      </c>
      <c r="R348" s="19">
        <f t="shared" si="41"/>
        <v>30</v>
      </c>
      <c r="S348" s="164">
        <f t="shared" si="42"/>
        <v>16.793351127639156</v>
      </c>
      <c r="T348" s="20">
        <v>5</v>
      </c>
      <c r="U348" s="20">
        <v>5</v>
      </c>
      <c r="V348" s="161">
        <f t="array" ref="V348">IF(ISERROR(L348/K348),"",L348/K348)</f>
        <v>1</v>
      </c>
      <c r="W348" s="20"/>
      <c r="X348" s="20"/>
      <c r="Y348" s="20"/>
      <c r="Z348" s="20"/>
      <c r="AA348" s="20">
        <v>2</v>
      </c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28.279999999999998</v>
      </c>
      <c r="H408" s="164">
        <f t="array" ref="H408">SUM(IF(ISERROR(H215:H407),“”,H215:H407))</f>
        <v>2.2749999999999999</v>
      </c>
      <c r="I408" s="164">
        <f t="array" ref="I408">SUM(IF(ISERROR(I215:I407),“”,I215:I407))</f>
        <v>28.274999999999999</v>
      </c>
      <c r="J408" s="164">
        <f t="array" ref="J408">SUM(IF(ISERROR(J215:J407),“”,J215:J407))</f>
        <v>0</v>
      </c>
      <c r="K408" s="164">
        <f t="array" ref="K408">SUM(IF(ISERROR(K215:K407),“”,K215:K407))</f>
        <v>12705.632000000003</v>
      </c>
      <c r="L408" s="117">
        <f>SUM(L215:L399)</f>
        <v>12703.540000000003</v>
      </c>
      <c r="M408" s="164"/>
      <c r="N408" s="164"/>
      <c r="O408" s="164">
        <f t="array" ref="O408">SUM(IF(ISERROR(O215:O407),“”,O215:O407))</f>
        <v>0.5</v>
      </c>
      <c r="P408" s="56">
        <f>SUM((P215:P399),(W413:X418))</f>
        <v>199.70830940695333</v>
      </c>
      <c r="Q408" s="164"/>
      <c r="R408" s="56">
        <f>SUM((R215:R399),(Y413:Z418))</f>
        <v>207</v>
      </c>
      <c r="S408" s="164">
        <f t="array" ref="S408">SUM(IF(ISERROR(S215:S407),“”,S215:S407))</f>
        <v>7.29169059304669</v>
      </c>
      <c r="T408" s="164"/>
      <c r="U408" s="164"/>
      <c r="V408" s="161">
        <f t="array" ref="V408">IF(ISERROR(L408/K408),"",L408/K408)</f>
        <v>0.99983534860760959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0.96477444157948467</v>
      </c>
      <c r="P409" s="282"/>
      <c r="Q409" s="282"/>
      <c r="R409" s="283"/>
      <c r="S409" s="44"/>
      <c r="T409" s="45"/>
      <c r="U409" s="45"/>
      <c r="V409" s="45"/>
      <c r="W409" s="284">
        <f>SUM(W408:AC408)</f>
        <v>10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62.5</v>
      </c>
      <c r="F411" s="287"/>
      <c r="G411" s="287">
        <v>62.5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2181</v>
      </c>
      <c r="F412" s="287"/>
      <c r="G412" s="287">
        <v>2381</v>
      </c>
      <c r="H412" s="287"/>
      <c r="I412" s="287">
        <f>G412-E412</f>
        <v>200</v>
      </c>
      <c r="J412" s="287"/>
      <c r="K412" s="289">
        <f t="array" ref="K412">IF(ISERROR(I412/E412),"",I412/E412)</f>
        <v>9.170105456212746E-2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16</v>
      </c>
      <c r="T412" s="292"/>
      <c r="U412" s="292">
        <v>17</v>
      </c>
      <c r="V412" s="292"/>
      <c r="W412" s="291">
        <f>S412*9</f>
        <v>144</v>
      </c>
      <c r="X412" s="291"/>
      <c r="Y412" s="291">
        <f>U412*9</f>
        <v>153</v>
      </c>
      <c r="Z412" s="291"/>
      <c r="AA412" s="291">
        <f t="shared" ref="AA412:AA419" si="59">Y412-W412</f>
        <v>9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183</v>
      </c>
      <c r="F413" s="287"/>
      <c r="G413" s="287">
        <v>183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4</v>
      </c>
      <c r="T413" s="292"/>
      <c r="U413" s="292">
        <v>5</v>
      </c>
      <c r="V413" s="292"/>
      <c r="W413" s="291">
        <f t="shared" ref="W413:W419" si="60">S413*9</f>
        <v>36</v>
      </c>
      <c r="X413" s="291"/>
      <c r="Y413" s="291">
        <f t="shared" ref="Y413:Y419" si="61">U413*9</f>
        <v>45</v>
      </c>
      <c r="Z413" s="291"/>
      <c r="AA413" s="291">
        <f t="shared" si="59"/>
        <v>9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151490</v>
      </c>
      <c r="H415" s="332"/>
      <c r="I415" s="333">
        <v>151197</v>
      </c>
      <c r="J415" s="334"/>
      <c r="K415" s="297">
        <f>G415-I415</f>
        <v>293</v>
      </c>
      <c r="L415" s="297"/>
      <c r="M415" s="298">
        <f t="array" ref="M415">IF(ISERROR(K415/L408),"",K415/(L408/1000))</f>
        <v>23.064437156886974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6.75</v>
      </c>
      <c r="X415" s="291"/>
      <c r="Y415" s="291">
        <f t="shared" si="61"/>
        <v>9</v>
      </c>
      <c r="Z415" s="291"/>
      <c r="AA415" s="291">
        <f t="shared" si="59"/>
        <v>2.25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45037*60+28711.8*120</f>
        <v>6147636</v>
      </c>
      <c r="H416" s="331"/>
      <c r="I416" s="330">
        <v>6144672</v>
      </c>
      <c r="J416" s="331"/>
      <c r="K416" s="297">
        <f>G416-I416</f>
        <v>2964</v>
      </c>
      <c r="L416" s="297"/>
      <c r="M416" s="298">
        <f t="array" ref="M416">IF(ISERROR(K416/L408),"",K416/(L408/1000))</f>
        <v>233.32079089765526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13.5</v>
      </c>
      <c r="X416" s="291"/>
      <c r="Y416" s="291">
        <f t="shared" si="61"/>
        <v>9</v>
      </c>
      <c r="Z416" s="291"/>
      <c r="AA416" s="291">
        <f t="shared" si="59"/>
        <v>-4.5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+I417+14</f>
        <v>27096</v>
      </c>
      <c r="H417" s="332"/>
      <c r="I417" s="335">
        <v>27082</v>
      </c>
      <c r="J417" s="336"/>
      <c r="K417" s="297">
        <f>G417-I417</f>
        <v>14</v>
      </c>
      <c r="L417" s="297"/>
      <c r="M417" s="301">
        <f t="array" ref="M417">IF(ISERROR(K417/L408),"",K417/(L408/1000))</f>
        <v>1.1020550177352137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v>3.04</v>
      </c>
      <c r="L418" s="309"/>
      <c r="M418" s="302">
        <f t="array" ref="M418">IF(ISERROR((K418+K419)/L408),"",((K418+K419)*1000)/(L408/1000))</f>
        <v>239.30337527964642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3</v>
      </c>
      <c r="V418" s="292"/>
      <c r="W418" s="291">
        <f t="shared" si="60"/>
        <v>27</v>
      </c>
      <c r="X418" s="291"/>
      <c r="Y418" s="291">
        <f t="shared" si="61"/>
        <v>27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27</v>
      </c>
      <c r="T419" s="292"/>
      <c r="U419" s="292">
        <f>SUM(U412:V418)</f>
        <v>28</v>
      </c>
      <c r="V419" s="292"/>
      <c r="W419" s="291">
        <f t="shared" si="60"/>
        <v>243</v>
      </c>
      <c r="X419" s="291"/>
      <c r="Y419" s="291">
        <f t="shared" si="61"/>
        <v>252</v>
      </c>
      <c r="Z419" s="291"/>
      <c r="AA419" s="291">
        <f t="shared" si="59"/>
        <v>9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4.6052631578947372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50.41087301587303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33857.078000000001</v>
      </c>
      <c r="D423" s="345"/>
      <c r="E423" s="341" t="s">
        <v>226</v>
      </c>
      <c r="F423" s="341"/>
      <c r="G423" s="341">
        <f>L199+L408</f>
        <v>33800.396000000001</v>
      </c>
      <c r="H423" s="341"/>
      <c r="I423" s="348" t="s">
        <v>227</v>
      </c>
      <c r="J423" s="348"/>
      <c r="K423" s="347">
        <f>IF(ISERROR(G423/C423),"",G423/C423)</f>
        <v>0.99832584489423448</v>
      </c>
      <c r="L423" s="347"/>
      <c r="M423" s="341" t="s">
        <v>228</v>
      </c>
      <c r="N423" s="341"/>
      <c r="O423" s="342">
        <f>IF(ISERROR(G423/G424),"",G423/G424)</f>
        <v>66.145589041095889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496.81554032540106</v>
      </c>
      <c r="D424" s="345"/>
      <c r="E424" s="346" t="s">
        <v>18</v>
      </c>
      <c r="F424" s="346"/>
      <c r="G424" s="341">
        <f>R199+R408</f>
        <v>511</v>
      </c>
      <c r="H424" s="341"/>
      <c r="I424" s="321" t="s">
        <v>176</v>
      </c>
      <c r="J424" s="321"/>
      <c r="K424" s="347">
        <f>IF(ISERROR(C424/G424),"",C424/G424)</f>
        <v>0.97224176188923883</v>
      </c>
      <c r="L424" s="347"/>
      <c r="M424" s="287" t="s">
        <v>230</v>
      </c>
      <c r="N424" s="287"/>
      <c r="O424" s="341">
        <f>W200+W409</f>
        <v>13</v>
      </c>
      <c r="P424" s="287"/>
      <c r="Q424" s="287" t="s">
        <v>231</v>
      </c>
      <c r="R424" s="287"/>
      <c r="S424" s="347">
        <f t="array" ref="S424">IF(ISERROR(O424/G424),"",O424/G424)</f>
        <v>2.5440313111545987E-2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394</v>
      </c>
      <c r="D426" s="345"/>
      <c r="E426" s="341" t="s">
        <v>234</v>
      </c>
      <c r="F426" s="341"/>
      <c r="G426" s="301">
        <f t="array" ref="G426">IF(ISERROR(C426/G423),"",C426/(G423/1000))</f>
        <v>11.656668164479493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4584</v>
      </c>
      <c r="D427" s="345"/>
      <c r="E427" s="341" t="s">
        <v>236</v>
      </c>
      <c r="F427" s="341"/>
      <c r="G427" s="301">
        <f>IF(ISERROR(C427/G423),"",C427/(G423/1000))</f>
        <v>135.61971285780203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30</v>
      </c>
      <c r="D428" s="345"/>
      <c r="E428" s="341" t="s">
        <v>238</v>
      </c>
      <c r="F428" s="341"/>
      <c r="G428" s="301">
        <f>IF(ISERROR(C428/G423),"",C428/(G423/1000))</f>
        <v>0.88756356582331164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6.5600000000000005</v>
      </c>
      <c r="D429" s="345"/>
      <c r="E429" s="341" t="s">
        <v>240</v>
      </c>
      <c r="F429" s="341"/>
      <c r="G429" s="349">
        <f>IF(ISERROR(C429/G423),"",C429/(G423/1000))</f>
        <v>0.19408056639336416</v>
      </c>
      <c r="H429" s="349"/>
      <c r="I429" s="341" t="s">
        <v>241</v>
      </c>
      <c r="J429" s="341"/>
      <c r="K429" s="350">
        <f>IF(ISERROR(C428/C429),"",C428/C429)</f>
        <v>4.5731707317073171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200</v>
      </c>
      <c r="D432" s="354"/>
      <c r="E432" s="341" t="s">
        <v>247</v>
      </c>
      <c r="F432" s="359"/>
      <c r="G432" s="355">
        <f>+G411+G202</f>
        <v>200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6150.2</v>
      </c>
      <c r="D433" s="354"/>
      <c r="E433" s="341" t="s">
        <v>251</v>
      </c>
      <c r="F433" s="341"/>
      <c r="G433" s="355">
        <f>+G412+G203</f>
        <v>6581.2</v>
      </c>
      <c r="H433" s="356"/>
      <c r="I433" s="341" t="s">
        <v>252</v>
      </c>
      <c r="J433" s="341"/>
      <c r="K433" s="323">
        <f>G433-C433</f>
        <v>431</v>
      </c>
      <c r="L433" s="325"/>
      <c r="M433" s="357" t="s">
        <v>253</v>
      </c>
      <c r="N433" s="358"/>
      <c r="O433" s="351">
        <f t="array" ref="O433">IF(ISERROR(K433/C433),"",K433/C433)</f>
        <v>7.0079021820428605E-2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723</v>
      </c>
      <c r="D434" s="354"/>
      <c r="E434" s="341" t="s">
        <v>255</v>
      </c>
      <c r="F434" s="359"/>
      <c r="G434" s="355">
        <f>+G413+G204</f>
        <v>723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>
        <v>7</v>
      </c>
      <c r="I440" s="154">
        <v>6</v>
      </c>
      <c r="J440" s="83">
        <f t="shared" si="63"/>
        <v>13</v>
      </c>
      <c r="K440" s="67">
        <v>3</v>
      </c>
      <c r="L440" s="67"/>
      <c r="M440" s="67"/>
      <c r="N440" s="67"/>
      <c r="O440" s="67"/>
      <c r="P440" s="118"/>
      <c r="Q440" s="83">
        <f t="shared" si="64"/>
        <v>10</v>
      </c>
      <c r="R440" s="158">
        <f t="shared" si="65"/>
        <v>110</v>
      </c>
      <c r="S440" s="101">
        <f t="array" ref="S440">IF(ISERROR(Q440/J440),"",Q440/J440)</f>
        <v>0.76923076923076927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7</v>
      </c>
      <c r="I443" s="68">
        <f t="shared" si="67"/>
        <v>6</v>
      </c>
      <c r="J443" s="84">
        <f t="shared" si="63"/>
        <v>32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29</v>
      </c>
      <c r="R443" s="158">
        <f t="shared" si="65"/>
        <v>319</v>
      </c>
      <c r="S443" s="120">
        <f t="array" ref="S443">IF(ISERROR(Q443/J443),"",Q443/J443)</f>
        <v>0.90625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22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14</v>
      </c>
      <c r="K447" s="67">
        <v>2</v>
      </c>
      <c r="L447" s="67"/>
      <c r="M447" s="67"/>
      <c r="N447" s="67"/>
      <c r="O447" s="67"/>
      <c r="P447" s="67">
        <v>2</v>
      </c>
      <c r="Q447" s="83">
        <f t="shared" si="64"/>
        <v>12</v>
      </c>
      <c r="R447" s="158">
        <f t="shared" si="68"/>
        <v>138</v>
      </c>
      <c r="S447" s="101">
        <f t="array" ref="S447">IF(ISERROR(Q447/J447),"",Q447/J447)</f>
        <v>0.8571428571428571</v>
      </c>
      <c r="T447" s="101">
        <f t="array" ref="T447">IF(ISERROR((O447:P447)/C447),"",SUM(O447:P447)/C447)</f>
        <v>9.0909090909090912E-2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38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2</v>
      </c>
      <c r="Q450" s="83">
        <f t="shared" si="64"/>
        <v>28</v>
      </c>
      <c r="R450" s="158">
        <f t="shared" si="68"/>
        <v>322</v>
      </c>
      <c r="S450" s="122">
        <f t="array" ref="S450">IF(ISERROR(Q450/J450),"",Q450/J450)</f>
        <v>0.93333333333333335</v>
      </c>
      <c r="T450" s="122">
        <f t="array" ref="T450">IF(ISERROR((O450:P450)/C450),"",SUM(O450:P450)/C450)</f>
        <v>5.2631578947368418E-2</v>
      </c>
      <c r="U450" s="101">
        <f t="array" ref="U450">IF(ISERROR((O450:P450)/C450),"",SUM(O450:P450)/C450)</f>
        <v>5.2631578947368418E-2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55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7</v>
      </c>
      <c r="I452" s="69">
        <f>+I443+I450+I451</f>
        <v>14</v>
      </c>
      <c r="J452" s="85">
        <f t="shared" si="63"/>
        <v>34</v>
      </c>
      <c r="K452" s="69">
        <f t="shared" ref="K452:P452" si="71">+K443+K450+K451</f>
        <v>5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2</v>
      </c>
      <c r="Q452" s="83">
        <f t="shared" si="64"/>
        <v>29</v>
      </c>
      <c r="R452" s="67">
        <f>R443+R450+R451</f>
        <v>663</v>
      </c>
      <c r="S452" s="123">
        <f t="array" ref="S452">IF(ISERROR(Q452/J452),"",Q452/J452)</f>
        <v>0.8529411764705882</v>
      </c>
      <c r="T452" s="167">
        <f t="array" ref="T452">IF(ISERROR((O452:P452)/C452),"",SUM(O452:P452)/C452)</f>
        <v>3.6363636363636362E-2</v>
      </c>
      <c r="U452" s="101">
        <f t="array" ref="U452">IF(ISERROR((O452:P452)/C452),"",SUM(O452:P452)/C452)</f>
        <v>3.6363636363636362E-2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19" workbookViewId="0">
      <selection activeCell="I42" sqref="I4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25" topLeftCell="Q211" activePane="bottomRight" state="frozen"/>
      <selection pane="topRight" activeCell="F1" sqref="F1"/>
      <selection pane="bottomLeft" activeCell="A26" sqref="A26"/>
      <selection pane="bottomRight" activeCell="W410" sqref="W410:X4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2.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customHeight="1">
      <c r="A25" s="247">
        <v>300011</v>
      </c>
      <c r="B25" s="246" t="s">
        <v>330</v>
      </c>
      <c r="C25" s="256" t="s">
        <v>51</v>
      </c>
      <c r="D25" s="256"/>
      <c r="E25" s="251" t="s">
        <v>40</v>
      </c>
      <c r="F25" s="250"/>
      <c r="G25" s="133">
        <v>0.2</v>
      </c>
      <c r="H25" s="133">
        <v>0.2</v>
      </c>
      <c r="I25" s="133">
        <f>+H25</f>
        <v>0.2</v>
      </c>
      <c r="J25" s="133"/>
      <c r="K25" s="249">
        <f t="shared" si="0"/>
        <v>104.92000000000002</v>
      </c>
      <c r="L25" s="249">
        <f t="shared" si="1"/>
        <v>104.92000000000002</v>
      </c>
      <c r="M25" s="249">
        <v>524.6</v>
      </c>
      <c r="N25" s="249">
        <f>+M25*1000/(25.4*20*15*60)*T25</f>
        <v>3.4422572178477688</v>
      </c>
      <c r="O25" s="249"/>
      <c r="P25" s="249">
        <f t="shared" si="2"/>
        <v>0.68845144356955379</v>
      </c>
      <c r="Q25" s="249">
        <v>1</v>
      </c>
      <c r="R25" s="19">
        <f t="shared" si="3"/>
        <v>2</v>
      </c>
      <c r="S25" s="249">
        <f t="shared" si="4"/>
        <v>1.3115485564304463</v>
      </c>
      <c r="T25" s="20">
        <v>3</v>
      </c>
      <c r="U25" s="20">
        <v>2</v>
      </c>
      <c r="V25" s="248">
        <f t="array" ref="V25">IF(ISERROR(L25/K25),"",L25/K25)</f>
        <v>1</v>
      </c>
      <c r="W25" s="20"/>
      <c r="X25" s="20"/>
      <c r="Y25" s="20"/>
      <c r="Z25" s="20"/>
      <c r="AA25" s="20">
        <v>4</v>
      </c>
      <c r="AB25" s="20"/>
      <c r="AC25" s="20"/>
    </row>
    <row r="26" spans="1:29" s="2" customFormat="1" ht="21.95" customHeight="1">
      <c r="A26" s="247">
        <v>300012</v>
      </c>
      <c r="B26" s="246" t="s">
        <v>330</v>
      </c>
      <c r="C26" s="256" t="s">
        <v>51</v>
      </c>
      <c r="D26" s="256"/>
      <c r="E26" s="251" t="s">
        <v>41</v>
      </c>
      <c r="F26" s="250">
        <v>1619</v>
      </c>
      <c r="G26" s="133">
        <v>6</v>
      </c>
      <c r="H26" s="133"/>
      <c r="I26" s="133">
        <v>6</v>
      </c>
      <c r="J26" s="133"/>
      <c r="K26" s="249">
        <f t="shared" si="0"/>
        <v>3147.6000000000004</v>
      </c>
      <c r="L26" s="249">
        <f t="shared" si="1"/>
        <v>3147.6000000000004</v>
      </c>
      <c r="M26" s="249">
        <v>524.6</v>
      </c>
      <c r="N26" s="249">
        <f>+M26*1000/(25.4*20*15*60)*T26</f>
        <v>3.4422572178477688</v>
      </c>
      <c r="O26" s="249">
        <v>0.5</v>
      </c>
      <c r="P26" s="249">
        <f t="shared" si="2"/>
        <v>21.653543307086615</v>
      </c>
      <c r="Q26" s="249">
        <v>10</v>
      </c>
      <c r="R26" s="19">
        <f t="shared" si="3"/>
        <v>20</v>
      </c>
      <c r="S26" s="249">
        <f t="shared" si="4"/>
        <v>-1.6535433070866148</v>
      </c>
      <c r="T26" s="20">
        <v>3</v>
      </c>
      <c r="U26" s="20">
        <v>2</v>
      </c>
      <c r="V26" s="248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247">
        <v>300013</v>
      </c>
      <c r="B27" s="246" t="s">
        <v>43</v>
      </c>
      <c r="C27" s="256" t="s">
        <v>51</v>
      </c>
      <c r="D27" s="256"/>
      <c r="E27" s="251" t="s">
        <v>42</v>
      </c>
      <c r="F27" s="250"/>
      <c r="G27" s="133"/>
      <c r="H27" s="133"/>
      <c r="I27" s="133"/>
      <c r="J27" s="133"/>
      <c r="K27" s="249">
        <f t="shared" si="0"/>
        <v>0</v>
      </c>
      <c r="L27" s="249">
        <f t="shared" si="1"/>
        <v>0</v>
      </c>
      <c r="M27" s="249">
        <v>524.6</v>
      </c>
      <c r="N27" s="249">
        <f>+M27*1000/(25.4*20*15*60)*T27</f>
        <v>3.4422572178477688</v>
      </c>
      <c r="O27" s="249"/>
      <c r="P27" s="249">
        <f t="shared" si="2"/>
        <v>0</v>
      </c>
      <c r="Q27" s="249"/>
      <c r="R27" s="19">
        <f t="shared" si="3"/>
        <v>0</v>
      </c>
      <c r="S27" s="249">
        <f t="shared" si="4"/>
        <v>0</v>
      </c>
      <c r="T27" s="20">
        <v>3</v>
      </c>
      <c r="U27" s="20"/>
      <c r="V27" s="24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247">
        <v>300016</v>
      </c>
      <c r="B28" s="246" t="s">
        <v>43</v>
      </c>
      <c r="C28" s="256" t="s">
        <v>51</v>
      </c>
      <c r="D28" s="256"/>
      <c r="E28" s="251" t="s">
        <v>38</v>
      </c>
      <c r="F28" s="250"/>
      <c r="G28" s="133"/>
      <c r="H28" s="133"/>
      <c r="I28" s="133"/>
      <c r="J28" s="133"/>
      <c r="K28" s="249">
        <f t="shared" si="0"/>
        <v>0</v>
      </c>
      <c r="L28" s="249">
        <f t="shared" si="1"/>
        <v>0</v>
      </c>
      <c r="M28" s="249">
        <v>524.6</v>
      </c>
      <c r="N28" s="249">
        <f>+M28*1000/(25.4*20*15*60)*T28</f>
        <v>3.4422572178477688</v>
      </c>
      <c r="O28" s="249"/>
      <c r="P28" s="249">
        <f t="shared" si="2"/>
        <v>0</v>
      </c>
      <c r="Q28" s="249"/>
      <c r="R28" s="19">
        <f t="shared" si="3"/>
        <v>0</v>
      </c>
      <c r="S28" s="249">
        <f t="shared" si="4"/>
        <v>0</v>
      </c>
      <c r="T28" s="20">
        <v>3</v>
      </c>
      <c r="U28" s="20"/>
      <c r="V28" s="24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47">
        <v>3000435</v>
      </c>
      <c r="B29" s="246" t="s">
        <v>43</v>
      </c>
      <c r="C29" s="256" t="s">
        <v>51</v>
      </c>
      <c r="D29" s="256"/>
      <c r="E29" s="251" t="s">
        <v>309</v>
      </c>
      <c r="F29" s="250"/>
      <c r="G29" s="133"/>
      <c r="H29" s="133"/>
      <c r="I29" s="133"/>
      <c r="J29" s="133"/>
      <c r="K29" s="249">
        <f t="shared" si="0"/>
        <v>0</v>
      </c>
      <c r="L29" s="249">
        <f t="shared" si="1"/>
        <v>0</v>
      </c>
      <c r="M29" s="249">
        <v>524.6</v>
      </c>
      <c r="N29" s="249">
        <f>+M29*1000/(25.4*20*15*60)*T29</f>
        <v>3.4422572178477688</v>
      </c>
      <c r="O29" s="249"/>
      <c r="P29" s="249">
        <f t="shared" si="2"/>
        <v>0</v>
      </c>
      <c r="Q29" s="249"/>
      <c r="R29" s="19">
        <f t="shared" si="3"/>
        <v>0</v>
      </c>
      <c r="S29" s="249">
        <f t="shared" si="4"/>
        <v>0</v>
      </c>
      <c r="T29" s="20">
        <v>3</v>
      </c>
      <c r="U29" s="20"/>
      <c r="V29" s="248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47">
        <v>300276</v>
      </c>
      <c r="B30" s="246" t="s">
        <v>43</v>
      </c>
      <c r="C30" s="256" t="s">
        <v>53</v>
      </c>
      <c r="D30" s="256"/>
      <c r="E30" s="251" t="s">
        <v>41</v>
      </c>
      <c r="F30" s="250"/>
      <c r="G30" s="133"/>
      <c r="H30" s="133"/>
      <c r="I30" s="133"/>
      <c r="J30" s="133"/>
      <c r="K30" s="249">
        <f t="shared" si="0"/>
        <v>0</v>
      </c>
      <c r="L30" s="249">
        <f t="shared" si="1"/>
        <v>0</v>
      </c>
      <c r="M30" s="249">
        <v>266</v>
      </c>
      <c r="N30" s="249">
        <f>+M30*1000/(29.8*10*13*60)*T30</f>
        <v>3.4331440371708828</v>
      </c>
      <c r="O30" s="249"/>
      <c r="P30" s="249">
        <f t="shared" si="2"/>
        <v>0</v>
      </c>
      <c r="Q30" s="249"/>
      <c r="R30" s="19">
        <f t="shared" si="3"/>
        <v>0</v>
      </c>
      <c r="S30" s="249">
        <f t="shared" si="4"/>
        <v>0</v>
      </c>
      <c r="T30" s="20">
        <v>3</v>
      </c>
      <c r="U30" s="20"/>
      <c r="V30" s="24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47">
        <v>300277</v>
      </c>
      <c r="B31" s="246" t="s">
        <v>43</v>
      </c>
      <c r="C31" s="256" t="s">
        <v>53</v>
      </c>
      <c r="D31" s="256"/>
      <c r="E31" s="251" t="s">
        <v>39</v>
      </c>
      <c r="F31" s="250"/>
      <c r="G31" s="133"/>
      <c r="H31" s="133"/>
      <c r="I31" s="133"/>
      <c r="J31" s="133"/>
      <c r="K31" s="249">
        <f t="shared" si="0"/>
        <v>0</v>
      </c>
      <c r="L31" s="249">
        <f t="shared" si="1"/>
        <v>0</v>
      </c>
      <c r="M31" s="249">
        <v>266</v>
      </c>
      <c r="N31" s="249">
        <f>+M31*1000/(29.8*10*13*60)*T31</f>
        <v>3.4331440371708828</v>
      </c>
      <c r="O31" s="249"/>
      <c r="P31" s="249">
        <f t="shared" si="2"/>
        <v>0</v>
      </c>
      <c r="Q31" s="249"/>
      <c r="R31" s="19">
        <f t="shared" si="3"/>
        <v>0</v>
      </c>
      <c r="S31" s="249">
        <f t="shared" si="4"/>
        <v>0</v>
      </c>
      <c r="T31" s="20">
        <v>3</v>
      </c>
      <c r="U31" s="20"/>
      <c r="V31" s="24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47">
        <v>300278</v>
      </c>
      <c r="B32" s="246" t="s">
        <v>43</v>
      </c>
      <c r="C32" s="256" t="s">
        <v>53</v>
      </c>
      <c r="D32" s="256"/>
      <c r="E32" s="251" t="s">
        <v>54</v>
      </c>
      <c r="F32" s="250"/>
      <c r="G32" s="133"/>
      <c r="H32" s="133"/>
      <c r="I32" s="133"/>
      <c r="J32" s="133"/>
      <c r="K32" s="249">
        <f t="shared" si="0"/>
        <v>0</v>
      </c>
      <c r="L32" s="249">
        <f t="shared" si="1"/>
        <v>0</v>
      </c>
      <c r="M32" s="249">
        <v>266</v>
      </c>
      <c r="N32" s="249">
        <f>+M32*1000/(29.8*10*13*60)*T32</f>
        <v>3.4331440371708828</v>
      </c>
      <c r="O32" s="249"/>
      <c r="P32" s="249">
        <f t="shared" si="2"/>
        <v>0</v>
      </c>
      <c r="Q32" s="249"/>
      <c r="R32" s="19">
        <f t="shared" si="3"/>
        <v>0</v>
      </c>
      <c r="S32" s="249">
        <f t="shared" si="4"/>
        <v>0</v>
      </c>
      <c r="T32" s="20">
        <v>3</v>
      </c>
      <c r="U32" s="20"/>
      <c r="V32" s="24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47">
        <v>300027</v>
      </c>
      <c r="B33" s="246" t="s">
        <v>55</v>
      </c>
      <c r="C33" s="256" t="s">
        <v>56</v>
      </c>
      <c r="D33" s="256"/>
      <c r="E33" s="251" t="s">
        <v>54</v>
      </c>
      <c r="F33" s="250"/>
      <c r="G33" s="133"/>
      <c r="H33" s="133"/>
      <c r="I33" s="133"/>
      <c r="J33" s="133"/>
      <c r="K33" s="249">
        <f t="shared" si="0"/>
        <v>0</v>
      </c>
      <c r="L33" s="249">
        <f t="shared" si="1"/>
        <v>0</v>
      </c>
      <c r="M33" s="249">
        <v>550.4</v>
      </c>
      <c r="N33" s="249">
        <f>+M33*1000/(31*20*15*60)*T33</f>
        <v>2.9591397849462364</v>
      </c>
      <c r="O33" s="249"/>
      <c r="P33" s="249">
        <f t="shared" si="2"/>
        <v>0</v>
      </c>
      <c r="Q33" s="249"/>
      <c r="R33" s="19">
        <f t="shared" si="3"/>
        <v>0</v>
      </c>
      <c r="S33" s="249">
        <f t="shared" si="4"/>
        <v>0</v>
      </c>
      <c r="T33" s="20">
        <v>3</v>
      </c>
      <c r="U33" s="20"/>
      <c r="V33" s="24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47">
        <v>300028</v>
      </c>
      <c r="B34" s="246" t="s">
        <v>55</v>
      </c>
      <c r="C34" s="256" t="s">
        <v>56</v>
      </c>
      <c r="D34" s="256"/>
      <c r="E34" s="251" t="s">
        <v>35</v>
      </c>
      <c r="F34" s="250"/>
      <c r="G34" s="133"/>
      <c r="H34" s="133"/>
      <c r="I34" s="133"/>
      <c r="J34" s="133"/>
      <c r="K34" s="249">
        <f t="shared" si="0"/>
        <v>0</v>
      </c>
      <c r="L34" s="249">
        <f t="shared" si="1"/>
        <v>0</v>
      </c>
      <c r="M34" s="249">
        <v>550.4</v>
      </c>
      <c r="N34" s="249">
        <f>+M34*1000/(31*20*15*60)*T34</f>
        <v>2.9591397849462364</v>
      </c>
      <c r="O34" s="249"/>
      <c r="P34" s="249">
        <f t="shared" si="2"/>
        <v>0</v>
      </c>
      <c r="Q34" s="249"/>
      <c r="R34" s="19">
        <f t="shared" si="3"/>
        <v>0</v>
      </c>
      <c r="S34" s="249">
        <f t="shared" si="4"/>
        <v>0</v>
      </c>
      <c r="T34" s="20">
        <v>3</v>
      </c>
      <c r="U34" s="20"/>
      <c r="V34" s="24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47">
        <v>300029</v>
      </c>
      <c r="B35" s="246" t="s">
        <v>55</v>
      </c>
      <c r="C35" s="256" t="s">
        <v>56</v>
      </c>
      <c r="D35" s="256"/>
      <c r="E35" s="251" t="s">
        <v>57</v>
      </c>
      <c r="F35" s="250"/>
      <c r="G35" s="133"/>
      <c r="H35" s="133"/>
      <c r="I35" s="133"/>
      <c r="J35" s="133"/>
      <c r="K35" s="249">
        <f t="shared" si="0"/>
        <v>0</v>
      </c>
      <c r="L35" s="249">
        <f t="shared" si="1"/>
        <v>0</v>
      </c>
      <c r="M35" s="249">
        <v>550.4</v>
      </c>
      <c r="N35" s="249">
        <f>+M35*1000/(31*20*15*60)*T35</f>
        <v>2.9591397849462364</v>
      </c>
      <c r="O35" s="249"/>
      <c r="P35" s="249">
        <f t="shared" si="2"/>
        <v>0</v>
      </c>
      <c r="Q35" s="249"/>
      <c r="R35" s="19">
        <f t="shared" si="3"/>
        <v>0</v>
      </c>
      <c r="S35" s="249">
        <f t="shared" si="4"/>
        <v>0</v>
      </c>
      <c r="T35" s="20">
        <v>3</v>
      </c>
      <c r="U35" s="20"/>
      <c r="V35" s="24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47">
        <v>300026</v>
      </c>
      <c r="B36" s="246" t="s">
        <v>55</v>
      </c>
      <c r="C36" s="256" t="s">
        <v>56</v>
      </c>
      <c r="D36" s="256"/>
      <c r="E36" s="251" t="s">
        <v>37</v>
      </c>
      <c r="F36" s="250"/>
      <c r="G36" s="133"/>
      <c r="H36" s="133"/>
      <c r="I36" s="133"/>
      <c r="J36" s="133"/>
      <c r="K36" s="249">
        <f t="shared" si="0"/>
        <v>0</v>
      </c>
      <c r="L36" s="249">
        <f t="shared" si="1"/>
        <v>0</v>
      </c>
      <c r="M36" s="249">
        <v>550.4</v>
      </c>
      <c r="N36" s="249">
        <f>+M36*1000/(31*20*15*60)*T36</f>
        <v>2.9591397849462364</v>
      </c>
      <c r="O36" s="249"/>
      <c r="P36" s="249">
        <f t="shared" si="2"/>
        <v>0</v>
      </c>
      <c r="Q36" s="249"/>
      <c r="R36" s="19">
        <f t="shared" si="3"/>
        <v>0</v>
      </c>
      <c r="S36" s="249">
        <f t="shared" si="4"/>
        <v>0</v>
      </c>
      <c r="T36" s="20">
        <v>3</v>
      </c>
      <c r="U36" s="20"/>
      <c r="V36" s="24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47">
        <v>300032</v>
      </c>
      <c r="B37" s="246">
        <v>3002</v>
      </c>
      <c r="C37" s="256" t="s">
        <v>58</v>
      </c>
      <c r="D37" s="256" t="s">
        <v>59</v>
      </c>
      <c r="E37" s="251" t="s">
        <v>35</v>
      </c>
      <c r="F37" s="250"/>
      <c r="G37" s="133"/>
      <c r="H37" s="133"/>
      <c r="I37" s="133"/>
      <c r="J37" s="133"/>
      <c r="K37" s="249">
        <f t="shared" si="0"/>
        <v>0</v>
      </c>
      <c r="L37" s="249">
        <f t="shared" si="1"/>
        <v>0</v>
      </c>
      <c r="M37" s="249">
        <v>285.7</v>
      </c>
      <c r="N37" s="249">
        <f>+M37*1000/(31*10*13*60)*T37</f>
        <v>7.0893300248138953</v>
      </c>
      <c r="O37" s="249"/>
      <c r="P37" s="249">
        <f t="shared" si="2"/>
        <v>0</v>
      </c>
      <c r="Q37" s="249"/>
      <c r="R37" s="19">
        <f t="shared" si="3"/>
        <v>0</v>
      </c>
      <c r="S37" s="249">
        <f t="shared" si="4"/>
        <v>0</v>
      </c>
      <c r="T37" s="20">
        <v>6</v>
      </c>
      <c r="U37" s="20"/>
      <c r="V37" s="24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47">
        <v>300413</v>
      </c>
      <c r="B38" s="246">
        <v>3002</v>
      </c>
      <c r="C38" s="267" t="s">
        <v>304</v>
      </c>
      <c r="D38" s="268"/>
      <c r="E38" s="251" t="s">
        <v>302</v>
      </c>
      <c r="F38" s="250"/>
      <c r="G38" s="133"/>
      <c r="H38" s="133"/>
      <c r="I38" s="133"/>
      <c r="J38" s="133"/>
      <c r="K38" s="249">
        <f t="shared" si="0"/>
        <v>0</v>
      </c>
      <c r="L38" s="249">
        <f t="shared" si="1"/>
        <v>0</v>
      </c>
      <c r="M38" s="249">
        <v>528.79999999999995</v>
      </c>
      <c r="N38" s="249">
        <f>+M38*1000/(31*10*13*60)*T38</f>
        <v>6.5607940446650126</v>
      </c>
      <c r="O38" s="249"/>
      <c r="P38" s="249">
        <f t="shared" si="2"/>
        <v>0</v>
      </c>
      <c r="Q38" s="249"/>
      <c r="R38" s="19">
        <f t="shared" si="3"/>
        <v>0</v>
      </c>
      <c r="S38" s="249">
        <f t="shared" si="4"/>
        <v>0</v>
      </c>
      <c r="T38" s="20">
        <v>3</v>
      </c>
      <c r="U38" s="20"/>
      <c r="V38" s="248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47">
        <v>300414</v>
      </c>
      <c r="B39" s="246">
        <v>3002</v>
      </c>
      <c r="C39" s="267" t="s">
        <v>304</v>
      </c>
      <c r="D39" s="268"/>
      <c r="E39" s="251" t="s">
        <v>311</v>
      </c>
      <c r="F39" s="250"/>
      <c r="G39" s="133"/>
      <c r="H39" s="133"/>
      <c r="I39" s="133"/>
      <c r="J39" s="133"/>
      <c r="K39" s="249">
        <f t="shared" si="0"/>
        <v>0</v>
      </c>
      <c r="L39" s="249">
        <f t="shared" si="1"/>
        <v>0</v>
      </c>
      <c r="M39" s="249">
        <v>528.79999999999995</v>
      </c>
      <c r="N39" s="249">
        <f>+M39*1000/(31*10*13*60)*T39</f>
        <v>6.5607940446650126</v>
      </c>
      <c r="O39" s="249"/>
      <c r="P39" s="249">
        <f t="shared" si="2"/>
        <v>0</v>
      </c>
      <c r="Q39" s="249"/>
      <c r="R39" s="19">
        <f t="shared" si="3"/>
        <v>0</v>
      </c>
      <c r="S39" s="249">
        <f t="shared" si="4"/>
        <v>0</v>
      </c>
      <c r="T39" s="20">
        <v>3</v>
      </c>
      <c r="U39" s="20"/>
      <c r="V39" s="248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47">
        <v>300415</v>
      </c>
      <c r="B40" s="246">
        <v>3002</v>
      </c>
      <c r="C40" s="267" t="s">
        <v>304</v>
      </c>
      <c r="D40" s="268"/>
      <c r="E40" s="251" t="s">
        <v>303</v>
      </c>
      <c r="F40" s="250"/>
      <c r="G40" s="133"/>
      <c r="H40" s="133"/>
      <c r="I40" s="133"/>
      <c r="J40" s="133"/>
      <c r="K40" s="249">
        <f t="shared" si="0"/>
        <v>0</v>
      </c>
      <c r="L40" s="249">
        <f t="shared" si="1"/>
        <v>0</v>
      </c>
      <c r="M40" s="249">
        <v>528.79999999999995</v>
      </c>
      <c r="N40" s="249">
        <f>+M40*1000/(31*10*13*60)*T40</f>
        <v>6.5607940446650126</v>
      </c>
      <c r="O40" s="249"/>
      <c r="P40" s="249">
        <f t="shared" si="2"/>
        <v>0</v>
      </c>
      <c r="Q40" s="249"/>
      <c r="R40" s="19">
        <f t="shared" si="3"/>
        <v>0</v>
      </c>
      <c r="S40" s="249">
        <f t="shared" si="4"/>
        <v>0</v>
      </c>
      <c r="T40" s="20">
        <v>3</v>
      </c>
      <c r="U40" s="20"/>
      <c r="V40" s="248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47">
        <v>300035</v>
      </c>
      <c r="B41" s="246" t="s">
        <v>60</v>
      </c>
      <c r="C41" s="256" t="s">
        <v>61</v>
      </c>
      <c r="D41" s="256" t="s">
        <v>62</v>
      </c>
      <c r="E41" s="251" t="s">
        <v>35</v>
      </c>
      <c r="F41" s="250"/>
      <c r="G41" s="133"/>
      <c r="H41" s="133"/>
      <c r="I41" s="133"/>
      <c r="J41" s="133"/>
      <c r="K41" s="249">
        <f t="shared" si="0"/>
        <v>0</v>
      </c>
      <c r="L41" s="249">
        <f t="shared" si="1"/>
        <v>0</v>
      </c>
      <c r="M41" s="249">
        <v>366.93</v>
      </c>
      <c r="N41" s="249">
        <f>+M41*1000/(35.8*10*13*60)*T41</f>
        <v>2.6280618822518265</v>
      </c>
      <c r="O41" s="249"/>
      <c r="P41" s="249">
        <f t="shared" si="2"/>
        <v>0</v>
      </c>
      <c r="Q41" s="249"/>
      <c r="R41" s="19">
        <f t="shared" si="3"/>
        <v>0</v>
      </c>
      <c r="S41" s="249">
        <f t="shared" si="4"/>
        <v>0</v>
      </c>
      <c r="T41" s="20">
        <v>2</v>
      </c>
      <c r="U41" s="20"/>
      <c r="V41" s="24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customHeight="1">
      <c r="A42" s="247">
        <v>300036</v>
      </c>
      <c r="B42" s="246">
        <v>3602</v>
      </c>
      <c r="C42" s="256" t="s">
        <v>61</v>
      </c>
      <c r="D42" s="256" t="s">
        <v>62</v>
      </c>
      <c r="E42" s="251" t="s">
        <v>63</v>
      </c>
      <c r="F42" s="250">
        <v>1622</v>
      </c>
      <c r="G42" s="133">
        <v>3.72</v>
      </c>
      <c r="H42" s="133">
        <v>0.72</v>
      </c>
      <c r="I42" s="133">
        <f>3+H42</f>
        <v>3.7199999999999998</v>
      </c>
      <c r="J42" s="133"/>
      <c r="K42" s="249">
        <f t="shared" si="0"/>
        <v>1364.9796000000001</v>
      </c>
      <c r="L42" s="249">
        <f t="shared" si="1"/>
        <v>1364.9795999999999</v>
      </c>
      <c r="M42" s="249">
        <v>366.93</v>
      </c>
      <c r="N42" s="249">
        <f>+M42*1000/(35.8*10*13*60)*T42</f>
        <v>2.6280618822518265</v>
      </c>
      <c r="O42" s="249"/>
      <c r="P42" s="249">
        <f t="shared" si="2"/>
        <v>9.7763902019767936</v>
      </c>
      <c r="Q42" s="249">
        <v>4.5</v>
      </c>
      <c r="R42" s="19">
        <f t="shared" si="3"/>
        <v>13.5</v>
      </c>
      <c r="S42" s="249">
        <f t="shared" si="4"/>
        <v>3.7236097980232064</v>
      </c>
      <c r="T42" s="20">
        <v>2</v>
      </c>
      <c r="U42" s="20">
        <v>3</v>
      </c>
      <c r="V42" s="248">
        <f t="array" ref="V42">IF(ISERROR(L42/K42),"",L42/K42)</f>
        <v>0.99999999999999978</v>
      </c>
      <c r="W42" s="20"/>
      <c r="X42" s="20"/>
      <c r="Y42" s="20"/>
      <c r="Z42" s="20"/>
      <c r="AA42" s="20"/>
      <c r="AB42" s="20"/>
      <c r="AC42" s="20"/>
    </row>
    <row r="43" spans="1:29" s="2" customFormat="1" ht="21.95" customHeight="1">
      <c r="A43" s="247">
        <v>300037</v>
      </c>
      <c r="B43" s="246">
        <v>3602</v>
      </c>
      <c r="C43" s="256" t="s">
        <v>61</v>
      </c>
      <c r="D43" s="256" t="s">
        <v>62</v>
      </c>
      <c r="E43" s="251" t="s">
        <v>37</v>
      </c>
      <c r="F43" s="250">
        <v>1621</v>
      </c>
      <c r="G43" s="133">
        <v>6.04</v>
      </c>
      <c r="H43" s="133"/>
      <c r="I43" s="133">
        <f>7-J43/250</f>
        <v>6.04</v>
      </c>
      <c r="J43" s="133">
        <v>240</v>
      </c>
      <c r="K43" s="249">
        <f t="shared" si="0"/>
        <v>2216.2572</v>
      </c>
      <c r="L43" s="249">
        <f t="shared" si="1"/>
        <v>2216.2572</v>
      </c>
      <c r="M43" s="249">
        <v>366.93</v>
      </c>
      <c r="N43" s="249">
        <f>+M43*1000/(35.8*10*13*60)*T43</f>
        <v>2.6280618822518265</v>
      </c>
      <c r="O43" s="249">
        <v>0.5</v>
      </c>
      <c r="P43" s="249">
        <f t="shared" si="2"/>
        <v>17.373493768801033</v>
      </c>
      <c r="Q43" s="249">
        <v>7</v>
      </c>
      <c r="R43" s="19">
        <f t="shared" si="3"/>
        <v>21</v>
      </c>
      <c r="S43" s="249">
        <f t="shared" si="4"/>
        <v>3.6265062311989666</v>
      </c>
      <c r="T43" s="20">
        <v>2</v>
      </c>
      <c r="U43" s="20">
        <v>3</v>
      </c>
      <c r="V43" s="248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47">
        <v>300038</v>
      </c>
      <c r="B44" s="246" t="s">
        <v>60</v>
      </c>
      <c r="C44" s="256" t="s">
        <v>64</v>
      </c>
      <c r="D44" s="256" t="s">
        <v>65</v>
      </c>
      <c r="E44" s="251" t="s">
        <v>35</v>
      </c>
      <c r="F44" s="250"/>
      <c r="G44" s="133"/>
      <c r="H44" s="133"/>
      <c r="I44" s="133"/>
      <c r="J44" s="133"/>
      <c r="K44" s="249">
        <f t="shared" si="0"/>
        <v>0</v>
      </c>
      <c r="L44" s="249">
        <f t="shared" si="1"/>
        <v>0</v>
      </c>
      <c r="M44" s="249">
        <v>301.14</v>
      </c>
      <c r="N44" s="249">
        <f>+M44*1000/(35.8*10*13*60)*T44</f>
        <v>5.3921357971637294</v>
      </c>
      <c r="O44" s="249"/>
      <c r="P44" s="249">
        <f t="shared" si="2"/>
        <v>0</v>
      </c>
      <c r="Q44" s="249"/>
      <c r="R44" s="19">
        <f t="shared" si="3"/>
        <v>0</v>
      </c>
      <c r="S44" s="249">
        <f t="shared" si="4"/>
        <v>0</v>
      </c>
      <c r="T44" s="20">
        <v>5</v>
      </c>
      <c r="U44" s="20"/>
      <c r="V44" s="24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47">
        <v>300039</v>
      </c>
      <c r="B45" s="246" t="s">
        <v>60</v>
      </c>
      <c r="C45" s="256" t="s">
        <v>64</v>
      </c>
      <c r="D45" s="256" t="s">
        <v>65</v>
      </c>
      <c r="E45" s="251" t="s">
        <v>66</v>
      </c>
      <c r="F45" s="250"/>
      <c r="G45" s="133"/>
      <c r="H45" s="133"/>
      <c r="I45" s="133"/>
      <c r="J45" s="133"/>
      <c r="K45" s="249">
        <f t="shared" si="0"/>
        <v>0</v>
      </c>
      <c r="L45" s="249">
        <f t="shared" si="1"/>
        <v>0</v>
      </c>
      <c r="M45" s="249">
        <v>310.39999999999998</v>
      </c>
      <c r="N45" s="249">
        <f>+M45*1000/(35.8*10*13*60)*T45</f>
        <v>5.557942988110586</v>
      </c>
      <c r="O45" s="249"/>
      <c r="P45" s="249">
        <f t="shared" si="2"/>
        <v>0</v>
      </c>
      <c r="Q45" s="249"/>
      <c r="R45" s="19">
        <f t="shared" si="3"/>
        <v>0</v>
      </c>
      <c r="S45" s="249">
        <f t="shared" si="4"/>
        <v>0</v>
      </c>
      <c r="T45" s="20">
        <v>5</v>
      </c>
      <c r="U45" s="20"/>
      <c r="V45" s="24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47">
        <v>300416</v>
      </c>
      <c r="B46" s="246" t="s">
        <v>67</v>
      </c>
      <c r="C46" s="267" t="s">
        <v>68</v>
      </c>
      <c r="D46" s="268"/>
      <c r="E46" s="251" t="s">
        <v>69</v>
      </c>
      <c r="F46" s="250"/>
      <c r="G46" s="133"/>
      <c r="H46" s="133"/>
      <c r="I46" s="133"/>
      <c r="J46" s="133"/>
      <c r="K46" s="249">
        <f t="shared" si="0"/>
        <v>0</v>
      </c>
      <c r="L46" s="249">
        <f t="shared" si="1"/>
        <v>0</v>
      </c>
      <c r="M46" s="249">
        <v>385.6</v>
      </c>
      <c r="N46" s="249">
        <f>+M46*1000/(25.4*20*15*60)*T46</f>
        <v>2.5301837270341205</v>
      </c>
      <c r="O46" s="249"/>
      <c r="P46" s="249">
        <f t="shared" si="2"/>
        <v>0</v>
      </c>
      <c r="Q46" s="249"/>
      <c r="R46" s="19">
        <f t="shared" si="3"/>
        <v>0</v>
      </c>
      <c r="S46" s="249">
        <f t="shared" si="4"/>
        <v>0</v>
      </c>
      <c r="T46" s="20">
        <v>3</v>
      </c>
      <c r="U46" s="20"/>
      <c r="V46" s="24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47">
        <v>300417</v>
      </c>
      <c r="B47" s="246" t="s">
        <v>67</v>
      </c>
      <c r="C47" s="267" t="s">
        <v>68</v>
      </c>
      <c r="D47" s="268"/>
      <c r="E47" s="251" t="s">
        <v>70</v>
      </c>
      <c r="F47" s="250"/>
      <c r="G47" s="133"/>
      <c r="H47" s="133"/>
      <c r="I47" s="133"/>
      <c r="J47" s="133"/>
      <c r="K47" s="249">
        <f t="shared" si="0"/>
        <v>0</v>
      </c>
      <c r="L47" s="249">
        <f t="shared" si="1"/>
        <v>0</v>
      </c>
      <c r="M47" s="249">
        <v>385.6</v>
      </c>
      <c r="N47" s="249">
        <f>+M47*1000/(25.4*20*15*60)*T47</f>
        <v>2.5301837270341205</v>
      </c>
      <c r="O47" s="249"/>
      <c r="P47" s="249">
        <f t="shared" si="2"/>
        <v>0</v>
      </c>
      <c r="Q47" s="249"/>
      <c r="R47" s="19">
        <f t="shared" si="3"/>
        <v>0</v>
      </c>
      <c r="S47" s="249">
        <f t="shared" si="4"/>
        <v>0</v>
      </c>
      <c r="T47" s="20">
        <v>3</v>
      </c>
      <c r="U47" s="20"/>
      <c r="V47" s="24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47">
        <v>300418</v>
      </c>
      <c r="B48" s="246" t="s">
        <v>67</v>
      </c>
      <c r="C48" s="267" t="s">
        <v>68</v>
      </c>
      <c r="D48" s="268"/>
      <c r="E48" s="251" t="s">
        <v>71</v>
      </c>
      <c r="F48" s="250"/>
      <c r="G48" s="133"/>
      <c r="H48" s="133"/>
      <c r="I48" s="133"/>
      <c r="J48" s="133"/>
      <c r="K48" s="249">
        <f t="shared" si="0"/>
        <v>0</v>
      </c>
      <c r="L48" s="249">
        <f t="shared" si="1"/>
        <v>0</v>
      </c>
      <c r="M48" s="249">
        <v>385.6</v>
      </c>
      <c r="N48" s="249">
        <f>+M48*1000/(25.4*20*15*60)*T48</f>
        <v>2.5301837270341205</v>
      </c>
      <c r="O48" s="249"/>
      <c r="P48" s="249">
        <f t="shared" si="2"/>
        <v>0</v>
      </c>
      <c r="Q48" s="249"/>
      <c r="R48" s="19">
        <f t="shared" si="3"/>
        <v>0</v>
      </c>
      <c r="S48" s="249">
        <f t="shared" si="4"/>
        <v>0</v>
      </c>
      <c r="T48" s="20">
        <v>3</v>
      </c>
      <c r="U48" s="20"/>
      <c r="V48" s="24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47">
        <v>300419</v>
      </c>
      <c r="B49" s="246" t="s">
        <v>67</v>
      </c>
      <c r="C49" s="267" t="s">
        <v>68</v>
      </c>
      <c r="D49" s="268"/>
      <c r="E49" s="251" t="s">
        <v>72</v>
      </c>
      <c r="F49" s="250"/>
      <c r="G49" s="133"/>
      <c r="H49" s="133"/>
      <c r="I49" s="133"/>
      <c r="J49" s="133"/>
      <c r="K49" s="249">
        <f t="shared" si="0"/>
        <v>0</v>
      </c>
      <c r="L49" s="249">
        <f t="shared" si="1"/>
        <v>0</v>
      </c>
      <c r="M49" s="249">
        <v>385.6</v>
      </c>
      <c r="N49" s="249">
        <f>+M49*1000/(25.4*20*15*60)*T49</f>
        <v>2.5301837270341205</v>
      </c>
      <c r="O49" s="249"/>
      <c r="P49" s="249">
        <f t="shared" si="2"/>
        <v>0</v>
      </c>
      <c r="Q49" s="249"/>
      <c r="R49" s="19">
        <f t="shared" si="3"/>
        <v>0</v>
      </c>
      <c r="S49" s="249">
        <f t="shared" si="4"/>
        <v>0</v>
      </c>
      <c r="T49" s="20">
        <v>3</v>
      </c>
      <c r="U49" s="20"/>
      <c r="V49" s="248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47">
        <v>300260</v>
      </c>
      <c r="B50" s="246" t="s">
        <v>67</v>
      </c>
      <c r="C50" s="256" t="s">
        <v>73</v>
      </c>
      <c r="D50" s="256"/>
      <c r="E50" s="251" t="s">
        <v>74</v>
      </c>
      <c r="F50" s="250"/>
      <c r="G50" s="133"/>
      <c r="H50" s="133"/>
      <c r="I50" s="133"/>
      <c r="J50" s="133"/>
      <c r="K50" s="249">
        <f t="shared" si="0"/>
        <v>0</v>
      </c>
      <c r="L50" s="249">
        <f t="shared" si="1"/>
        <v>0</v>
      </c>
      <c r="M50" s="249">
        <v>434.33</v>
      </c>
      <c r="N50" s="249">
        <f>+M50*1000/(42.7*10*15*60)*T50</f>
        <v>2.2603695029924538</v>
      </c>
      <c r="O50" s="249"/>
      <c r="P50" s="249">
        <f t="shared" si="2"/>
        <v>0</v>
      </c>
      <c r="Q50" s="249"/>
      <c r="R50" s="19">
        <f t="shared" si="3"/>
        <v>0</v>
      </c>
      <c r="S50" s="249">
        <f t="shared" si="4"/>
        <v>0</v>
      </c>
      <c r="T50" s="20">
        <v>2</v>
      </c>
      <c r="U50" s="20"/>
      <c r="V50" s="24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47">
        <v>300261</v>
      </c>
      <c r="B51" s="246" t="s">
        <v>67</v>
      </c>
      <c r="C51" s="256" t="s">
        <v>73</v>
      </c>
      <c r="D51" s="256"/>
      <c r="E51" s="251" t="s">
        <v>41</v>
      </c>
      <c r="F51" s="250"/>
      <c r="G51" s="133"/>
      <c r="H51" s="133"/>
      <c r="I51" s="133"/>
      <c r="J51" s="133"/>
      <c r="K51" s="249">
        <f t="shared" si="0"/>
        <v>0</v>
      </c>
      <c r="L51" s="249">
        <f t="shared" si="1"/>
        <v>0</v>
      </c>
      <c r="M51" s="249">
        <v>434.33</v>
      </c>
      <c r="N51" s="249">
        <f>+M51*1000/(42.7*10*15*60)*T51</f>
        <v>2.2603695029924538</v>
      </c>
      <c r="O51" s="249"/>
      <c r="P51" s="249">
        <f t="shared" si="2"/>
        <v>0</v>
      </c>
      <c r="Q51" s="249"/>
      <c r="R51" s="19">
        <f t="shared" si="3"/>
        <v>0</v>
      </c>
      <c r="S51" s="249">
        <f t="shared" si="4"/>
        <v>0</v>
      </c>
      <c r="T51" s="20">
        <v>2</v>
      </c>
      <c r="U51" s="20"/>
      <c r="V51" s="24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47">
        <v>300262</v>
      </c>
      <c r="B52" s="246" t="s">
        <v>67</v>
      </c>
      <c r="C52" s="256" t="s">
        <v>73</v>
      </c>
      <c r="D52" s="256"/>
      <c r="E52" s="251" t="s">
        <v>39</v>
      </c>
      <c r="F52" s="250"/>
      <c r="G52" s="133"/>
      <c r="H52" s="133"/>
      <c r="I52" s="133"/>
      <c r="J52" s="133"/>
      <c r="K52" s="249">
        <f t="shared" si="0"/>
        <v>0</v>
      </c>
      <c r="L52" s="249">
        <f t="shared" si="1"/>
        <v>0</v>
      </c>
      <c r="M52" s="249">
        <v>434.33</v>
      </c>
      <c r="N52" s="249">
        <f>+M52*1000/(42.7*10*15*60)*T52</f>
        <v>2.2603695029924538</v>
      </c>
      <c r="O52" s="249"/>
      <c r="P52" s="249">
        <f t="shared" si="2"/>
        <v>0</v>
      </c>
      <c r="Q52" s="249"/>
      <c r="R52" s="19">
        <f t="shared" si="3"/>
        <v>0</v>
      </c>
      <c r="S52" s="249">
        <f t="shared" si="4"/>
        <v>0</v>
      </c>
      <c r="T52" s="20">
        <v>2</v>
      </c>
      <c r="U52" s="20"/>
      <c r="V52" s="24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47">
        <v>300263</v>
      </c>
      <c r="B53" s="246" t="s">
        <v>67</v>
      </c>
      <c r="C53" s="256" t="s">
        <v>73</v>
      </c>
      <c r="D53" s="256"/>
      <c r="E53" s="251" t="s">
        <v>54</v>
      </c>
      <c r="F53" s="250"/>
      <c r="G53" s="133"/>
      <c r="H53" s="133"/>
      <c r="I53" s="133"/>
      <c r="J53" s="133"/>
      <c r="K53" s="249">
        <f t="shared" si="0"/>
        <v>0</v>
      </c>
      <c r="L53" s="249">
        <f t="shared" si="1"/>
        <v>0</v>
      </c>
      <c r="M53" s="249">
        <v>434.33</v>
      </c>
      <c r="N53" s="249">
        <f>+M53*1000/(42.7*10*15*60)*T53</f>
        <v>2.2603695029924538</v>
      </c>
      <c r="O53" s="249"/>
      <c r="P53" s="249">
        <f t="shared" si="2"/>
        <v>0</v>
      </c>
      <c r="Q53" s="249"/>
      <c r="R53" s="19">
        <f t="shared" si="3"/>
        <v>0</v>
      </c>
      <c r="S53" s="249">
        <f t="shared" si="4"/>
        <v>0</v>
      </c>
      <c r="T53" s="20">
        <v>2</v>
      </c>
      <c r="U53" s="20"/>
      <c r="V53" s="24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47">
        <v>300051</v>
      </c>
      <c r="B54" s="246">
        <v>4503</v>
      </c>
      <c r="C54" s="256" t="s">
        <v>75</v>
      </c>
      <c r="D54" s="256" t="s">
        <v>76</v>
      </c>
      <c r="E54" s="251" t="s">
        <v>40</v>
      </c>
      <c r="F54" s="250"/>
      <c r="G54" s="133"/>
      <c r="H54" s="133"/>
      <c r="I54" s="133"/>
      <c r="J54" s="133"/>
      <c r="K54" s="249">
        <f t="shared" si="0"/>
        <v>0</v>
      </c>
      <c r="L54" s="249">
        <f t="shared" si="1"/>
        <v>0</v>
      </c>
      <c r="M54" s="249">
        <v>545.9</v>
      </c>
      <c r="N54" s="249">
        <f>+M54*1000/(41.5*10*16*60)*T54</f>
        <v>2.7404618473895583</v>
      </c>
      <c r="O54" s="249"/>
      <c r="P54" s="249">
        <f t="shared" si="2"/>
        <v>0</v>
      </c>
      <c r="Q54" s="249"/>
      <c r="R54" s="19">
        <f t="shared" si="3"/>
        <v>0</v>
      </c>
      <c r="S54" s="249">
        <f t="shared" si="4"/>
        <v>0</v>
      </c>
      <c r="T54" s="22">
        <v>2</v>
      </c>
      <c r="U54" s="20"/>
      <c r="V54" s="24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47">
        <v>300052</v>
      </c>
      <c r="B55" s="246">
        <v>4503</v>
      </c>
      <c r="C55" s="256" t="s">
        <v>75</v>
      </c>
      <c r="D55" s="256" t="s">
        <v>76</v>
      </c>
      <c r="E55" s="251" t="s">
        <v>39</v>
      </c>
      <c r="F55" s="250">
        <v>1638</v>
      </c>
      <c r="G55" s="133">
        <v>2.8</v>
      </c>
      <c r="H55" s="133">
        <v>0.8</v>
      </c>
      <c r="I55" s="133">
        <f>2+H55</f>
        <v>2.8</v>
      </c>
      <c r="J55" s="133"/>
      <c r="K55" s="249">
        <f t="shared" si="0"/>
        <v>1528.5199999999998</v>
      </c>
      <c r="L55" s="249">
        <f t="shared" si="1"/>
        <v>1528.5199999999998</v>
      </c>
      <c r="M55" s="249">
        <v>545.9</v>
      </c>
      <c r="N55" s="249">
        <f>+M55*1000/(41.5*10*16*60)*T55</f>
        <v>2.7404618473895583</v>
      </c>
      <c r="O55" s="249"/>
      <c r="P55" s="249">
        <f t="shared" si="2"/>
        <v>7.6732931726907632</v>
      </c>
      <c r="Q55" s="249">
        <v>4.5</v>
      </c>
      <c r="R55" s="19">
        <f t="shared" si="3"/>
        <v>9</v>
      </c>
      <c r="S55" s="249">
        <f t="shared" si="4"/>
        <v>1.3267068273092368</v>
      </c>
      <c r="T55" s="20">
        <v>2</v>
      </c>
      <c r="U55" s="20">
        <v>2</v>
      </c>
      <c r="V55" s="248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47">
        <v>300054</v>
      </c>
      <c r="B56" s="246">
        <v>4503</v>
      </c>
      <c r="C56" s="256" t="s">
        <v>75</v>
      </c>
      <c r="D56" s="256" t="s">
        <v>76</v>
      </c>
      <c r="E56" s="251" t="s">
        <v>38</v>
      </c>
      <c r="F56" s="250"/>
      <c r="G56" s="133"/>
      <c r="H56" s="133"/>
      <c r="I56" s="133"/>
      <c r="J56" s="133"/>
      <c r="K56" s="249">
        <f t="shared" si="0"/>
        <v>0</v>
      </c>
      <c r="L56" s="249">
        <f t="shared" si="1"/>
        <v>0</v>
      </c>
      <c r="M56" s="249">
        <v>545.9</v>
      </c>
      <c r="N56" s="249">
        <f>+M56*1000/(41.5*10*16*60)*T56</f>
        <v>2.7404618473895583</v>
      </c>
      <c r="O56" s="249"/>
      <c r="P56" s="249">
        <f t="shared" si="2"/>
        <v>0</v>
      </c>
      <c r="Q56" s="249"/>
      <c r="R56" s="19">
        <f t="shared" si="3"/>
        <v>0</v>
      </c>
      <c r="S56" s="249">
        <f t="shared" si="4"/>
        <v>0</v>
      </c>
      <c r="T56" s="20">
        <v>2</v>
      </c>
      <c r="U56" s="20"/>
      <c r="V56" s="25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47">
        <v>300436</v>
      </c>
      <c r="B57" s="246">
        <v>4503</v>
      </c>
      <c r="C57" s="256" t="s">
        <v>75</v>
      </c>
      <c r="D57" s="256" t="s">
        <v>76</v>
      </c>
      <c r="E57" s="251" t="s">
        <v>309</v>
      </c>
      <c r="F57" s="250">
        <v>1639</v>
      </c>
      <c r="G57" s="133">
        <v>6</v>
      </c>
      <c r="H57" s="133"/>
      <c r="I57" s="133">
        <f>6-J57/500</f>
        <v>5.7</v>
      </c>
      <c r="J57" s="133">
        <v>150</v>
      </c>
      <c r="K57" s="249">
        <f t="shared" si="0"/>
        <v>3275.3999999999996</v>
      </c>
      <c r="L57" s="249">
        <f t="shared" si="1"/>
        <v>3111.63</v>
      </c>
      <c r="M57" s="249">
        <v>545.9</v>
      </c>
      <c r="N57" s="249">
        <f>+M57*1000/(41.5*10*16*60)*T57</f>
        <v>2.7404618473895583</v>
      </c>
      <c r="O57" s="249">
        <v>0.5</v>
      </c>
      <c r="P57" s="249">
        <f t="shared" si="2"/>
        <v>16.620632530120481</v>
      </c>
      <c r="Q57" s="249">
        <v>7</v>
      </c>
      <c r="R57" s="19">
        <f t="shared" si="3"/>
        <v>14</v>
      </c>
      <c r="S57" s="249">
        <f t="shared" si="4"/>
        <v>-2.6206325301204814</v>
      </c>
      <c r="T57" s="20">
        <v>2</v>
      </c>
      <c r="U57" s="20">
        <v>2</v>
      </c>
      <c r="V57" s="253">
        <f t="array" ref="V57">IF(ISERROR(L57/K57),"",L57/K57)</f>
        <v>0.95000000000000018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47">
        <v>300050</v>
      </c>
      <c r="B58" s="246" t="s">
        <v>67</v>
      </c>
      <c r="C58" s="256" t="s">
        <v>77</v>
      </c>
      <c r="D58" s="256" t="s">
        <v>78</v>
      </c>
      <c r="E58" s="251" t="s">
        <v>79</v>
      </c>
      <c r="F58" s="250"/>
      <c r="G58" s="133"/>
      <c r="H58" s="133"/>
      <c r="I58" s="133"/>
      <c r="J58" s="133"/>
      <c r="K58" s="249">
        <f t="shared" si="0"/>
        <v>0</v>
      </c>
      <c r="L58" s="249">
        <f t="shared" si="1"/>
        <v>0</v>
      </c>
      <c r="M58" s="249">
        <v>427.5</v>
      </c>
      <c r="N58" s="249">
        <f>+M58*1000/(45*10*14*60)*T58</f>
        <v>5.6547619047619051</v>
      </c>
      <c r="O58" s="249"/>
      <c r="P58" s="249">
        <f t="shared" si="2"/>
        <v>0</v>
      </c>
      <c r="Q58" s="249"/>
      <c r="R58" s="19">
        <f t="shared" si="3"/>
        <v>0</v>
      </c>
      <c r="S58" s="249">
        <f t="shared" si="4"/>
        <v>0</v>
      </c>
      <c r="T58" s="20">
        <v>5</v>
      </c>
      <c r="U58" s="20"/>
      <c r="V58" s="25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47">
        <v>300045</v>
      </c>
      <c r="B59" s="246" t="s">
        <v>67</v>
      </c>
      <c r="C59" s="256" t="s">
        <v>77</v>
      </c>
      <c r="D59" s="256" t="s">
        <v>78</v>
      </c>
      <c r="E59" s="251" t="s">
        <v>35</v>
      </c>
      <c r="F59" s="250"/>
      <c r="G59" s="133"/>
      <c r="H59" s="133"/>
      <c r="I59" s="133"/>
      <c r="J59" s="133"/>
      <c r="K59" s="249">
        <f t="shared" si="0"/>
        <v>0</v>
      </c>
      <c r="L59" s="249">
        <f t="shared" si="1"/>
        <v>0</v>
      </c>
      <c r="M59" s="249">
        <v>406.6</v>
      </c>
      <c r="N59" s="249">
        <f>+M59*1000/(45*10*13*60)*T59</f>
        <v>5.7920227920227916</v>
      </c>
      <c r="O59" s="249"/>
      <c r="P59" s="249">
        <f t="shared" si="2"/>
        <v>0</v>
      </c>
      <c r="Q59" s="249"/>
      <c r="R59" s="19">
        <f t="shared" si="3"/>
        <v>0</v>
      </c>
      <c r="S59" s="249">
        <f t="shared" si="4"/>
        <v>0</v>
      </c>
      <c r="T59" s="20">
        <v>5</v>
      </c>
      <c r="U59" s="20"/>
      <c r="V59" s="25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47">
        <v>300422</v>
      </c>
      <c r="B60" s="246" t="s">
        <v>67</v>
      </c>
      <c r="C60" s="267" t="s">
        <v>301</v>
      </c>
      <c r="D60" s="268"/>
      <c r="E60" s="251" t="s">
        <v>54</v>
      </c>
      <c r="F60" s="250"/>
      <c r="G60" s="133"/>
      <c r="H60" s="133"/>
      <c r="I60" s="133"/>
      <c r="J60" s="133"/>
      <c r="K60" s="249">
        <f t="shared" si="0"/>
        <v>0</v>
      </c>
      <c r="L60" s="249">
        <f t="shared" si="1"/>
        <v>0</v>
      </c>
      <c r="M60" s="249">
        <v>429.8</v>
      </c>
      <c r="N60" s="249">
        <f>+M60*1000/(45*10*13*60)*T60</f>
        <v>3.6735042735042738</v>
      </c>
      <c r="O60" s="249"/>
      <c r="P60" s="249">
        <f t="shared" si="2"/>
        <v>0</v>
      </c>
      <c r="Q60" s="249"/>
      <c r="R60" s="19">
        <f t="shared" si="3"/>
        <v>0</v>
      </c>
      <c r="S60" s="249">
        <f t="shared" si="4"/>
        <v>0</v>
      </c>
      <c r="T60" s="20">
        <v>3</v>
      </c>
      <c r="U60" s="20"/>
      <c r="V60" s="25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47">
        <v>300421</v>
      </c>
      <c r="B61" s="246" t="s">
        <v>67</v>
      </c>
      <c r="C61" s="267" t="s">
        <v>301</v>
      </c>
      <c r="D61" s="268"/>
      <c r="E61" s="251" t="s">
        <v>80</v>
      </c>
      <c r="F61" s="250"/>
      <c r="G61" s="133"/>
      <c r="H61" s="133"/>
      <c r="I61" s="133"/>
      <c r="J61" s="133"/>
      <c r="K61" s="249">
        <f t="shared" si="0"/>
        <v>0</v>
      </c>
      <c r="L61" s="249">
        <f t="shared" si="1"/>
        <v>0</v>
      </c>
      <c r="M61" s="249">
        <v>429.8</v>
      </c>
      <c r="N61" s="249">
        <f>+M61*1000/(45*10*13*60)*T61</f>
        <v>3.6735042735042738</v>
      </c>
      <c r="O61" s="249"/>
      <c r="P61" s="249">
        <f t="shared" si="2"/>
        <v>0</v>
      </c>
      <c r="Q61" s="249"/>
      <c r="R61" s="19">
        <f t="shared" si="3"/>
        <v>0</v>
      </c>
      <c r="S61" s="249">
        <f t="shared" si="4"/>
        <v>0</v>
      </c>
      <c r="T61" s="20">
        <v>3</v>
      </c>
      <c r="U61" s="20"/>
      <c r="V61" s="25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47">
        <v>300149</v>
      </c>
      <c r="B62" s="246" t="s">
        <v>67</v>
      </c>
      <c r="C62" s="256" t="s">
        <v>81</v>
      </c>
      <c r="D62" s="256" t="s">
        <v>82</v>
      </c>
      <c r="E62" s="251" t="s">
        <v>80</v>
      </c>
      <c r="F62" s="250"/>
      <c r="G62" s="133"/>
      <c r="H62" s="133"/>
      <c r="I62" s="133"/>
      <c r="J62" s="133"/>
      <c r="K62" s="249">
        <f t="shared" si="0"/>
        <v>0</v>
      </c>
      <c r="L62" s="249">
        <f t="shared" si="1"/>
        <v>0</v>
      </c>
      <c r="M62" s="249">
        <v>589.1</v>
      </c>
      <c r="N62" s="249">
        <f>+M62*1000/(67.1*10*13*60)*T62</f>
        <v>3.3767052619511633</v>
      </c>
      <c r="O62" s="249"/>
      <c r="P62" s="249">
        <f t="shared" si="2"/>
        <v>0</v>
      </c>
      <c r="Q62" s="249"/>
      <c r="R62" s="19">
        <f t="shared" si="3"/>
        <v>0</v>
      </c>
      <c r="S62" s="249">
        <f t="shared" si="4"/>
        <v>0</v>
      </c>
      <c r="T62" s="20">
        <v>3</v>
      </c>
      <c r="U62" s="20"/>
      <c r="V62" s="25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47">
        <v>300150</v>
      </c>
      <c r="B63" s="246" t="s">
        <v>67</v>
      </c>
      <c r="C63" s="256" t="s">
        <v>81</v>
      </c>
      <c r="D63" s="256" t="s">
        <v>82</v>
      </c>
      <c r="E63" s="251" t="s">
        <v>54</v>
      </c>
      <c r="F63" s="250"/>
      <c r="G63" s="133"/>
      <c r="H63" s="133"/>
      <c r="I63" s="133"/>
      <c r="J63" s="133"/>
      <c r="K63" s="249">
        <f t="shared" si="0"/>
        <v>0</v>
      </c>
      <c r="L63" s="249">
        <f t="shared" si="1"/>
        <v>0</v>
      </c>
      <c r="M63" s="249">
        <v>589.1</v>
      </c>
      <c r="N63" s="249">
        <f>+M63*1000/(67.1*10*13*60)*T63</f>
        <v>3.3767052619511633</v>
      </c>
      <c r="O63" s="249"/>
      <c r="P63" s="249">
        <f t="shared" si="2"/>
        <v>0</v>
      </c>
      <c r="Q63" s="249"/>
      <c r="R63" s="19">
        <f t="shared" si="3"/>
        <v>0</v>
      </c>
      <c r="S63" s="249">
        <f t="shared" si="4"/>
        <v>0</v>
      </c>
      <c r="T63" s="20">
        <v>3</v>
      </c>
      <c r="U63" s="20"/>
      <c r="V63" s="25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47">
        <v>300330</v>
      </c>
      <c r="B64" s="246" t="s">
        <v>67</v>
      </c>
      <c r="C64" s="267" t="s">
        <v>83</v>
      </c>
      <c r="D64" s="268"/>
      <c r="E64" s="251" t="s">
        <v>84</v>
      </c>
      <c r="F64" s="250"/>
      <c r="G64" s="133"/>
      <c r="H64" s="133"/>
      <c r="I64" s="133"/>
      <c r="J64" s="133"/>
      <c r="K64" s="249">
        <f t="shared" si="0"/>
        <v>0</v>
      </c>
      <c r="L64" s="249">
        <f t="shared" si="1"/>
        <v>0</v>
      </c>
      <c r="M64" s="249">
        <v>416.3</v>
      </c>
      <c r="N64" s="249">
        <f t="shared" ref="N64:N70" si="6">+M64*1000/(45*10*18*60)*T64</f>
        <v>1.7131687242798355</v>
      </c>
      <c r="O64" s="249"/>
      <c r="P64" s="249">
        <f t="shared" si="2"/>
        <v>0</v>
      </c>
      <c r="Q64" s="249"/>
      <c r="R64" s="19">
        <f t="shared" si="3"/>
        <v>0</v>
      </c>
      <c r="S64" s="249">
        <f t="shared" si="4"/>
        <v>0</v>
      </c>
      <c r="T64" s="20">
        <v>2</v>
      </c>
      <c r="U64" s="20"/>
      <c r="V64" s="25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47">
        <v>300331</v>
      </c>
      <c r="B65" s="246" t="s">
        <v>67</v>
      </c>
      <c r="C65" s="267" t="s">
        <v>83</v>
      </c>
      <c r="D65" s="268"/>
      <c r="E65" s="251" t="s">
        <v>49</v>
      </c>
      <c r="F65" s="250"/>
      <c r="G65" s="133"/>
      <c r="H65" s="133"/>
      <c r="I65" s="133"/>
      <c r="J65" s="133"/>
      <c r="K65" s="249">
        <f t="shared" si="0"/>
        <v>0</v>
      </c>
      <c r="L65" s="249">
        <f t="shared" si="1"/>
        <v>0</v>
      </c>
      <c r="M65" s="249">
        <v>416.3</v>
      </c>
      <c r="N65" s="249">
        <f t="shared" si="6"/>
        <v>1.7131687242798355</v>
      </c>
      <c r="O65" s="249"/>
      <c r="P65" s="249">
        <f t="shared" si="2"/>
        <v>0</v>
      </c>
      <c r="Q65" s="249"/>
      <c r="R65" s="19">
        <f t="shared" si="3"/>
        <v>0</v>
      </c>
      <c r="S65" s="249">
        <f t="shared" si="4"/>
        <v>0</v>
      </c>
      <c r="T65" s="20">
        <v>2</v>
      </c>
      <c r="U65" s="20"/>
      <c r="V65" s="25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47">
        <v>300332</v>
      </c>
      <c r="B66" s="246" t="s">
        <v>67</v>
      </c>
      <c r="C66" s="267" t="s">
        <v>83</v>
      </c>
      <c r="D66" s="268"/>
      <c r="E66" s="251" t="s">
        <v>85</v>
      </c>
      <c r="F66" s="250"/>
      <c r="G66" s="133"/>
      <c r="H66" s="133"/>
      <c r="I66" s="133"/>
      <c r="J66" s="133"/>
      <c r="K66" s="249">
        <f t="shared" si="0"/>
        <v>0</v>
      </c>
      <c r="L66" s="249">
        <f t="shared" si="1"/>
        <v>0</v>
      </c>
      <c r="M66" s="249">
        <v>416.3</v>
      </c>
      <c r="N66" s="249">
        <f t="shared" si="6"/>
        <v>1.7131687242798355</v>
      </c>
      <c r="O66" s="249"/>
      <c r="P66" s="249">
        <f t="shared" si="2"/>
        <v>0</v>
      </c>
      <c r="Q66" s="249"/>
      <c r="R66" s="19">
        <f t="shared" si="3"/>
        <v>0</v>
      </c>
      <c r="S66" s="249">
        <f t="shared" si="4"/>
        <v>0</v>
      </c>
      <c r="T66" s="20">
        <v>2</v>
      </c>
      <c r="U66" s="20"/>
      <c r="V66" s="25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47">
        <v>300333</v>
      </c>
      <c r="B67" s="246" t="s">
        <v>67</v>
      </c>
      <c r="C67" s="267" t="s">
        <v>86</v>
      </c>
      <c r="D67" s="268"/>
      <c r="E67" s="251" t="s">
        <v>84</v>
      </c>
      <c r="F67" s="250"/>
      <c r="G67" s="133"/>
      <c r="H67" s="133"/>
      <c r="I67" s="133"/>
      <c r="J67" s="133"/>
      <c r="K67" s="249">
        <f t="shared" si="0"/>
        <v>0</v>
      </c>
      <c r="L67" s="249">
        <f t="shared" si="1"/>
        <v>0</v>
      </c>
      <c r="M67" s="249">
        <v>416.3</v>
      </c>
      <c r="N67" s="249">
        <f t="shared" si="6"/>
        <v>1.7131687242798355</v>
      </c>
      <c r="O67" s="249"/>
      <c r="P67" s="249">
        <f t="shared" si="2"/>
        <v>0</v>
      </c>
      <c r="Q67" s="249"/>
      <c r="R67" s="19">
        <f t="shared" si="3"/>
        <v>0</v>
      </c>
      <c r="S67" s="249">
        <f t="shared" si="4"/>
        <v>0</v>
      </c>
      <c r="T67" s="20">
        <v>2</v>
      </c>
      <c r="U67" s="20"/>
      <c r="V67" s="25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47">
        <v>300334</v>
      </c>
      <c r="B68" s="246" t="s">
        <v>67</v>
      </c>
      <c r="C68" s="267" t="s">
        <v>86</v>
      </c>
      <c r="D68" s="268"/>
      <c r="E68" s="251" t="s">
        <v>85</v>
      </c>
      <c r="F68" s="250"/>
      <c r="G68" s="133"/>
      <c r="H68" s="133"/>
      <c r="I68" s="133"/>
      <c r="J68" s="133"/>
      <c r="K68" s="249">
        <f t="shared" si="0"/>
        <v>0</v>
      </c>
      <c r="L68" s="249">
        <f t="shared" si="1"/>
        <v>0</v>
      </c>
      <c r="M68" s="249">
        <v>416.3</v>
      </c>
      <c r="N68" s="249">
        <f t="shared" si="6"/>
        <v>1.7131687242798355</v>
      </c>
      <c r="O68" s="249"/>
      <c r="P68" s="249">
        <f t="shared" si="2"/>
        <v>0</v>
      </c>
      <c r="Q68" s="249"/>
      <c r="R68" s="19">
        <f t="shared" si="3"/>
        <v>0</v>
      </c>
      <c r="S68" s="249">
        <f t="shared" si="4"/>
        <v>0</v>
      </c>
      <c r="T68" s="20">
        <v>2</v>
      </c>
      <c r="U68" s="20"/>
      <c r="V68" s="25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47">
        <v>300335</v>
      </c>
      <c r="B69" s="246" t="s">
        <v>67</v>
      </c>
      <c r="C69" s="267" t="s">
        <v>86</v>
      </c>
      <c r="D69" s="268"/>
      <c r="E69" s="251" t="s">
        <v>49</v>
      </c>
      <c r="F69" s="250"/>
      <c r="G69" s="133"/>
      <c r="H69" s="133"/>
      <c r="I69" s="133"/>
      <c r="J69" s="133"/>
      <c r="K69" s="249">
        <f t="shared" si="0"/>
        <v>0</v>
      </c>
      <c r="L69" s="249">
        <f t="shared" si="1"/>
        <v>0</v>
      </c>
      <c r="M69" s="249">
        <v>416.3</v>
      </c>
      <c r="N69" s="249">
        <f t="shared" si="6"/>
        <v>1.7131687242798355</v>
      </c>
      <c r="O69" s="249"/>
      <c r="P69" s="249">
        <f t="shared" si="2"/>
        <v>0</v>
      </c>
      <c r="Q69" s="249"/>
      <c r="R69" s="19">
        <f t="shared" si="3"/>
        <v>0</v>
      </c>
      <c r="S69" s="249">
        <f t="shared" si="4"/>
        <v>0</v>
      </c>
      <c r="T69" s="20">
        <v>2</v>
      </c>
      <c r="U69" s="20"/>
      <c r="V69" s="25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47">
        <v>300291</v>
      </c>
      <c r="B70" s="246" t="s">
        <v>87</v>
      </c>
      <c r="C70" s="256" t="s">
        <v>88</v>
      </c>
      <c r="D70" s="256" t="s">
        <v>89</v>
      </c>
      <c r="E70" s="251" t="s">
        <v>42</v>
      </c>
      <c r="F70" s="250"/>
      <c r="G70" s="133"/>
      <c r="H70" s="133"/>
      <c r="I70" s="133"/>
      <c r="J70" s="133"/>
      <c r="K70" s="249">
        <f t="shared" si="0"/>
        <v>0</v>
      </c>
      <c r="L70" s="249">
        <f t="shared" si="1"/>
        <v>0</v>
      </c>
      <c r="M70" s="249">
        <v>517.79999999999995</v>
      </c>
      <c r="N70" s="249">
        <f t="shared" si="6"/>
        <v>4.261728395061728</v>
      </c>
      <c r="O70" s="249"/>
      <c r="P70" s="249">
        <f t="shared" si="2"/>
        <v>0</v>
      </c>
      <c r="Q70" s="249"/>
      <c r="R70" s="19">
        <f t="shared" si="3"/>
        <v>0</v>
      </c>
      <c r="S70" s="249">
        <f t="shared" si="4"/>
        <v>0</v>
      </c>
      <c r="T70" s="20">
        <v>4</v>
      </c>
      <c r="U70" s="20"/>
      <c r="V70" s="25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47">
        <v>300292</v>
      </c>
      <c r="B71" s="246" t="s">
        <v>87</v>
      </c>
      <c r="C71" s="256" t="s">
        <v>88</v>
      </c>
      <c r="D71" s="256" t="s">
        <v>89</v>
      </c>
      <c r="E71" s="251" t="s">
        <v>41</v>
      </c>
      <c r="F71" s="250"/>
      <c r="G71" s="133"/>
      <c r="H71" s="133"/>
      <c r="I71" s="133"/>
      <c r="J71" s="133"/>
      <c r="K71" s="249">
        <f t="shared" si="0"/>
        <v>0</v>
      </c>
      <c r="L71" s="249">
        <f t="shared" si="1"/>
        <v>0</v>
      </c>
      <c r="M71" s="249">
        <v>517.79999999999995</v>
      </c>
      <c r="N71" s="249">
        <f>+M71*1000/(66.8*1*110*60)*T71</f>
        <v>4.6978769733260748</v>
      </c>
      <c r="O71" s="249"/>
      <c r="P71" s="249">
        <f t="shared" si="2"/>
        <v>0</v>
      </c>
      <c r="Q71" s="249"/>
      <c r="R71" s="19">
        <f t="shared" si="3"/>
        <v>0</v>
      </c>
      <c r="S71" s="249">
        <f t="shared" si="4"/>
        <v>0</v>
      </c>
      <c r="T71" s="20">
        <v>4</v>
      </c>
      <c r="U71" s="20"/>
      <c r="V71" s="25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47">
        <v>300293</v>
      </c>
      <c r="B72" s="246" t="s">
        <v>87</v>
      </c>
      <c r="C72" s="256" t="s">
        <v>88</v>
      </c>
      <c r="D72" s="256" t="s">
        <v>89</v>
      </c>
      <c r="E72" s="251" t="s">
        <v>57</v>
      </c>
      <c r="F72" s="250"/>
      <c r="G72" s="133"/>
      <c r="H72" s="133"/>
      <c r="I72" s="133"/>
      <c r="J72" s="133"/>
      <c r="K72" s="249">
        <f t="shared" si="0"/>
        <v>0</v>
      </c>
      <c r="L72" s="249">
        <f t="shared" si="1"/>
        <v>0</v>
      </c>
      <c r="M72" s="249">
        <v>517.9</v>
      </c>
      <c r="N72" s="249">
        <f>+M72*1000/(67.1*1*110*60)*T72</f>
        <v>4.6777762724111467</v>
      </c>
      <c r="O72" s="249"/>
      <c r="P72" s="249">
        <f t="shared" si="2"/>
        <v>0</v>
      </c>
      <c r="Q72" s="249"/>
      <c r="R72" s="19">
        <f t="shared" si="3"/>
        <v>0</v>
      </c>
      <c r="S72" s="249">
        <f t="shared" si="4"/>
        <v>0</v>
      </c>
      <c r="T72" s="20">
        <v>4</v>
      </c>
      <c r="U72" s="20"/>
      <c r="V72" s="25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47">
        <v>300290</v>
      </c>
      <c r="B73" s="246" t="s">
        <v>87</v>
      </c>
      <c r="C73" s="256" t="s">
        <v>88</v>
      </c>
      <c r="D73" s="256" t="s">
        <v>89</v>
      </c>
      <c r="E73" s="251" t="s">
        <v>35</v>
      </c>
      <c r="F73" s="250"/>
      <c r="G73" s="133"/>
      <c r="H73" s="133"/>
      <c r="I73" s="133"/>
      <c r="J73" s="133"/>
      <c r="K73" s="249">
        <f t="shared" si="0"/>
        <v>0</v>
      </c>
      <c r="L73" s="249">
        <f t="shared" si="1"/>
        <v>0</v>
      </c>
      <c r="M73" s="249">
        <v>520</v>
      </c>
      <c r="N73" s="249">
        <f>+M73*1000/(67.5*1*110*60)*T73</f>
        <v>4.6689113355780023</v>
      </c>
      <c r="O73" s="249"/>
      <c r="P73" s="249">
        <f t="shared" si="2"/>
        <v>0</v>
      </c>
      <c r="Q73" s="249"/>
      <c r="R73" s="19">
        <f t="shared" si="3"/>
        <v>0</v>
      </c>
      <c r="S73" s="249">
        <f t="shared" si="4"/>
        <v>0</v>
      </c>
      <c r="T73" s="20">
        <v>4</v>
      </c>
      <c r="U73" s="20"/>
      <c r="V73" s="25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47">
        <v>300389</v>
      </c>
      <c r="B74" s="246" t="s">
        <v>87</v>
      </c>
      <c r="C74" s="256" t="s">
        <v>316</v>
      </c>
      <c r="D74" s="256" t="s">
        <v>89</v>
      </c>
      <c r="E74" s="251" t="s">
        <v>35</v>
      </c>
      <c r="F74" s="250"/>
      <c r="G74" s="133"/>
      <c r="H74" s="133"/>
      <c r="I74" s="133"/>
      <c r="J74" s="133"/>
      <c r="K74" s="249">
        <f t="shared" si="0"/>
        <v>0</v>
      </c>
      <c r="L74" s="249">
        <f t="shared" si="1"/>
        <v>0</v>
      </c>
      <c r="M74" s="249">
        <v>429.4</v>
      </c>
      <c r="N74" s="249">
        <f>+M74*1000/(47*1*110*60)*T74</f>
        <v>5.5370728562217923</v>
      </c>
      <c r="O74" s="249"/>
      <c r="P74" s="249">
        <f t="shared" si="2"/>
        <v>0</v>
      </c>
      <c r="Q74" s="249"/>
      <c r="R74" s="19">
        <f t="shared" si="3"/>
        <v>0</v>
      </c>
      <c r="S74" s="249">
        <f t="shared" si="4"/>
        <v>0</v>
      </c>
      <c r="T74" s="20">
        <v>4</v>
      </c>
      <c r="U74" s="20"/>
      <c r="V74" s="253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47">
        <v>300058</v>
      </c>
      <c r="B75" s="246" t="s">
        <v>87</v>
      </c>
      <c r="C75" s="256" t="s">
        <v>316</v>
      </c>
      <c r="D75" s="256" t="s">
        <v>89</v>
      </c>
      <c r="E75" s="251" t="s">
        <v>42</v>
      </c>
      <c r="F75" s="250"/>
      <c r="G75" s="133"/>
      <c r="H75" s="133"/>
      <c r="I75" s="133"/>
      <c r="J75" s="133"/>
      <c r="K75" s="249">
        <f t="shared" si="0"/>
        <v>0</v>
      </c>
      <c r="L75" s="249">
        <f t="shared" si="1"/>
        <v>0</v>
      </c>
      <c r="M75" s="249">
        <v>419.2</v>
      </c>
      <c r="N75" s="249">
        <f>+M75*1000/(51.5*1*110*60)*T75</f>
        <v>4.9332156516622536</v>
      </c>
      <c r="O75" s="249"/>
      <c r="P75" s="249">
        <f t="shared" si="2"/>
        <v>0</v>
      </c>
      <c r="Q75" s="249"/>
      <c r="R75" s="19">
        <f t="shared" si="3"/>
        <v>0</v>
      </c>
      <c r="S75" s="249">
        <f t="shared" si="4"/>
        <v>0</v>
      </c>
      <c r="T75" s="20">
        <v>4</v>
      </c>
      <c r="U75" s="20"/>
      <c r="V75" s="25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47">
        <v>300061</v>
      </c>
      <c r="B76" s="246" t="s">
        <v>92</v>
      </c>
      <c r="C76" s="256" t="s">
        <v>317</v>
      </c>
      <c r="D76" s="256" t="s">
        <v>96</v>
      </c>
      <c r="E76" s="251" t="s">
        <v>41</v>
      </c>
      <c r="F76" s="250"/>
      <c r="G76" s="133"/>
      <c r="H76" s="133"/>
      <c r="I76" s="133"/>
      <c r="J76" s="133"/>
      <c r="K76" s="249">
        <f t="shared" si="0"/>
        <v>0</v>
      </c>
      <c r="L76" s="249">
        <f t="shared" si="1"/>
        <v>0</v>
      </c>
      <c r="M76" s="249">
        <v>418.4</v>
      </c>
      <c r="N76" s="249">
        <f>+M76*1000/(51*1*110*60)*T76</f>
        <v>4.9720736779560308</v>
      </c>
      <c r="O76" s="249"/>
      <c r="P76" s="249">
        <f t="shared" si="2"/>
        <v>0</v>
      </c>
      <c r="Q76" s="249"/>
      <c r="R76" s="19">
        <f t="shared" si="3"/>
        <v>0</v>
      </c>
      <c r="S76" s="249">
        <f t="shared" si="4"/>
        <v>0</v>
      </c>
      <c r="T76" s="20">
        <v>4</v>
      </c>
      <c r="U76" s="20"/>
      <c r="V76" s="25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47">
        <v>300064</v>
      </c>
      <c r="B77" s="246">
        <v>5002</v>
      </c>
      <c r="C77" s="256" t="s">
        <v>317</v>
      </c>
      <c r="D77" s="256" t="s">
        <v>96</v>
      </c>
      <c r="E77" s="251" t="s">
        <v>35</v>
      </c>
      <c r="F77" s="250"/>
      <c r="G77" s="133"/>
      <c r="H77" s="133"/>
      <c r="I77" s="133"/>
      <c r="J77" s="133"/>
      <c r="K77" s="249">
        <f t="shared" ref="K77:K153" si="7">G77*M77</f>
        <v>0</v>
      </c>
      <c r="L77" s="249">
        <f t="shared" ref="L77:L153" si="8">I77*M77</f>
        <v>0</v>
      </c>
      <c r="M77" s="249">
        <v>419.2</v>
      </c>
      <c r="N77" s="249">
        <f>+M77*1000/(51.9*1*110*60)*T77</f>
        <v>4.8951947217843168</v>
      </c>
      <c r="O77" s="249"/>
      <c r="P77" s="249">
        <f t="shared" ref="P77:P153" si="9">N77*I77+O77*U77</f>
        <v>0</v>
      </c>
      <c r="Q77" s="249"/>
      <c r="R77" s="19">
        <f t="shared" ref="R77:R153" si="10">Q77*U77</f>
        <v>0</v>
      </c>
      <c r="S77" s="249">
        <f t="shared" ref="S77:S153" si="11">R77-P77</f>
        <v>0</v>
      </c>
      <c r="T77" s="20">
        <v>4</v>
      </c>
      <c r="U77" s="20"/>
      <c r="V77" s="25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247">
        <v>300060</v>
      </c>
      <c r="B78" s="246" t="s">
        <v>87</v>
      </c>
      <c r="C78" s="256" t="s">
        <v>317</v>
      </c>
      <c r="D78" s="256" t="s">
        <v>96</v>
      </c>
      <c r="E78" s="251" t="s">
        <v>57</v>
      </c>
      <c r="F78" s="250"/>
      <c r="G78" s="133"/>
      <c r="H78" s="133"/>
      <c r="I78" s="133"/>
      <c r="J78" s="133"/>
      <c r="K78" s="249">
        <f t="shared" si="7"/>
        <v>0</v>
      </c>
      <c r="L78" s="249">
        <f t="shared" si="8"/>
        <v>0</v>
      </c>
      <c r="M78" s="249">
        <v>416.9</v>
      </c>
      <c r="N78" s="249">
        <f>+M78*1000/(51*1*110*60)*T78</f>
        <v>4.9542483660130721</v>
      </c>
      <c r="O78" s="249"/>
      <c r="P78" s="249">
        <f t="shared" si="9"/>
        <v>0</v>
      </c>
      <c r="Q78" s="249"/>
      <c r="R78" s="19">
        <f t="shared" si="10"/>
        <v>0</v>
      </c>
      <c r="S78" s="249">
        <f t="shared" si="11"/>
        <v>0</v>
      </c>
      <c r="T78" s="20">
        <v>4</v>
      </c>
      <c r="U78" s="20"/>
      <c r="V78" s="25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47">
        <v>300068</v>
      </c>
      <c r="B79" s="246" t="s">
        <v>87</v>
      </c>
      <c r="C79" s="256" t="s">
        <v>98</v>
      </c>
      <c r="D79" s="256" t="s">
        <v>99</v>
      </c>
      <c r="E79" s="251" t="s">
        <v>37</v>
      </c>
      <c r="F79" s="250"/>
      <c r="G79" s="133"/>
      <c r="H79" s="133"/>
      <c r="I79" s="133"/>
      <c r="J79" s="133"/>
      <c r="K79" s="249">
        <f t="shared" si="7"/>
        <v>0</v>
      </c>
      <c r="L79" s="249">
        <f t="shared" si="8"/>
        <v>0</v>
      </c>
      <c r="M79" s="249">
        <v>438.4</v>
      </c>
      <c r="N79" s="249">
        <f>+M79*1000/(50*1*120*60)*T79</f>
        <v>4.8711111111111114</v>
      </c>
      <c r="O79" s="249"/>
      <c r="P79" s="249">
        <f t="shared" si="9"/>
        <v>0</v>
      </c>
      <c r="Q79" s="249"/>
      <c r="R79" s="19">
        <f t="shared" si="10"/>
        <v>0</v>
      </c>
      <c r="S79" s="249">
        <f t="shared" si="11"/>
        <v>0</v>
      </c>
      <c r="T79" s="20">
        <v>4</v>
      </c>
      <c r="U79" s="20"/>
      <c r="V79" s="25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customHeight="1">
      <c r="A80" s="247">
        <v>300065</v>
      </c>
      <c r="B80" s="252" t="s">
        <v>334</v>
      </c>
      <c r="C80" s="256" t="s">
        <v>98</v>
      </c>
      <c r="D80" s="256" t="s">
        <v>99</v>
      </c>
      <c r="E80" s="251" t="s">
        <v>35</v>
      </c>
      <c r="F80" s="250">
        <v>1628</v>
      </c>
      <c r="G80" s="133">
        <v>10</v>
      </c>
      <c r="H80" s="133"/>
      <c r="I80" s="133">
        <v>10</v>
      </c>
      <c r="J80" s="133"/>
      <c r="K80" s="249">
        <f t="shared" si="7"/>
        <v>4388</v>
      </c>
      <c r="L80" s="249">
        <f t="shared" si="8"/>
        <v>4388</v>
      </c>
      <c r="M80" s="249">
        <v>438.8</v>
      </c>
      <c r="N80" s="249">
        <f>+M80*1000/(50*1*120*60)*T80</f>
        <v>4.8755555555555556</v>
      </c>
      <c r="O80" s="249">
        <v>0.5</v>
      </c>
      <c r="P80" s="249">
        <f t="shared" si="9"/>
        <v>50.75555555555556</v>
      </c>
      <c r="Q80" s="249">
        <v>12</v>
      </c>
      <c r="R80" s="19">
        <f t="shared" si="10"/>
        <v>48</v>
      </c>
      <c r="S80" s="249">
        <f t="shared" si="11"/>
        <v>-2.75555555555556</v>
      </c>
      <c r="T80" s="20">
        <v>4</v>
      </c>
      <c r="U80" s="247">
        <v>4</v>
      </c>
      <c r="V80" s="253">
        <f t="array" ref="V80">IF(ISERROR(L80/K80),"",L80/K80)</f>
        <v>1</v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47">
        <v>300066</v>
      </c>
      <c r="B81" s="246" t="s">
        <v>87</v>
      </c>
      <c r="C81" s="256" t="s">
        <v>98</v>
      </c>
      <c r="D81" s="256" t="s">
        <v>99</v>
      </c>
      <c r="E81" s="251" t="s">
        <v>66</v>
      </c>
      <c r="F81" s="250"/>
      <c r="G81" s="133"/>
      <c r="H81" s="133"/>
      <c r="I81" s="133"/>
      <c r="J81" s="133"/>
      <c r="K81" s="249">
        <f t="shared" si="7"/>
        <v>0</v>
      </c>
      <c r="L81" s="249">
        <f t="shared" si="8"/>
        <v>0</v>
      </c>
      <c r="M81" s="249">
        <v>438.4</v>
      </c>
      <c r="N81" s="249">
        <f>+M81*1000/(50*1*120*60)*T81</f>
        <v>4.8711111111111114</v>
      </c>
      <c r="O81" s="249"/>
      <c r="P81" s="249">
        <f t="shared" si="9"/>
        <v>0</v>
      </c>
      <c r="Q81" s="249"/>
      <c r="R81" s="19">
        <f t="shared" si="10"/>
        <v>0</v>
      </c>
      <c r="S81" s="249">
        <f t="shared" si="11"/>
        <v>0</v>
      </c>
      <c r="T81" s="20">
        <v>4</v>
      </c>
      <c r="U81" s="247"/>
      <c r="V81" s="25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47">
        <v>300067</v>
      </c>
      <c r="B82" s="246" t="s">
        <v>87</v>
      </c>
      <c r="C82" s="256" t="s">
        <v>98</v>
      </c>
      <c r="D82" s="256" t="s">
        <v>99</v>
      </c>
      <c r="E82" s="251" t="s">
        <v>41</v>
      </c>
      <c r="F82" s="250"/>
      <c r="G82" s="133"/>
      <c r="H82" s="133"/>
      <c r="I82" s="133"/>
      <c r="J82" s="133"/>
      <c r="K82" s="249">
        <f t="shared" si="7"/>
        <v>0</v>
      </c>
      <c r="L82" s="249">
        <f t="shared" si="8"/>
        <v>0</v>
      </c>
      <c r="M82" s="249">
        <v>438.8</v>
      </c>
      <c r="N82" s="249">
        <f>+M82*1000/(50*1*120*60)*T82</f>
        <v>4.8755555555555556</v>
      </c>
      <c r="O82" s="249"/>
      <c r="P82" s="249">
        <f t="shared" si="9"/>
        <v>0</v>
      </c>
      <c r="Q82" s="249"/>
      <c r="R82" s="19">
        <f t="shared" si="10"/>
        <v>0</v>
      </c>
      <c r="S82" s="249">
        <f t="shared" si="11"/>
        <v>0</v>
      </c>
      <c r="T82" s="20">
        <v>4</v>
      </c>
      <c r="U82" s="20"/>
      <c r="V82" s="25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47">
        <v>300437</v>
      </c>
      <c r="B83" s="246" t="s">
        <v>87</v>
      </c>
      <c r="C83" s="256" t="s">
        <v>98</v>
      </c>
      <c r="D83" s="256" t="s">
        <v>99</v>
      </c>
      <c r="E83" s="251" t="s">
        <v>310</v>
      </c>
      <c r="F83" s="250"/>
      <c r="G83" s="133"/>
      <c r="H83" s="133"/>
      <c r="I83" s="133"/>
      <c r="J83" s="133"/>
      <c r="K83" s="249">
        <f t="shared" si="7"/>
        <v>0</v>
      </c>
      <c r="L83" s="249">
        <f t="shared" si="8"/>
        <v>0</v>
      </c>
      <c r="M83" s="249">
        <v>438.8</v>
      </c>
      <c r="N83" s="249">
        <f>+M83*1000/(50*1*120*60)*T83</f>
        <v>4.8755555555555556</v>
      </c>
      <c r="O83" s="249"/>
      <c r="P83" s="249">
        <f t="shared" si="9"/>
        <v>0</v>
      </c>
      <c r="Q83" s="249"/>
      <c r="R83" s="19">
        <f t="shared" si="10"/>
        <v>0</v>
      </c>
      <c r="S83" s="249">
        <f t="shared" si="11"/>
        <v>0</v>
      </c>
      <c r="T83" s="20">
        <v>4</v>
      </c>
      <c r="U83" s="20"/>
      <c r="V83" s="253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47">
        <v>300384</v>
      </c>
      <c r="B84" s="246" t="s">
        <v>87</v>
      </c>
      <c r="C84" s="256" t="s">
        <v>100</v>
      </c>
      <c r="D84" s="256" t="s">
        <v>101</v>
      </c>
      <c r="E84" s="251" t="s">
        <v>35</v>
      </c>
      <c r="F84" s="250"/>
      <c r="G84" s="133"/>
      <c r="H84" s="133"/>
      <c r="I84" s="133"/>
      <c r="J84" s="133"/>
      <c r="K84" s="249">
        <f t="shared" si="7"/>
        <v>0</v>
      </c>
      <c r="L84" s="249">
        <f t="shared" si="8"/>
        <v>0</v>
      </c>
      <c r="M84" s="249">
        <v>415.5</v>
      </c>
      <c r="N84" s="249">
        <f>+M84*1000/(51*1*110*60)*T84</f>
        <v>8.6408199643493759</v>
      </c>
      <c r="O84" s="249"/>
      <c r="P84" s="249">
        <f t="shared" si="9"/>
        <v>0</v>
      </c>
      <c r="Q84" s="249"/>
      <c r="R84" s="19">
        <f t="shared" si="10"/>
        <v>0</v>
      </c>
      <c r="S84" s="249">
        <f t="shared" si="11"/>
        <v>0</v>
      </c>
      <c r="T84" s="20">
        <v>7</v>
      </c>
      <c r="U84" s="20"/>
      <c r="V84" s="25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47">
        <v>300383</v>
      </c>
      <c r="B85" s="246" t="s">
        <v>87</v>
      </c>
      <c r="C85" s="256" t="s">
        <v>100</v>
      </c>
      <c r="D85" s="256" t="s">
        <v>102</v>
      </c>
      <c r="E85" s="251" t="s">
        <v>41</v>
      </c>
      <c r="F85" s="250"/>
      <c r="G85" s="133"/>
      <c r="H85" s="133"/>
      <c r="I85" s="133"/>
      <c r="J85" s="133"/>
      <c r="K85" s="249">
        <f t="shared" si="7"/>
        <v>0</v>
      </c>
      <c r="L85" s="249">
        <f t="shared" si="8"/>
        <v>0</v>
      </c>
      <c r="M85" s="249">
        <v>415.5</v>
      </c>
      <c r="N85" s="249">
        <f>+M85*1000/(51*1*110*60)*T85</f>
        <v>8.6408199643493759</v>
      </c>
      <c r="O85" s="249"/>
      <c r="P85" s="249">
        <f t="shared" si="9"/>
        <v>0</v>
      </c>
      <c r="Q85" s="249"/>
      <c r="R85" s="19">
        <f t="shared" si="10"/>
        <v>0</v>
      </c>
      <c r="S85" s="249">
        <f t="shared" si="11"/>
        <v>0</v>
      </c>
      <c r="T85" s="20">
        <v>7</v>
      </c>
      <c r="U85" s="20"/>
      <c r="V85" s="25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47">
        <v>300386</v>
      </c>
      <c r="B86" s="246" t="s">
        <v>87</v>
      </c>
      <c r="C86" s="256" t="s">
        <v>100</v>
      </c>
      <c r="D86" s="256" t="s">
        <v>103</v>
      </c>
      <c r="E86" s="251" t="s">
        <v>66</v>
      </c>
      <c r="F86" s="250"/>
      <c r="G86" s="133"/>
      <c r="H86" s="133"/>
      <c r="I86" s="133"/>
      <c r="J86" s="133"/>
      <c r="K86" s="249">
        <f t="shared" si="7"/>
        <v>0</v>
      </c>
      <c r="L86" s="249">
        <f t="shared" si="8"/>
        <v>0</v>
      </c>
      <c r="M86" s="249">
        <v>415.5</v>
      </c>
      <c r="N86" s="249">
        <f>+M86*1000/(51*1*110*60)*T86</f>
        <v>8.6408199643493759</v>
      </c>
      <c r="O86" s="249"/>
      <c r="P86" s="249">
        <f t="shared" si="9"/>
        <v>0</v>
      </c>
      <c r="Q86" s="249"/>
      <c r="R86" s="19">
        <f t="shared" si="10"/>
        <v>0</v>
      </c>
      <c r="S86" s="249">
        <f t="shared" si="11"/>
        <v>0</v>
      </c>
      <c r="T86" s="20">
        <v>7</v>
      </c>
      <c r="U86" s="20"/>
      <c r="V86" s="25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47">
        <v>300385</v>
      </c>
      <c r="B87" s="246" t="s">
        <v>87</v>
      </c>
      <c r="C87" s="256" t="s">
        <v>100</v>
      </c>
      <c r="D87" s="256" t="s">
        <v>104</v>
      </c>
      <c r="E87" s="251" t="s">
        <v>105</v>
      </c>
      <c r="F87" s="250"/>
      <c r="G87" s="133"/>
      <c r="H87" s="133"/>
      <c r="I87" s="133"/>
      <c r="J87" s="133"/>
      <c r="K87" s="249">
        <f t="shared" si="7"/>
        <v>0</v>
      </c>
      <c r="L87" s="249">
        <f t="shared" si="8"/>
        <v>0</v>
      </c>
      <c r="M87" s="249">
        <v>415.5</v>
      </c>
      <c r="N87" s="249">
        <f>+M87*1000/(51*1*110*60)*T87</f>
        <v>8.6408199643493759</v>
      </c>
      <c r="O87" s="249"/>
      <c r="P87" s="249">
        <f t="shared" si="9"/>
        <v>0</v>
      </c>
      <c r="Q87" s="249"/>
      <c r="R87" s="19">
        <f t="shared" si="10"/>
        <v>0</v>
      </c>
      <c r="S87" s="249">
        <f t="shared" si="11"/>
        <v>0</v>
      </c>
      <c r="T87" s="20">
        <v>7</v>
      </c>
      <c r="U87" s="20"/>
      <c r="V87" s="25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47">
        <v>300352</v>
      </c>
      <c r="B88" s="246" t="s">
        <v>87</v>
      </c>
      <c r="C88" s="256" t="s">
        <v>106</v>
      </c>
      <c r="D88" s="256" t="s">
        <v>101</v>
      </c>
      <c r="E88" s="251" t="s">
        <v>35</v>
      </c>
      <c r="F88" s="250"/>
      <c r="G88" s="133"/>
      <c r="H88" s="133"/>
      <c r="I88" s="133"/>
      <c r="J88" s="133"/>
      <c r="K88" s="249">
        <f t="shared" si="7"/>
        <v>0</v>
      </c>
      <c r="L88" s="249">
        <f t="shared" si="8"/>
        <v>0</v>
      </c>
      <c r="M88" s="249">
        <v>515.9</v>
      </c>
      <c r="N88" s="249">
        <f>+M88*1000/(80*1*110*60)*T88</f>
        <v>6.8395833333333336</v>
      </c>
      <c r="O88" s="249"/>
      <c r="P88" s="249">
        <f t="shared" si="9"/>
        <v>0</v>
      </c>
      <c r="Q88" s="249"/>
      <c r="R88" s="19">
        <f t="shared" si="10"/>
        <v>0</v>
      </c>
      <c r="S88" s="249">
        <f t="shared" si="11"/>
        <v>0</v>
      </c>
      <c r="T88" s="20">
        <v>7</v>
      </c>
      <c r="U88" s="20"/>
      <c r="V88" s="25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47">
        <v>300353</v>
      </c>
      <c r="B89" s="246" t="s">
        <v>87</v>
      </c>
      <c r="C89" s="256" t="s">
        <v>106</v>
      </c>
      <c r="D89" s="256" t="s">
        <v>101</v>
      </c>
      <c r="E89" s="251" t="s">
        <v>105</v>
      </c>
      <c r="F89" s="250"/>
      <c r="G89" s="133"/>
      <c r="H89" s="133"/>
      <c r="I89" s="133"/>
      <c r="J89" s="133"/>
      <c r="K89" s="249">
        <f t="shared" si="7"/>
        <v>0</v>
      </c>
      <c r="L89" s="249">
        <f t="shared" si="8"/>
        <v>0</v>
      </c>
      <c r="M89" s="249">
        <v>515.9</v>
      </c>
      <c r="N89" s="249">
        <f>+M89*1000/(80*1*110*60)*T89</f>
        <v>6.8395833333333336</v>
      </c>
      <c r="O89" s="249"/>
      <c r="P89" s="249">
        <f t="shared" si="9"/>
        <v>0</v>
      </c>
      <c r="Q89" s="249"/>
      <c r="R89" s="19">
        <f t="shared" si="10"/>
        <v>0</v>
      </c>
      <c r="S89" s="249">
        <f t="shared" si="11"/>
        <v>0</v>
      </c>
      <c r="T89" s="20">
        <v>7</v>
      </c>
      <c r="U89" s="20"/>
      <c r="V89" s="25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47">
        <v>300351</v>
      </c>
      <c r="B90" s="246" t="s">
        <v>87</v>
      </c>
      <c r="C90" s="256" t="s">
        <v>106</v>
      </c>
      <c r="D90" s="256" t="s">
        <v>101</v>
      </c>
      <c r="E90" s="251" t="s">
        <v>41</v>
      </c>
      <c r="F90" s="250"/>
      <c r="G90" s="133"/>
      <c r="H90" s="133"/>
      <c r="I90" s="133"/>
      <c r="J90" s="133"/>
      <c r="K90" s="249">
        <f t="shared" si="7"/>
        <v>0</v>
      </c>
      <c r="L90" s="249">
        <f t="shared" si="8"/>
        <v>0</v>
      </c>
      <c r="M90" s="249">
        <v>515.9</v>
      </c>
      <c r="N90" s="249">
        <f>+M90*1000/(80*1*110*60)*T90</f>
        <v>6.8395833333333336</v>
      </c>
      <c r="O90" s="249"/>
      <c r="P90" s="249">
        <f t="shared" si="9"/>
        <v>0</v>
      </c>
      <c r="Q90" s="249"/>
      <c r="R90" s="19">
        <f t="shared" si="10"/>
        <v>0</v>
      </c>
      <c r="S90" s="249">
        <f t="shared" si="11"/>
        <v>0</v>
      </c>
      <c r="T90" s="20">
        <v>7</v>
      </c>
      <c r="U90" s="20"/>
      <c r="V90" s="25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47">
        <v>300354</v>
      </c>
      <c r="B91" s="246" t="s">
        <v>87</v>
      </c>
      <c r="C91" s="256" t="s">
        <v>106</v>
      </c>
      <c r="D91" s="256" t="s">
        <v>101</v>
      </c>
      <c r="E91" s="251" t="s">
        <v>66</v>
      </c>
      <c r="F91" s="250"/>
      <c r="G91" s="133"/>
      <c r="H91" s="133"/>
      <c r="I91" s="133"/>
      <c r="J91" s="133"/>
      <c r="K91" s="249">
        <f t="shared" si="7"/>
        <v>0</v>
      </c>
      <c r="L91" s="249">
        <f t="shared" si="8"/>
        <v>0</v>
      </c>
      <c r="M91" s="249">
        <v>515.9</v>
      </c>
      <c r="N91" s="249">
        <f>+M91*1000/(80*1*110*60)*T91</f>
        <v>6.8395833333333336</v>
      </c>
      <c r="O91" s="249"/>
      <c r="P91" s="249">
        <f t="shared" si="9"/>
        <v>0</v>
      </c>
      <c r="Q91" s="249"/>
      <c r="R91" s="19">
        <f t="shared" si="10"/>
        <v>0</v>
      </c>
      <c r="S91" s="249">
        <f t="shared" si="11"/>
        <v>0</v>
      </c>
      <c r="T91" s="20">
        <v>7</v>
      </c>
      <c r="U91" s="20"/>
      <c r="V91" s="25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47">
        <v>300250</v>
      </c>
      <c r="B92" s="246" t="s">
        <v>87</v>
      </c>
      <c r="C92" s="256" t="s">
        <v>107</v>
      </c>
      <c r="D92" s="256" t="s">
        <v>101</v>
      </c>
      <c r="E92" s="251" t="s">
        <v>35</v>
      </c>
      <c r="F92" s="250"/>
      <c r="G92" s="133"/>
      <c r="H92" s="133"/>
      <c r="I92" s="133"/>
      <c r="J92" s="133"/>
      <c r="K92" s="249">
        <f t="shared" si="7"/>
        <v>0</v>
      </c>
      <c r="L92" s="249">
        <f t="shared" si="8"/>
        <v>0</v>
      </c>
      <c r="M92" s="249">
        <v>412.5</v>
      </c>
      <c r="N92" s="249">
        <f>+M92*1000/(84*1*110*60)*T92</f>
        <v>5.2083333333333339</v>
      </c>
      <c r="O92" s="249"/>
      <c r="P92" s="249">
        <f t="shared" si="9"/>
        <v>0</v>
      </c>
      <c r="Q92" s="249"/>
      <c r="R92" s="19">
        <f t="shared" si="10"/>
        <v>0</v>
      </c>
      <c r="S92" s="249">
        <f t="shared" si="11"/>
        <v>0</v>
      </c>
      <c r="T92" s="20">
        <v>7</v>
      </c>
      <c r="U92" s="20"/>
      <c r="V92" s="25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47">
        <v>300251</v>
      </c>
      <c r="B93" s="246" t="s">
        <v>87</v>
      </c>
      <c r="C93" s="256" t="s">
        <v>107</v>
      </c>
      <c r="D93" s="256" t="s">
        <v>101</v>
      </c>
      <c r="E93" s="251" t="s">
        <v>105</v>
      </c>
      <c r="F93" s="250"/>
      <c r="G93" s="133"/>
      <c r="H93" s="133"/>
      <c r="I93" s="133"/>
      <c r="J93" s="133"/>
      <c r="K93" s="249">
        <f t="shared" si="7"/>
        <v>0</v>
      </c>
      <c r="L93" s="249">
        <f t="shared" si="8"/>
        <v>0</v>
      </c>
      <c r="M93" s="249">
        <v>412.5</v>
      </c>
      <c r="N93" s="249">
        <f>+M93*1000/(84*1*110*60)*T93</f>
        <v>5.2083333333333339</v>
      </c>
      <c r="O93" s="249"/>
      <c r="P93" s="249">
        <f t="shared" si="9"/>
        <v>0</v>
      </c>
      <c r="Q93" s="249"/>
      <c r="R93" s="19">
        <f t="shared" si="10"/>
        <v>0</v>
      </c>
      <c r="S93" s="249">
        <f t="shared" si="11"/>
        <v>0</v>
      </c>
      <c r="T93" s="20">
        <v>7</v>
      </c>
      <c r="U93" s="20"/>
      <c r="V93" s="25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47">
        <v>300254</v>
      </c>
      <c r="B94" s="246" t="s">
        <v>87</v>
      </c>
      <c r="C94" s="256" t="s">
        <v>107</v>
      </c>
      <c r="D94" s="256" t="s">
        <v>101</v>
      </c>
      <c r="E94" s="251" t="s">
        <v>41</v>
      </c>
      <c r="F94" s="250"/>
      <c r="G94" s="133"/>
      <c r="H94" s="133"/>
      <c r="I94" s="133"/>
      <c r="J94" s="133"/>
      <c r="K94" s="249">
        <f t="shared" si="7"/>
        <v>0</v>
      </c>
      <c r="L94" s="249">
        <f t="shared" si="8"/>
        <v>0</v>
      </c>
      <c r="M94" s="249">
        <v>412.5</v>
      </c>
      <c r="N94" s="249">
        <f>+M94*1000/(84*1*110*60)*T94</f>
        <v>5.2083333333333339</v>
      </c>
      <c r="O94" s="249"/>
      <c r="P94" s="249">
        <f t="shared" si="9"/>
        <v>0</v>
      </c>
      <c r="Q94" s="249"/>
      <c r="R94" s="19">
        <f t="shared" si="10"/>
        <v>0</v>
      </c>
      <c r="S94" s="249">
        <f t="shared" si="11"/>
        <v>0</v>
      </c>
      <c r="T94" s="20">
        <v>7</v>
      </c>
      <c r="U94" s="20"/>
      <c r="V94" s="25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47">
        <v>300253</v>
      </c>
      <c r="B95" s="246" t="s">
        <v>87</v>
      </c>
      <c r="C95" s="256" t="s">
        <v>107</v>
      </c>
      <c r="D95" s="256" t="s">
        <v>101</v>
      </c>
      <c r="E95" s="251" t="s">
        <v>66</v>
      </c>
      <c r="F95" s="250"/>
      <c r="G95" s="133"/>
      <c r="H95" s="133"/>
      <c r="I95" s="133"/>
      <c r="J95" s="133"/>
      <c r="K95" s="249">
        <f t="shared" si="7"/>
        <v>0</v>
      </c>
      <c r="L95" s="249">
        <f t="shared" si="8"/>
        <v>0</v>
      </c>
      <c r="M95" s="249">
        <v>412.5</v>
      </c>
      <c r="N95" s="249">
        <f>+M95*1000/(84*1*110*60)*T95</f>
        <v>5.2083333333333339</v>
      </c>
      <c r="O95" s="249"/>
      <c r="P95" s="249">
        <f t="shared" si="9"/>
        <v>0</v>
      </c>
      <c r="Q95" s="249"/>
      <c r="R95" s="19">
        <f t="shared" si="10"/>
        <v>0</v>
      </c>
      <c r="S95" s="249">
        <f t="shared" si="11"/>
        <v>0</v>
      </c>
      <c r="T95" s="20">
        <v>7</v>
      </c>
      <c r="U95" s="20"/>
      <c r="V95" s="25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47">
        <v>300255</v>
      </c>
      <c r="B96" s="246" t="s">
        <v>87</v>
      </c>
      <c r="C96" s="256" t="s">
        <v>107</v>
      </c>
      <c r="D96" s="256" t="s">
        <v>101</v>
      </c>
      <c r="E96" s="251" t="s">
        <v>108</v>
      </c>
      <c r="F96" s="250"/>
      <c r="G96" s="133"/>
      <c r="H96" s="133"/>
      <c r="I96" s="133"/>
      <c r="J96" s="133"/>
      <c r="K96" s="249">
        <f t="shared" si="7"/>
        <v>0</v>
      </c>
      <c r="L96" s="249">
        <f t="shared" si="8"/>
        <v>0</v>
      </c>
      <c r="M96" s="249">
        <v>412.5</v>
      </c>
      <c r="N96" s="249">
        <f>+M96*1000/(84*1*110*60)*T96</f>
        <v>5.2083333333333339</v>
      </c>
      <c r="O96" s="249"/>
      <c r="P96" s="249">
        <f t="shared" si="9"/>
        <v>0</v>
      </c>
      <c r="Q96" s="249"/>
      <c r="R96" s="19">
        <f t="shared" si="10"/>
        <v>0</v>
      </c>
      <c r="S96" s="249">
        <f t="shared" si="11"/>
        <v>0</v>
      </c>
      <c r="T96" s="20">
        <v>7</v>
      </c>
      <c r="U96" s="20"/>
      <c r="V96" s="25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47">
        <v>300392</v>
      </c>
      <c r="B97" s="246" t="s">
        <v>87</v>
      </c>
      <c r="C97" s="267" t="s">
        <v>109</v>
      </c>
      <c r="D97" s="268"/>
      <c r="E97" s="251" t="s">
        <v>105</v>
      </c>
      <c r="F97" s="247"/>
      <c r="G97" s="133"/>
      <c r="H97" s="133"/>
      <c r="I97" s="133"/>
      <c r="J97" s="133"/>
      <c r="K97" s="249">
        <f t="shared" si="7"/>
        <v>0</v>
      </c>
      <c r="L97" s="249">
        <f t="shared" si="8"/>
        <v>0</v>
      </c>
      <c r="M97" s="249">
        <v>523</v>
      </c>
      <c r="N97" s="249">
        <f>+M97*1000/(98*1*80*60)*T97</f>
        <v>7.7827380952380958</v>
      </c>
      <c r="O97" s="249"/>
      <c r="P97" s="249">
        <f t="shared" si="9"/>
        <v>0</v>
      </c>
      <c r="Q97" s="249"/>
      <c r="R97" s="19">
        <f t="shared" si="10"/>
        <v>0</v>
      </c>
      <c r="S97" s="249">
        <f t="shared" si="11"/>
        <v>0</v>
      </c>
      <c r="T97" s="20">
        <v>7</v>
      </c>
      <c r="U97" s="20"/>
      <c r="V97" s="253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247">
        <v>300088</v>
      </c>
      <c r="B98" s="246" t="s">
        <v>87</v>
      </c>
      <c r="C98" s="256" t="s">
        <v>318</v>
      </c>
      <c r="D98" s="256" t="s">
        <v>96</v>
      </c>
      <c r="E98" s="251" t="s">
        <v>39</v>
      </c>
      <c r="F98" s="250"/>
      <c r="G98" s="133"/>
      <c r="H98" s="133"/>
      <c r="I98" s="133"/>
      <c r="J98" s="133"/>
      <c r="K98" s="249">
        <f t="shared" si="7"/>
        <v>0</v>
      </c>
      <c r="L98" s="249">
        <f t="shared" si="8"/>
        <v>0</v>
      </c>
      <c r="M98" s="249">
        <v>617.79999999999995</v>
      </c>
      <c r="N98" s="249">
        <f>+M98*1000/(123*1*80*60)*T98</f>
        <v>3.1392276422764223</v>
      </c>
      <c r="O98" s="249"/>
      <c r="P98" s="249">
        <f t="shared" si="9"/>
        <v>0</v>
      </c>
      <c r="Q98" s="249"/>
      <c r="R98" s="19">
        <f t="shared" si="10"/>
        <v>0</v>
      </c>
      <c r="S98" s="249">
        <f t="shared" si="11"/>
        <v>0</v>
      </c>
      <c r="T98" s="20">
        <v>3</v>
      </c>
      <c r="U98" s="20"/>
      <c r="V98" s="25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247">
        <v>300089</v>
      </c>
      <c r="B99" s="246" t="s">
        <v>87</v>
      </c>
      <c r="C99" s="256" t="s">
        <v>318</v>
      </c>
      <c r="D99" s="256" t="s">
        <v>96</v>
      </c>
      <c r="E99" s="251" t="s">
        <v>42</v>
      </c>
      <c r="F99" s="250"/>
      <c r="G99" s="133"/>
      <c r="H99" s="133"/>
      <c r="I99" s="133"/>
      <c r="J99" s="133"/>
      <c r="K99" s="249">
        <f t="shared" si="7"/>
        <v>0</v>
      </c>
      <c r="L99" s="249">
        <f t="shared" si="8"/>
        <v>0</v>
      </c>
      <c r="M99" s="249">
        <v>618.6</v>
      </c>
      <c r="N99" s="249">
        <f>+M99*1000/(124*1*80*60)*T99</f>
        <v>3.117943548387097</v>
      </c>
      <c r="O99" s="249"/>
      <c r="P99" s="249">
        <f t="shared" si="9"/>
        <v>0</v>
      </c>
      <c r="Q99" s="249"/>
      <c r="R99" s="19">
        <f t="shared" si="10"/>
        <v>0</v>
      </c>
      <c r="S99" s="249">
        <f t="shared" si="11"/>
        <v>0</v>
      </c>
      <c r="T99" s="20">
        <v>3</v>
      </c>
      <c r="U99" s="20"/>
      <c r="V99" s="25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247">
        <v>300128</v>
      </c>
      <c r="B100" s="246" t="s">
        <v>87</v>
      </c>
      <c r="C100" s="256" t="s">
        <v>112</v>
      </c>
      <c r="D100" s="256" t="s">
        <v>113</v>
      </c>
      <c r="E100" s="251" t="s">
        <v>35</v>
      </c>
      <c r="F100" s="250"/>
      <c r="G100" s="133"/>
      <c r="H100" s="133"/>
      <c r="I100" s="133"/>
      <c r="J100" s="133"/>
      <c r="K100" s="249">
        <f t="shared" si="7"/>
        <v>0</v>
      </c>
      <c r="L100" s="249">
        <f t="shared" si="8"/>
        <v>0</v>
      </c>
      <c r="M100" s="249">
        <v>621.29999999999995</v>
      </c>
      <c r="N100" s="249">
        <f t="shared" ref="N100:N105" si="12">+M100*1000/(130.5*1*80*60)*T100</f>
        <v>3.9674329501915708</v>
      </c>
      <c r="O100" s="249"/>
      <c r="P100" s="249">
        <f t="shared" si="9"/>
        <v>0</v>
      </c>
      <c r="Q100" s="249"/>
      <c r="R100" s="19">
        <f t="shared" si="10"/>
        <v>0</v>
      </c>
      <c r="S100" s="249">
        <f t="shared" si="11"/>
        <v>0</v>
      </c>
      <c r="T100" s="20">
        <v>4</v>
      </c>
      <c r="U100" s="20"/>
      <c r="V100" s="25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customHeight="1">
      <c r="A101" s="247">
        <v>300129</v>
      </c>
      <c r="B101" s="252" t="s">
        <v>334</v>
      </c>
      <c r="C101" s="256" t="s">
        <v>112</v>
      </c>
      <c r="D101" s="256" t="s">
        <v>113</v>
      </c>
      <c r="E101" s="251" t="s">
        <v>41</v>
      </c>
      <c r="F101" s="250">
        <v>1642</v>
      </c>
      <c r="G101" s="133">
        <v>6</v>
      </c>
      <c r="H101" s="133"/>
      <c r="I101" s="133">
        <v>6</v>
      </c>
      <c r="J101" s="133"/>
      <c r="K101" s="249">
        <f t="shared" si="7"/>
        <v>3727.7999999999997</v>
      </c>
      <c r="L101" s="249">
        <f t="shared" si="8"/>
        <v>3727.7999999999997</v>
      </c>
      <c r="M101" s="249">
        <v>621.29999999999995</v>
      </c>
      <c r="N101" s="249">
        <f t="shared" si="12"/>
        <v>3.9674329501915708</v>
      </c>
      <c r="O101" s="249"/>
      <c r="P101" s="249">
        <f t="shared" si="9"/>
        <v>23.804597701149426</v>
      </c>
      <c r="Q101" s="249">
        <v>6</v>
      </c>
      <c r="R101" s="19">
        <f t="shared" si="10"/>
        <v>36</v>
      </c>
      <c r="S101" s="249">
        <f t="shared" si="11"/>
        <v>12.195402298850574</v>
      </c>
      <c r="T101" s="20">
        <v>4</v>
      </c>
      <c r="U101" s="20">
        <v>6</v>
      </c>
      <c r="V101" s="25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247">
        <v>300130</v>
      </c>
      <c r="B102" s="246" t="s">
        <v>87</v>
      </c>
      <c r="C102" s="256" t="s">
        <v>112</v>
      </c>
      <c r="D102" s="256" t="s">
        <v>113</v>
      </c>
      <c r="E102" s="251" t="s">
        <v>37</v>
      </c>
      <c r="F102" s="250"/>
      <c r="G102" s="133"/>
      <c r="H102" s="133"/>
      <c r="I102" s="133"/>
      <c r="J102" s="133"/>
      <c r="K102" s="249">
        <f t="shared" si="7"/>
        <v>0</v>
      </c>
      <c r="L102" s="249">
        <f t="shared" si="8"/>
        <v>0</v>
      </c>
      <c r="M102" s="249">
        <v>621.29999999999995</v>
      </c>
      <c r="N102" s="249">
        <f t="shared" si="12"/>
        <v>3.9674329501915708</v>
      </c>
      <c r="O102" s="249"/>
      <c r="P102" s="249">
        <f t="shared" si="9"/>
        <v>0</v>
      </c>
      <c r="Q102" s="249"/>
      <c r="R102" s="19">
        <f t="shared" si="10"/>
        <v>0</v>
      </c>
      <c r="S102" s="249">
        <f t="shared" si="11"/>
        <v>0</v>
      </c>
      <c r="T102" s="20">
        <v>4</v>
      </c>
      <c r="U102" s="20"/>
      <c r="V102" s="25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247">
        <v>300423</v>
      </c>
      <c r="B103" s="246" t="s">
        <v>300</v>
      </c>
      <c r="C103" s="267" t="s">
        <v>296</v>
      </c>
      <c r="D103" s="268"/>
      <c r="E103" s="251" t="s">
        <v>297</v>
      </c>
      <c r="F103" s="250"/>
      <c r="G103" s="133"/>
      <c r="H103" s="133"/>
      <c r="I103" s="133"/>
      <c r="J103" s="133"/>
      <c r="K103" s="249">
        <f t="shared" si="7"/>
        <v>0</v>
      </c>
      <c r="L103" s="249">
        <f t="shared" si="8"/>
        <v>0</v>
      </c>
      <c r="M103" s="249">
        <v>524.1</v>
      </c>
      <c r="N103" s="249">
        <f t="shared" si="12"/>
        <v>3.3467432950191571</v>
      </c>
      <c r="O103" s="249"/>
      <c r="P103" s="249">
        <f t="shared" si="9"/>
        <v>0</v>
      </c>
      <c r="Q103" s="249"/>
      <c r="R103" s="19">
        <f t="shared" si="10"/>
        <v>0</v>
      </c>
      <c r="S103" s="249">
        <f t="shared" si="11"/>
        <v>0</v>
      </c>
      <c r="T103" s="20">
        <v>4</v>
      </c>
      <c r="U103" s="20"/>
      <c r="V103" s="25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247">
        <v>300424</v>
      </c>
      <c r="B104" s="246" t="s">
        <v>300</v>
      </c>
      <c r="C104" s="267" t="s">
        <v>296</v>
      </c>
      <c r="D104" s="268"/>
      <c r="E104" s="251" t="s">
        <v>298</v>
      </c>
      <c r="F104" s="250"/>
      <c r="G104" s="133"/>
      <c r="H104" s="133"/>
      <c r="I104" s="133"/>
      <c r="J104" s="133"/>
      <c r="K104" s="249">
        <f t="shared" si="7"/>
        <v>0</v>
      </c>
      <c r="L104" s="249">
        <f t="shared" si="8"/>
        <v>0</v>
      </c>
      <c r="M104" s="249">
        <v>524.1</v>
      </c>
      <c r="N104" s="249">
        <f t="shared" si="12"/>
        <v>3.3467432950191571</v>
      </c>
      <c r="O104" s="249"/>
      <c r="P104" s="249">
        <f t="shared" si="9"/>
        <v>0</v>
      </c>
      <c r="Q104" s="249"/>
      <c r="R104" s="19">
        <f t="shared" si="10"/>
        <v>0</v>
      </c>
      <c r="S104" s="249">
        <f t="shared" si="11"/>
        <v>0</v>
      </c>
      <c r="T104" s="20">
        <v>4</v>
      </c>
      <c r="U104" s="20"/>
      <c r="V104" s="25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247">
        <v>300425</v>
      </c>
      <c r="B105" s="246" t="s">
        <v>300</v>
      </c>
      <c r="C105" s="267" t="s">
        <v>296</v>
      </c>
      <c r="D105" s="268"/>
      <c r="E105" s="251" t="s">
        <v>299</v>
      </c>
      <c r="F105" s="250"/>
      <c r="G105" s="133"/>
      <c r="H105" s="133"/>
      <c r="I105" s="133"/>
      <c r="J105" s="133"/>
      <c r="K105" s="249">
        <f t="shared" si="7"/>
        <v>0</v>
      </c>
      <c r="L105" s="249">
        <f t="shared" si="8"/>
        <v>0</v>
      </c>
      <c r="M105" s="249">
        <v>524.1</v>
      </c>
      <c r="N105" s="249">
        <f t="shared" si="12"/>
        <v>3.3467432950191571</v>
      </c>
      <c r="O105" s="249"/>
      <c r="P105" s="249">
        <f t="shared" si="9"/>
        <v>0</v>
      </c>
      <c r="Q105" s="249"/>
      <c r="R105" s="19">
        <f t="shared" si="10"/>
        <v>0</v>
      </c>
      <c r="S105" s="249">
        <f t="shared" si="11"/>
        <v>0</v>
      </c>
      <c r="T105" s="20">
        <v>4</v>
      </c>
      <c r="U105" s="20"/>
      <c r="V105" s="25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hidden="1" customHeight="1">
      <c r="A106" s="247">
        <v>300390</v>
      </c>
      <c r="B106" s="246" t="s">
        <v>300</v>
      </c>
      <c r="C106" s="267" t="s">
        <v>114</v>
      </c>
      <c r="D106" s="268"/>
      <c r="E106" s="251" t="s">
        <v>115</v>
      </c>
      <c r="F106" s="250"/>
      <c r="G106" s="133"/>
      <c r="H106" s="133"/>
      <c r="I106" s="133"/>
      <c r="J106" s="133"/>
      <c r="K106" s="249">
        <f t="shared" si="7"/>
        <v>0</v>
      </c>
      <c r="L106" s="249">
        <f t="shared" si="8"/>
        <v>0</v>
      </c>
      <c r="M106" s="249">
        <v>417.4</v>
      </c>
      <c r="N106" s="249">
        <f>+M106*1000/(87*1*80*60)*T106</f>
        <v>3.9980842911877397</v>
      </c>
      <c r="O106" s="249"/>
      <c r="P106" s="249">
        <f t="shared" si="9"/>
        <v>0</v>
      </c>
      <c r="Q106" s="249"/>
      <c r="R106" s="19">
        <f t="shared" si="10"/>
        <v>0</v>
      </c>
      <c r="S106" s="249">
        <f t="shared" si="11"/>
        <v>0</v>
      </c>
      <c r="T106" s="20">
        <v>4</v>
      </c>
      <c r="U106" s="20"/>
      <c r="V106" s="253" t="str">
        <f t="array" ref="V106">IF(ISERROR(L106/K106),"",L106/K106)</f>
        <v/>
      </c>
      <c r="W106" s="20"/>
      <c r="X106" s="20"/>
      <c r="Y106" s="20"/>
      <c r="Z106" s="20"/>
      <c r="AA106" s="20"/>
      <c r="AB106" s="20"/>
      <c r="AC106" s="20"/>
    </row>
    <row r="107" spans="1:29" s="2" customFormat="1" ht="21.95" hidden="1" customHeight="1">
      <c r="A107" s="247">
        <v>300391</v>
      </c>
      <c r="B107" s="246" t="s">
        <v>300</v>
      </c>
      <c r="C107" s="267" t="s">
        <v>114</v>
      </c>
      <c r="D107" s="268"/>
      <c r="E107" s="251" t="s">
        <v>117</v>
      </c>
      <c r="F107" s="250"/>
      <c r="G107" s="133"/>
      <c r="H107" s="133"/>
      <c r="I107" s="133"/>
      <c r="J107" s="133"/>
      <c r="K107" s="249">
        <f t="shared" si="7"/>
        <v>0</v>
      </c>
      <c r="L107" s="249">
        <f t="shared" si="8"/>
        <v>0</v>
      </c>
      <c r="M107" s="249">
        <v>417.4</v>
      </c>
      <c r="N107" s="249">
        <f>+M107*1000/(87*1*80*60)*T107</f>
        <v>3.9980842911877397</v>
      </c>
      <c r="O107" s="249"/>
      <c r="P107" s="249">
        <f t="shared" si="9"/>
        <v>0</v>
      </c>
      <c r="Q107" s="249"/>
      <c r="R107" s="19">
        <f t="shared" si="10"/>
        <v>0</v>
      </c>
      <c r="S107" s="249">
        <f t="shared" si="11"/>
        <v>0</v>
      </c>
      <c r="T107" s="20">
        <v>4</v>
      </c>
      <c r="U107" s="20"/>
      <c r="V107" s="253" t="str">
        <f t="array" ref="V107">IF(ISERROR(L107/K107),"",L107/K107)</f>
        <v/>
      </c>
      <c r="W107" s="20"/>
      <c r="X107" s="20"/>
      <c r="Y107" s="20"/>
      <c r="Z107" s="20"/>
      <c r="AA107" s="20"/>
      <c r="AB107" s="20"/>
      <c r="AC107" s="20"/>
    </row>
    <row r="108" spans="1:29" s="2" customFormat="1" ht="21.95" customHeight="1">
      <c r="A108" s="247">
        <v>300431</v>
      </c>
      <c r="B108" s="252" t="s">
        <v>334</v>
      </c>
      <c r="C108" s="267" t="s">
        <v>305</v>
      </c>
      <c r="D108" s="268"/>
      <c r="E108" s="251" t="s">
        <v>306</v>
      </c>
      <c r="F108" s="250">
        <v>1673</v>
      </c>
      <c r="G108" s="133">
        <v>3</v>
      </c>
      <c r="H108" s="133"/>
      <c r="I108" s="133">
        <f>4-J108/600</f>
        <v>2.666666666666667</v>
      </c>
      <c r="J108" s="133">
        <v>800</v>
      </c>
      <c r="K108" s="249">
        <f t="shared" si="7"/>
        <v>1886.3999999999999</v>
      </c>
      <c r="L108" s="249">
        <f t="shared" si="8"/>
        <v>1676.8</v>
      </c>
      <c r="M108" s="249">
        <v>628.79999999999995</v>
      </c>
      <c r="N108" s="249">
        <f>+M108*1000/(87*1*80*60)*T108</f>
        <v>6.0229885057471266</v>
      </c>
      <c r="O108" s="249">
        <v>0.5</v>
      </c>
      <c r="P108" s="249">
        <f t="shared" si="9"/>
        <v>19.061302681992341</v>
      </c>
      <c r="Q108" s="249">
        <v>5</v>
      </c>
      <c r="R108" s="19">
        <f t="shared" si="10"/>
        <v>30</v>
      </c>
      <c r="S108" s="249">
        <f t="shared" si="11"/>
        <v>10.938697318007659</v>
      </c>
      <c r="T108" s="20">
        <v>4</v>
      </c>
      <c r="U108" s="20">
        <v>6</v>
      </c>
      <c r="V108" s="253">
        <f t="array" ref="V108">IF(ISERROR(L108/K108),"",L108/K108)</f>
        <v>0.88888888888888895</v>
      </c>
      <c r="W108" s="20"/>
      <c r="X108" s="20"/>
      <c r="Y108" s="20"/>
      <c r="Z108" s="20"/>
      <c r="AA108" s="20"/>
      <c r="AB108" s="20"/>
      <c r="AC108" s="20"/>
    </row>
    <row r="109" spans="1:29" s="2" customFormat="1" ht="21.95" hidden="1" customHeight="1">
      <c r="A109" s="247">
        <v>300432</v>
      </c>
      <c r="B109" s="246" t="s">
        <v>300</v>
      </c>
      <c r="C109" s="267" t="s">
        <v>305</v>
      </c>
      <c r="D109" s="268"/>
      <c r="E109" s="251" t="s">
        <v>307</v>
      </c>
      <c r="F109" s="250"/>
      <c r="G109" s="133"/>
      <c r="H109" s="133"/>
      <c r="I109" s="133"/>
      <c r="J109" s="133"/>
      <c r="K109" s="249">
        <f t="shared" si="7"/>
        <v>0</v>
      </c>
      <c r="L109" s="249">
        <f t="shared" si="8"/>
        <v>0</v>
      </c>
      <c r="M109" s="249">
        <v>628.79999999999995</v>
      </c>
      <c r="N109" s="249">
        <f>+M109*1000/(87*1*80*60)*T109</f>
        <v>6.0229885057471266</v>
      </c>
      <c r="O109" s="249"/>
      <c r="P109" s="249">
        <f t="shared" si="9"/>
        <v>0</v>
      </c>
      <c r="Q109" s="249"/>
      <c r="R109" s="19">
        <f t="shared" si="10"/>
        <v>0</v>
      </c>
      <c r="S109" s="249">
        <f t="shared" si="11"/>
        <v>0</v>
      </c>
      <c r="T109" s="20">
        <v>4</v>
      </c>
      <c r="U109" s="20"/>
      <c r="V109" s="253" t="str">
        <f t="array" ref="V109">IF(ISERROR(L109/K109),"",L109/K109)</f>
        <v/>
      </c>
      <c r="W109" s="20"/>
      <c r="X109" s="20"/>
      <c r="Y109" s="20"/>
      <c r="Z109" s="20"/>
      <c r="AA109" s="20"/>
      <c r="AB109" s="20"/>
      <c r="AC109" s="20"/>
    </row>
    <row r="110" spans="1:29" s="2" customFormat="1" ht="21.95" hidden="1" customHeight="1">
      <c r="A110" s="247">
        <v>300433</v>
      </c>
      <c r="B110" s="246" t="s">
        <v>300</v>
      </c>
      <c r="C110" s="267" t="s">
        <v>305</v>
      </c>
      <c r="D110" s="268"/>
      <c r="E110" s="134" t="s">
        <v>308</v>
      </c>
      <c r="F110" s="250"/>
      <c r="G110" s="133"/>
      <c r="H110" s="133"/>
      <c r="I110" s="133"/>
      <c r="J110" s="133"/>
      <c r="K110" s="249">
        <f t="shared" si="7"/>
        <v>0</v>
      </c>
      <c r="L110" s="249">
        <f t="shared" si="8"/>
        <v>0</v>
      </c>
      <c r="M110" s="249">
        <v>628.79999999999995</v>
      </c>
      <c r="N110" s="249">
        <f>+M110*1000/(87*1*80*60)*T110</f>
        <v>6.0229885057471266</v>
      </c>
      <c r="O110" s="249"/>
      <c r="P110" s="249">
        <f t="shared" si="9"/>
        <v>0</v>
      </c>
      <c r="Q110" s="249"/>
      <c r="R110" s="19">
        <f t="shared" si="10"/>
        <v>0</v>
      </c>
      <c r="S110" s="249">
        <f t="shared" si="11"/>
        <v>0</v>
      </c>
      <c r="T110" s="20">
        <v>4</v>
      </c>
      <c r="U110" s="20"/>
      <c r="V110" s="25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s="2" customFormat="1" ht="21.95" hidden="1" customHeight="1">
      <c r="A111" s="247">
        <v>300074</v>
      </c>
      <c r="B111" s="246" t="s">
        <v>118</v>
      </c>
      <c r="C111" s="256" t="s">
        <v>119</v>
      </c>
      <c r="D111" s="256" t="s">
        <v>120</v>
      </c>
      <c r="E111" s="251" t="s">
        <v>54</v>
      </c>
      <c r="F111" s="250"/>
      <c r="G111" s="133"/>
      <c r="H111" s="133"/>
      <c r="I111" s="133"/>
      <c r="J111" s="133"/>
      <c r="K111" s="249">
        <f t="shared" si="7"/>
        <v>0</v>
      </c>
      <c r="L111" s="249">
        <f t="shared" si="8"/>
        <v>0</v>
      </c>
      <c r="M111" s="249">
        <v>290.8</v>
      </c>
      <c r="N111" s="249">
        <f>+M111*1000/(88*4*13*60)*T111</f>
        <v>3.1774475524475525</v>
      </c>
      <c r="O111" s="249"/>
      <c r="P111" s="249">
        <f t="shared" si="9"/>
        <v>0</v>
      </c>
      <c r="Q111" s="249"/>
      <c r="R111" s="19">
        <f t="shared" si="10"/>
        <v>0</v>
      </c>
      <c r="S111" s="249">
        <f t="shared" si="11"/>
        <v>0</v>
      </c>
      <c r="T111" s="20">
        <v>3</v>
      </c>
      <c r="U111" s="20"/>
      <c r="V111" s="25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s="2" customFormat="1" ht="21.95" hidden="1" customHeight="1">
      <c r="A112" s="247">
        <v>300076</v>
      </c>
      <c r="B112" s="246" t="s">
        <v>118</v>
      </c>
      <c r="C112" s="256" t="s">
        <v>119</v>
      </c>
      <c r="D112" s="256" t="s">
        <v>120</v>
      </c>
      <c r="E112" s="251" t="s">
        <v>35</v>
      </c>
      <c r="F112" s="250"/>
      <c r="G112" s="133"/>
      <c r="H112" s="133"/>
      <c r="I112" s="133"/>
      <c r="J112" s="133"/>
      <c r="K112" s="249">
        <f t="shared" si="7"/>
        <v>0</v>
      </c>
      <c r="L112" s="249">
        <f t="shared" si="8"/>
        <v>0</v>
      </c>
      <c r="M112" s="249">
        <v>303.10000000000002</v>
      </c>
      <c r="N112" s="249">
        <f>+M112*1000/(88*4*12*60)*T112</f>
        <v>4.7837752525252526</v>
      </c>
      <c r="O112" s="249"/>
      <c r="P112" s="249">
        <f t="shared" si="9"/>
        <v>0</v>
      </c>
      <c r="Q112" s="249"/>
      <c r="R112" s="19">
        <f t="shared" si="10"/>
        <v>0</v>
      </c>
      <c r="S112" s="249">
        <f t="shared" si="11"/>
        <v>0</v>
      </c>
      <c r="T112" s="20">
        <v>4</v>
      </c>
      <c r="U112" s="20"/>
      <c r="V112" s="25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s="2" customFormat="1" ht="21.95" hidden="1" customHeight="1">
      <c r="A113" s="247">
        <v>300096</v>
      </c>
      <c r="B113" s="246" t="s">
        <v>118</v>
      </c>
      <c r="C113" s="256" t="s">
        <v>121</v>
      </c>
      <c r="D113" s="256" t="s">
        <v>122</v>
      </c>
      <c r="E113" s="251" t="s">
        <v>37</v>
      </c>
      <c r="F113" s="250"/>
      <c r="G113" s="133"/>
      <c r="H113" s="133"/>
      <c r="I113" s="133"/>
      <c r="J113" s="133"/>
      <c r="K113" s="249">
        <f t="shared" si="7"/>
        <v>0</v>
      </c>
      <c r="L113" s="249">
        <f t="shared" si="8"/>
        <v>0</v>
      </c>
      <c r="M113" s="249">
        <v>480.13</v>
      </c>
      <c r="N113" s="249">
        <f>+M113*1000/(126.5*4*12*60)*T113</f>
        <v>2.6357597716293371</v>
      </c>
      <c r="O113" s="249"/>
      <c r="P113" s="249">
        <f t="shared" si="9"/>
        <v>0</v>
      </c>
      <c r="Q113" s="249"/>
      <c r="R113" s="19">
        <f t="shared" si="10"/>
        <v>0</v>
      </c>
      <c r="S113" s="249">
        <f t="shared" si="11"/>
        <v>0</v>
      </c>
      <c r="T113" s="20">
        <v>2</v>
      </c>
      <c r="U113" s="20"/>
      <c r="V113" s="25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s="2" customFormat="1" ht="21.95" hidden="1" customHeight="1">
      <c r="A114" s="247"/>
      <c r="B114" s="246" t="s">
        <v>118</v>
      </c>
      <c r="C114" s="256" t="s">
        <v>121</v>
      </c>
      <c r="D114" s="256" t="s">
        <v>122</v>
      </c>
      <c r="E114" s="251" t="s">
        <v>35</v>
      </c>
      <c r="F114" s="250"/>
      <c r="G114" s="133"/>
      <c r="H114" s="133"/>
      <c r="I114" s="133"/>
      <c r="J114" s="133"/>
      <c r="K114" s="249">
        <f t="shared" si="7"/>
        <v>0</v>
      </c>
      <c r="L114" s="249">
        <f t="shared" si="8"/>
        <v>0</v>
      </c>
      <c r="M114" s="249">
        <v>480.13</v>
      </c>
      <c r="N114" s="249">
        <f>+M114*1000/(126.5*4*12*60)*T114</f>
        <v>2.6357597716293371</v>
      </c>
      <c r="O114" s="249"/>
      <c r="P114" s="249">
        <f t="shared" si="9"/>
        <v>0</v>
      </c>
      <c r="Q114" s="249"/>
      <c r="R114" s="19">
        <f t="shared" si="10"/>
        <v>0</v>
      </c>
      <c r="S114" s="249">
        <f t="shared" si="11"/>
        <v>0</v>
      </c>
      <c r="T114" s="20">
        <v>2</v>
      </c>
      <c r="U114" s="20"/>
      <c r="V114" s="25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s="2" customFormat="1" ht="22.5" hidden="1" customHeight="1">
      <c r="A115" s="247">
        <v>300097</v>
      </c>
      <c r="B115" s="246" t="s">
        <v>118</v>
      </c>
      <c r="C115" s="256" t="s">
        <v>121</v>
      </c>
      <c r="D115" s="256" t="s">
        <v>122</v>
      </c>
      <c r="E115" s="251" t="s">
        <v>63</v>
      </c>
      <c r="F115" s="250"/>
      <c r="G115" s="133"/>
      <c r="H115" s="133"/>
      <c r="I115" s="133"/>
      <c r="J115" s="133"/>
      <c r="K115" s="249">
        <f t="shared" si="7"/>
        <v>0</v>
      </c>
      <c r="L115" s="249">
        <f t="shared" si="8"/>
        <v>0</v>
      </c>
      <c r="M115" s="249">
        <v>480.13</v>
      </c>
      <c r="N115" s="249">
        <f>+M115*1000/(126.5*4*12*60)*T115</f>
        <v>2.6357597716293371</v>
      </c>
      <c r="O115" s="249"/>
      <c r="P115" s="249">
        <f t="shared" si="9"/>
        <v>0</v>
      </c>
      <c r="Q115" s="249"/>
      <c r="R115" s="19">
        <f t="shared" si="10"/>
        <v>0</v>
      </c>
      <c r="S115" s="249">
        <f t="shared" si="11"/>
        <v>0</v>
      </c>
      <c r="T115" s="20">
        <v>2</v>
      </c>
      <c r="U115" s="20"/>
      <c r="V115" s="25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246">
        <v>300294</v>
      </c>
      <c r="B116" s="246" t="s">
        <v>118</v>
      </c>
      <c r="C116" s="256" t="s">
        <v>123</v>
      </c>
      <c r="D116" s="256"/>
      <c r="E116" s="251" t="s">
        <v>41</v>
      </c>
      <c r="F116" s="250"/>
      <c r="G116" s="133"/>
      <c r="H116" s="133"/>
      <c r="I116" s="133"/>
      <c r="J116" s="133"/>
      <c r="K116" s="249">
        <f t="shared" si="7"/>
        <v>0</v>
      </c>
      <c r="L116" s="249">
        <f t="shared" si="8"/>
        <v>0</v>
      </c>
      <c r="M116" s="249">
        <v>373.14</v>
      </c>
      <c r="N116" s="249">
        <f t="shared" ref="N116:N125" si="13">+M116*1000/(90*4*14*60)*T116</f>
        <v>3.7017857142857142</v>
      </c>
      <c r="O116" s="249"/>
      <c r="P116" s="249">
        <f t="shared" si="9"/>
        <v>0</v>
      </c>
      <c r="Q116" s="249"/>
      <c r="R116" s="19">
        <f t="shared" si="10"/>
        <v>0</v>
      </c>
      <c r="S116" s="249">
        <f t="shared" si="11"/>
        <v>0</v>
      </c>
      <c r="T116" s="20">
        <v>3</v>
      </c>
      <c r="U116" s="20"/>
      <c r="V116" s="25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46">
        <v>300295</v>
      </c>
      <c r="B117" s="246" t="s">
        <v>124</v>
      </c>
      <c r="C117" s="256" t="s">
        <v>125</v>
      </c>
      <c r="D117" s="256"/>
      <c r="E117" s="251" t="s">
        <v>126</v>
      </c>
      <c r="F117" s="250"/>
      <c r="G117" s="133"/>
      <c r="H117" s="133"/>
      <c r="I117" s="133"/>
      <c r="J117" s="133"/>
      <c r="K117" s="249">
        <f t="shared" si="7"/>
        <v>0</v>
      </c>
      <c r="L117" s="249">
        <f t="shared" si="8"/>
        <v>0</v>
      </c>
      <c r="M117" s="249">
        <v>373.14</v>
      </c>
      <c r="N117" s="249">
        <f t="shared" si="13"/>
        <v>3.7017857142857142</v>
      </c>
      <c r="O117" s="249"/>
      <c r="P117" s="249">
        <f t="shared" si="9"/>
        <v>0</v>
      </c>
      <c r="Q117" s="249"/>
      <c r="R117" s="19">
        <f t="shared" si="10"/>
        <v>0</v>
      </c>
      <c r="S117" s="249">
        <f t="shared" si="11"/>
        <v>0</v>
      </c>
      <c r="T117" s="20">
        <v>3</v>
      </c>
      <c r="U117" s="20"/>
      <c r="V117" s="25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46">
        <v>300258</v>
      </c>
      <c r="B118" s="246" t="s">
        <v>118</v>
      </c>
      <c r="C118" s="256" t="s">
        <v>123</v>
      </c>
      <c r="D118" s="256"/>
      <c r="E118" s="251" t="s">
        <v>42</v>
      </c>
      <c r="F118" s="250"/>
      <c r="G118" s="133"/>
      <c r="H118" s="133"/>
      <c r="I118" s="133"/>
      <c r="J118" s="133"/>
      <c r="K118" s="249">
        <f t="shared" si="7"/>
        <v>0</v>
      </c>
      <c r="L118" s="249">
        <f t="shared" si="8"/>
        <v>0</v>
      </c>
      <c r="M118" s="249">
        <v>373.14</v>
      </c>
      <c r="N118" s="249">
        <f t="shared" si="13"/>
        <v>3.7017857142857142</v>
      </c>
      <c r="O118" s="249"/>
      <c r="P118" s="249">
        <f t="shared" si="9"/>
        <v>0</v>
      </c>
      <c r="Q118" s="249"/>
      <c r="R118" s="19">
        <f t="shared" si="10"/>
        <v>0</v>
      </c>
      <c r="S118" s="249">
        <f t="shared" si="11"/>
        <v>0</v>
      </c>
      <c r="T118" s="20">
        <v>3</v>
      </c>
      <c r="U118" s="20"/>
      <c r="V118" s="25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46">
        <v>300256</v>
      </c>
      <c r="B119" s="246" t="s">
        <v>118</v>
      </c>
      <c r="C119" s="256" t="s">
        <v>123</v>
      </c>
      <c r="D119" s="256"/>
      <c r="E119" s="251" t="s">
        <v>74</v>
      </c>
      <c r="F119" s="250"/>
      <c r="G119" s="133"/>
      <c r="H119" s="133"/>
      <c r="I119" s="133"/>
      <c r="J119" s="133"/>
      <c r="K119" s="249">
        <f t="shared" si="7"/>
        <v>0</v>
      </c>
      <c r="L119" s="249">
        <f t="shared" si="8"/>
        <v>0</v>
      </c>
      <c r="M119" s="249">
        <v>373.14</v>
      </c>
      <c r="N119" s="249">
        <f t="shared" si="13"/>
        <v>3.7017857142857142</v>
      </c>
      <c r="O119" s="249"/>
      <c r="P119" s="249">
        <f t="shared" si="9"/>
        <v>0</v>
      </c>
      <c r="Q119" s="249"/>
      <c r="R119" s="19">
        <f t="shared" si="10"/>
        <v>0</v>
      </c>
      <c r="S119" s="249">
        <f t="shared" si="11"/>
        <v>0</v>
      </c>
      <c r="T119" s="20">
        <v>3</v>
      </c>
      <c r="U119" s="20"/>
      <c r="V119" s="25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46">
        <v>300259</v>
      </c>
      <c r="B120" s="246" t="s">
        <v>118</v>
      </c>
      <c r="C120" s="256" t="s">
        <v>123</v>
      </c>
      <c r="D120" s="256"/>
      <c r="E120" s="251" t="s">
        <v>40</v>
      </c>
      <c r="F120" s="250"/>
      <c r="G120" s="133"/>
      <c r="H120" s="133"/>
      <c r="I120" s="133"/>
      <c r="J120" s="133"/>
      <c r="K120" s="249">
        <f t="shared" si="7"/>
        <v>0</v>
      </c>
      <c r="L120" s="249">
        <f t="shared" si="8"/>
        <v>0</v>
      </c>
      <c r="M120" s="249">
        <v>373.14</v>
      </c>
      <c r="N120" s="249">
        <f t="shared" si="13"/>
        <v>3.7017857142857142</v>
      </c>
      <c r="O120" s="249"/>
      <c r="P120" s="249">
        <f t="shared" si="9"/>
        <v>0</v>
      </c>
      <c r="Q120" s="249"/>
      <c r="R120" s="19">
        <f t="shared" si="10"/>
        <v>0</v>
      </c>
      <c r="S120" s="249">
        <f t="shared" si="11"/>
        <v>0</v>
      </c>
      <c r="T120" s="20">
        <v>3</v>
      </c>
      <c r="U120" s="20"/>
      <c r="V120" s="25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46">
        <v>300345</v>
      </c>
      <c r="B121" s="246" t="s">
        <v>118</v>
      </c>
      <c r="C121" s="256" t="s">
        <v>127</v>
      </c>
      <c r="D121" s="256"/>
      <c r="E121" s="251" t="s">
        <v>74</v>
      </c>
      <c r="F121" s="250"/>
      <c r="G121" s="133"/>
      <c r="H121" s="133"/>
      <c r="I121" s="133"/>
      <c r="J121" s="133"/>
      <c r="K121" s="249">
        <f t="shared" si="7"/>
        <v>0</v>
      </c>
      <c r="L121" s="249">
        <f t="shared" si="8"/>
        <v>0</v>
      </c>
      <c r="M121" s="249">
        <v>373.14</v>
      </c>
      <c r="N121" s="249">
        <f t="shared" si="13"/>
        <v>3.7017857142857142</v>
      </c>
      <c r="O121" s="41"/>
      <c r="P121" s="249">
        <f t="shared" si="9"/>
        <v>0</v>
      </c>
      <c r="Q121" s="41"/>
      <c r="R121" s="19">
        <f t="shared" si="10"/>
        <v>0</v>
      </c>
      <c r="S121" s="249">
        <f t="shared" si="11"/>
        <v>0</v>
      </c>
      <c r="T121" s="20">
        <v>3</v>
      </c>
      <c r="U121" s="41"/>
      <c r="V121" s="25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46">
        <v>300346</v>
      </c>
      <c r="B122" s="246" t="s">
        <v>118</v>
      </c>
      <c r="C122" s="256" t="s">
        <v>127</v>
      </c>
      <c r="D122" s="256"/>
      <c r="E122" s="251" t="s">
        <v>42</v>
      </c>
      <c r="F122" s="250"/>
      <c r="G122" s="133"/>
      <c r="H122" s="133"/>
      <c r="I122" s="133"/>
      <c r="J122" s="133"/>
      <c r="K122" s="249">
        <f t="shared" si="7"/>
        <v>0</v>
      </c>
      <c r="L122" s="249">
        <f t="shared" si="8"/>
        <v>0</v>
      </c>
      <c r="M122" s="249">
        <v>373.14</v>
      </c>
      <c r="N122" s="249">
        <f t="shared" si="13"/>
        <v>3.7017857142857142</v>
      </c>
      <c r="O122" s="41"/>
      <c r="P122" s="249">
        <f t="shared" si="9"/>
        <v>0</v>
      </c>
      <c r="Q122" s="41"/>
      <c r="R122" s="19">
        <f t="shared" si="10"/>
        <v>0</v>
      </c>
      <c r="S122" s="249">
        <f t="shared" si="11"/>
        <v>0</v>
      </c>
      <c r="T122" s="20">
        <v>3</v>
      </c>
      <c r="U122" s="41"/>
      <c r="V122" s="25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46">
        <v>300347</v>
      </c>
      <c r="B123" s="246" t="s">
        <v>118</v>
      </c>
      <c r="C123" s="256" t="s">
        <v>127</v>
      </c>
      <c r="D123" s="256"/>
      <c r="E123" s="251" t="s">
        <v>41</v>
      </c>
      <c r="F123" s="250"/>
      <c r="G123" s="133"/>
      <c r="H123" s="133"/>
      <c r="I123" s="133"/>
      <c r="J123" s="133"/>
      <c r="K123" s="249">
        <f t="shared" si="7"/>
        <v>0</v>
      </c>
      <c r="L123" s="249">
        <f t="shared" si="8"/>
        <v>0</v>
      </c>
      <c r="M123" s="249">
        <v>373.14</v>
      </c>
      <c r="N123" s="249">
        <f t="shared" si="13"/>
        <v>3.7017857142857142</v>
      </c>
      <c r="O123" s="41"/>
      <c r="P123" s="249">
        <f t="shared" si="9"/>
        <v>0</v>
      </c>
      <c r="Q123" s="41"/>
      <c r="R123" s="19">
        <f t="shared" si="10"/>
        <v>0</v>
      </c>
      <c r="S123" s="249">
        <f t="shared" si="11"/>
        <v>0</v>
      </c>
      <c r="T123" s="20">
        <v>3</v>
      </c>
      <c r="U123" s="41"/>
      <c r="V123" s="25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46">
        <v>300348</v>
      </c>
      <c r="B124" s="246" t="s">
        <v>118</v>
      </c>
      <c r="C124" s="256" t="s">
        <v>127</v>
      </c>
      <c r="D124" s="256"/>
      <c r="E124" s="251" t="s">
        <v>126</v>
      </c>
      <c r="F124" s="250"/>
      <c r="G124" s="133"/>
      <c r="H124" s="133"/>
      <c r="I124" s="133"/>
      <c r="J124" s="133"/>
      <c r="K124" s="249">
        <f t="shared" si="7"/>
        <v>0</v>
      </c>
      <c r="L124" s="249">
        <f t="shared" si="8"/>
        <v>0</v>
      </c>
      <c r="M124" s="249">
        <v>373.14</v>
      </c>
      <c r="N124" s="249">
        <f t="shared" si="13"/>
        <v>3.7017857142857142</v>
      </c>
      <c r="O124" s="41"/>
      <c r="P124" s="249">
        <f t="shared" si="9"/>
        <v>0</v>
      </c>
      <c r="Q124" s="41"/>
      <c r="R124" s="19">
        <f t="shared" si="10"/>
        <v>0</v>
      </c>
      <c r="S124" s="249">
        <f t="shared" si="11"/>
        <v>0</v>
      </c>
      <c r="T124" s="20">
        <v>3</v>
      </c>
      <c r="U124" s="41"/>
      <c r="V124" s="25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46">
        <v>300349</v>
      </c>
      <c r="B125" s="246" t="s">
        <v>118</v>
      </c>
      <c r="C125" s="256" t="s">
        <v>127</v>
      </c>
      <c r="D125" s="256"/>
      <c r="E125" s="251" t="s">
        <v>40</v>
      </c>
      <c r="F125" s="250"/>
      <c r="G125" s="133"/>
      <c r="H125" s="133"/>
      <c r="I125" s="133"/>
      <c r="J125" s="133"/>
      <c r="K125" s="249">
        <f t="shared" si="7"/>
        <v>0</v>
      </c>
      <c r="L125" s="249">
        <f t="shared" si="8"/>
        <v>0</v>
      </c>
      <c r="M125" s="249">
        <v>373.14</v>
      </c>
      <c r="N125" s="249">
        <f t="shared" si="13"/>
        <v>3.7017857142857142</v>
      </c>
      <c r="O125" s="41"/>
      <c r="P125" s="249">
        <f t="shared" si="9"/>
        <v>0</v>
      </c>
      <c r="Q125" s="41"/>
      <c r="R125" s="19">
        <f t="shared" si="10"/>
        <v>0</v>
      </c>
      <c r="S125" s="249">
        <f t="shared" si="11"/>
        <v>0</v>
      </c>
      <c r="T125" s="20">
        <v>3</v>
      </c>
      <c r="U125" s="41"/>
      <c r="V125" s="25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46">
        <v>300298</v>
      </c>
      <c r="B126" s="246" t="s">
        <v>118</v>
      </c>
      <c r="C126" s="256" t="s">
        <v>128</v>
      </c>
      <c r="D126" s="256"/>
      <c r="E126" s="251" t="s">
        <v>54</v>
      </c>
      <c r="F126" s="250"/>
      <c r="G126" s="133"/>
      <c r="H126" s="133"/>
      <c r="I126" s="133"/>
      <c r="J126" s="133"/>
      <c r="K126" s="249">
        <f t="shared" si="7"/>
        <v>0</v>
      </c>
      <c r="L126" s="249">
        <f t="shared" si="8"/>
        <v>0</v>
      </c>
      <c r="M126" s="249">
        <v>380.63</v>
      </c>
      <c r="N126" s="249">
        <f t="shared" ref="N126:N131" si="14">+M126*1000/(94.7*4*15*60)*T126</f>
        <v>4.4659157573624313</v>
      </c>
      <c r="O126" s="249"/>
      <c r="P126" s="249">
        <f t="shared" si="9"/>
        <v>0</v>
      </c>
      <c r="Q126" s="249"/>
      <c r="R126" s="19">
        <f t="shared" si="10"/>
        <v>0</v>
      </c>
      <c r="S126" s="249">
        <f t="shared" si="11"/>
        <v>0</v>
      </c>
      <c r="T126" s="20">
        <v>4</v>
      </c>
      <c r="U126" s="20"/>
      <c r="V126" s="25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46">
        <v>300299</v>
      </c>
      <c r="B127" s="246" t="s">
        <v>118</v>
      </c>
      <c r="C127" s="256" t="s">
        <v>128</v>
      </c>
      <c r="D127" s="256"/>
      <c r="E127" s="251" t="s">
        <v>39</v>
      </c>
      <c r="F127" s="250"/>
      <c r="G127" s="133"/>
      <c r="H127" s="133"/>
      <c r="I127" s="133"/>
      <c r="J127" s="133"/>
      <c r="K127" s="249">
        <f t="shared" si="7"/>
        <v>0</v>
      </c>
      <c r="L127" s="249">
        <f t="shared" si="8"/>
        <v>0</v>
      </c>
      <c r="M127" s="249">
        <v>380.63</v>
      </c>
      <c r="N127" s="249">
        <f t="shared" si="14"/>
        <v>4.4659157573624313</v>
      </c>
      <c r="O127" s="249"/>
      <c r="P127" s="249">
        <f t="shared" si="9"/>
        <v>0</v>
      </c>
      <c r="Q127" s="249"/>
      <c r="R127" s="19">
        <f t="shared" si="10"/>
        <v>0</v>
      </c>
      <c r="S127" s="249">
        <f t="shared" si="11"/>
        <v>0</v>
      </c>
      <c r="T127" s="20">
        <v>4</v>
      </c>
      <c r="U127" s="20"/>
      <c r="V127" s="25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46">
        <v>300296</v>
      </c>
      <c r="B128" s="246" t="s">
        <v>118</v>
      </c>
      <c r="C128" s="256" t="s">
        <v>128</v>
      </c>
      <c r="D128" s="256"/>
      <c r="E128" s="251" t="s">
        <v>41</v>
      </c>
      <c r="F128" s="250"/>
      <c r="G128" s="133"/>
      <c r="H128" s="133"/>
      <c r="I128" s="133"/>
      <c r="J128" s="133"/>
      <c r="K128" s="249">
        <f t="shared" si="7"/>
        <v>0</v>
      </c>
      <c r="L128" s="249">
        <f t="shared" si="8"/>
        <v>0</v>
      </c>
      <c r="M128" s="249">
        <v>380.63</v>
      </c>
      <c r="N128" s="249">
        <f t="shared" si="14"/>
        <v>4.4659157573624313</v>
      </c>
      <c r="O128" s="249"/>
      <c r="P128" s="249">
        <f t="shared" si="9"/>
        <v>0</v>
      </c>
      <c r="Q128" s="249"/>
      <c r="R128" s="19">
        <f t="shared" si="10"/>
        <v>0</v>
      </c>
      <c r="S128" s="249">
        <f t="shared" si="11"/>
        <v>0</v>
      </c>
      <c r="T128" s="20">
        <v>4</v>
      </c>
      <c r="U128" s="20"/>
      <c r="V128" s="25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46">
        <v>300297</v>
      </c>
      <c r="B129" s="246" t="s">
        <v>118</v>
      </c>
      <c r="C129" s="256" t="s">
        <v>128</v>
      </c>
      <c r="D129" s="256"/>
      <c r="E129" s="251" t="s">
        <v>37</v>
      </c>
      <c r="F129" s="250"/>
      <c r="G129" s="133"/>
      <c r="H129" s="133"/>
      <c r="I129" s="133"/>
      <c r="J129" s="133"/>
      <c r="K129" s="249">
        <f t="shared" si="7"/>
        <v>0</v>
      </c>
      <c r="L129" s="249">
        <f t="shared" si="8"/>
        <v>0</v>
      </c>
      <c r="M129" s="249">
        <v>380.63</v>
      </c>
      <c r="N129" s="249">
        <f t="shared" si="14"/>
        <v>4.4659157573624313</v>
      </c>
      <c r="O129" s="249"/>
      <c r="P129" s="249">
        <f t="shared" si="9"/>
        <v>0</v>
      </c>
      <c r="Q129" s="249"/>
      <c r="R129" s="19">
        <f t="shared" si="10"/>
        <v>0</v>
      </c>
      <c r="S129" s="249">
        <f t="shared" si="11"/>
        <v>0</v>
      </c>
      <c r="T129" s="20">
        <v>4</v>
      </c>
      <c r="U129" s="20"/>
      <c r="V129" s="25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46">
        <v>300340</v>
      </c>
      <c r="B130" s="246" t="s">
        <v>118</v>
      </c>
      <c r="C130" s="267" t="s">
        <v>129</v>
      </c>
      <c r="D130" s="268"/>
      <c r="E130" s="251" t="s">
        <v>41</v>
      </c>
      <c r="F130" s="250"/>
      <c r="G130" s="133"/>
      <c r="H130" s="133"/>
      <c r="I130" s="133"/>
      <c r="J130" s="133"/>
      <c r="K130" s="249">
        <f t="shared" si="7"/>
        <v>0</v>
      </c>
      <c r="L130" s="249">
        <f t="shared" si="8"/>
        <v>0</v>
      </c>
      <c r="M130" s="249">
        <v>325.60000000000002</v>
      </c>
      <c r="N130" s="249">
        <f t="shared" si="14"/>
        <v>3.8202510852986036</v>
      </c>
      <c r="O130" s="249"/>
      <c r="P130" s="249">
        <f t="shared" si="9"/>
        <v>0</v>
      </c>
      <c r="Q130" s="249"/>
      <c r="R130" s="19">
        <f t="shared" si="10"/>
        <v>0</v>
      </c>
      <c r="S130" s="249">
        <f t="shared" si="11"/>
        <v>0</v>
      </c>
      <c r="T130" s="20">
        <v>4</v>
      </c>
      <c r="U130" s="20"/>
      <c r="V130" s="25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46">
        <v>300339</v>
      </c>
      <c r="B131" s="246" t="s">
        <v>118</v>
      </c>
      <c r="C131" s="267" t="s">
        <v>129</v>
      </c>
      <c r="D131" s="268"/>
      <c r="E131" s="251" t="s">
        <v>39</v>
      </c>
      <c r="F131" s="250"/>
      <c r="G131" s="133"/>
      <c r="H131" s="133"/>
      <c r="I131" s="133"/>
      <c r="J131" s="133"/>
      <c r="K131" s="249">
        <f t="shared" si="7"/>
        <v>0</v>
      </c>
      <c r="L131" s="249">
        <f t="shared" si="8"/>
        <v>0</v>
      </c>
      <c r="M131" s="249">
        <v>325.60000000000002</v>
      </c>
      <c r="N131" s="249">
        <f t="shared" si="14"/>
        <v>3.8202510852986036</v>
      </c>
      <c r="O131" s="249"/>
      <c r="P131" s="249">
        <f t="shared" si="9"/>
        <v>0</v>
      </c>
      <c r="Q131" s="249"/>
      <c r="R131" s="19">
        <f t="shared" si="10"/>
        <v>0</v>
      </c>
      <c r="S131" s="249">
        <f t="shared" si="11"/>
        <v>0</v>
      </c>
      <c r="T131" s="20">
        <v>4</v>
      </c>
      <c r="U131" s="20"/>
      <c r="V131" s="25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46">
        <v>300303</v>
      </c>
      <c r="B132" s="246" t="s">
        <v>118</v>
      </c>
      <c r="C132" s="256" t="s">
        <v>130</v>
      </c>
      <c r="D132" s="256" t="s">
        <v>131</v>
      </c>
      <c r="E132" s="251" t="s">
        <v>57</v>
      </c>
      <c r="F132" s="250"/>
      <c r="G132" s="133"/>
      <c r="H132" s="133"/>
      <c r="I132" s="133"/>
      <c r="J132" s="133"/>
      <c r="K132" s="249">
        <f t="shared" si="7"/>
        <v>0</v>
      </c>
      <c r="L132" s="249">
        <f t="shared" si="8"/>
        <v>0</v>
      </c>
      <c r="M132" s="249">
        <v>396.92</v>
      </c>
      <c r="N132" s="249">
        <f>+M132*1000/(113.8*4*15*60)*T132</f>
        <v>4.8442686975200155</v>
      </c>
      <c r="O132" s="249"/>
      <c r="P132" s="249">
        <f t="shared" si="9"/>
        <v>0</v>
      </c>
      <c r="Q132" s="249"/>
      <c r="R132" s="19">
        <f t="shared" si="10"/>
        <v>0</v>
      </c>
      <c r="S132" s="249">
        <f t="shared" si="11"/>
        <v>0</v>
      </c>
      <c r="T132" s="20">
        <v>5</v>
      </c>
      <c r="U132" s="20"/>
      <c r="V132" s="25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46">
        <v>300302</v>
      </c>
      <c r="B133" s="246" t="s">
        <v>118</v>
      </c>
      <c r="C133" s="256" t="s">
        <v>130</v>
      </c>
      <c r="D133" s="256" t="s">
        <v>131</v>
      </c>
      <c r="E133" s="251" t="s">
        <v>117</v>
      </c>
      <c r="F133" s="250"/>
      <c r="G133" s="133"/>
      <c r="H133" s="133"/>
      <c r="I133" s="133"/>
      <c r="J133" s="133"/>
      <c r="K133" s="249">
        <f t="shared" si="7"/>
        <v>0</v>
      </c>
      <c r="L133" s="249">
        <f t="shared" si="8"/>
        <v>0</v>
      </c>
      <c r="M133" s="249">
        <v>396.06</v>
      </c>
      <c r="N133" s="249">
        <f>+M133*1000/(113.8*4*15*60)*T133</f>
        <v>4.8337727006444053</v>
      </c>
      <c r="O133" s="249"/>
      <c r="P133" s="249">
        <f t="shared" si="9"/>
        <v>0</v>
      </c>
      <c r="Q133" s="249"/>
      <c r="R133" s="19">
        <f t="shared" si="10"/>
        <v>0</v>
      </c>
      <c r="S133" s="249">
        <f t="shared" si="11"/>
        <v>0</v>
      </c>
      <c r="T133" s="20">
        <v>5</v>
      </c>
      <c r="U133" s="20"/>
      <c r="V133" s="25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46">
        <v>300301</v>
      </c>
      <c r="B134" s="246" t="s">
        <v>118</v>
      </c>
      <c r="C134" s="256" t="s">
        <v>130</v>
      </c>
      <c r="D134" s="256" t="s">
        <v>131</v>
      </c>
      <c r="E134" s="251" t="s">
        <v>132</v>
      </c>
      <c r="F134" s="250"/>
      <c r="G134" s="133"/>
      <c r="H134" s="133"/>
      <c r="I134" s="133"/>
      <c r="J134" s="133"/>
      <c r="K134" s="249">
        <f t="shared" si="7"/>
        <v>0</v>
      </c>
      <c r="L134" s="249">
        <f t="shared" si="8"/>
        <v>0</v>
      </c>
      <c r="M134" s="249">
        <v>401.25</v>
      </c>
      <c r="N134" s="249">
        <f>+M134*1000/(113.8*4*15*60)*T134</f>
        <v>4.8971148213239601</v>
      </c>
      <c r="O134" s="249"/>
      <c r="P134" s="249">
        <f t="shared" si="9"/>
        <v>0</v>
      </c>
      <c r="Q134" s="249"/>
      <c r="R134" s="19">
        <f t="shared" si="10"/>
        <v>0</v>
      </c>
      <c r="S134" s="249">
        <f t="shared" si="11"/>
        <v>0</v>
      </c>
      <c r="T134" s="20">
        <v>5</v>
      </c>
      <c r="U134" s="20"/>
      <c r="V134" s="25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47">
        <v>300304</v>
      </c>
      <c r="B135" s="246" t="s">
        <v>118</v>
      </c>
      <c r="C135" s="256" t="s">
        <v>130</v>
      </c>
      <c r="D135" s="256"/>
      <c r="E135" s="251" t="s">
        <v>133</v>
      </c>
      <c r="F135" s="250"/>
      <c r="G135" s="133"/>
      <c r="H135" s="133"/>
      <c r="I135" s="133"/>
      <c r="J135" s="133"/>
      <c r="K135" s="249">
        <f t="shared" si="7"/>
        <v>0</v>
      </c>
      <c r="L135" s="249">
        <f t="shared" si="8"/>
        <v>0</v>
      </c>
      <c r="M135" s="249">
        <v>401.25</v>
      </c>
      <c r="N135" s="249">
        <f>+M135*1000/(113.8*4*15*60)*T135</f>
        <v>4.8971148213239601</v>
      </c>
      <c r="O135" s="249"/>
      <c r="P135" s="249">
        <f t="shared" si="9"/>
        <v>0</v>
      </c>
      <c r="Q135" s="249"/>
      <c r="R135" s="19">
        <f t="shared" si="10"/>
        <v>0</v>
      </c>
      <c r="S135" s="249">
        <f t="shared" si="11"/>
        <v>0</v>
      </c>
      <c r="T135" s="20">
        <v>5</v>
      </c>
      <c r="U135" s="20"/>
      <c r="V135" s="25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47">
        <v>300300</v>
      </c>
      <c r="B136" s="246" t="s">
        <v>118</v>
      </c>
      <c r="C136" s="256" t="s">
        <v>130</v>
      </c>
      <c r="D136" s="256" t="s">
        <v>131</v>
      </c>
      <c r="E136" s="251" t="s">
        <v>54</v>
      </c>
      <c r="F136" s="250"/>
      <c r="G136" s="133"/>
      <c r="H136" s="133"/>
      <c r="I136" s="133"/>
      <c r="J136" s="133"/>
      <c r="K136" s="249">
        <f t="shared" si="7"/>
        <v>0</v>
      </c>
      <c r="L136" s="249">
        <f t="shared" si="8"/>
        <v>0</v>
      </c>
      <c r="M136" s="249">
        <v>399.07</v>
      </c>
      <c r="N136" s="249">
        <f>+M136*1000/(113.8*4*15*60)*T136</f>
        <v>4.8705086897090411</v>
      </c>
      <c r="O136" s="249"/>
      <c r="P136" s="249">
        <f t="shared" si="9"/>
        <v>0</v>
      </c>
      <c r="Q136" s="249"/>
      <c r="R136" s="19">
        <f t="shared" si="10"/>
        <v>0</v>
      </c>
      <c r="S136" s="249">
        <f t="shared" si="11"/>
        <v>0</v>
      </c>
      <c r="T136" s="20">
        <v>5</v>
      </c>
      <c r="U136" s="20"/>
      <c r="V136" s="25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247">
        <v>300085</v>
      </c>
      <c r="B137" s="246">
        <v>6503</v>
      </c>
      <c r="C137" s="256" t="s">
        <v>134</v>
      </c>
      <c r="D137" s="256" t="s">
        <v>131</v>
      </c>
      <c r="E137" s="251" t="s">
        <v>135</v>
      </c>
      <c r="F137" s="250">
        <v>1625</v>
      </c>
      <c r="G137" s="133">
        <v>9.17</v>
      </c>
      <c r="H137" s="133">
        <v>0.16666666666666666</v>
      </c>
      <c r="I137" s="133">
        <f>9+H137</f>
        <v>9.1666666666666661</v>
      </c>
      <c r="J137" s="133"/>
      <c r="K137" s="249">
        <f t="shared" si="7"/>
        <v>3615.7310000000002</v>
      </c>
      <c r="L137" s="249">
        <f t="shared" si="8"/>
        <v>3614.4166666666665</v>
      </c>
      <c r="M137" s="249">
        <v>394.3</v>
      </c>
      <c r="N137" s="249">
        <f>+M137*1000/(104.2*4*15*60)*T137</f>
        <v>6.3067818298144598</v>
      </c>
      <c r="O137" s="249"/>
      <c r="P137" s="249">
        <f t="shared" si="9"/>
        <v>57.812166773299211</v>
      </c>
      <c r="Q137" s="249">
        <v>11.5</v>
      </c>
      <c r="R137" s="19">
        <f t="shared" si="10"/>
        <v>57.5</v>
      </c>
      <c r="S137" s="249">
        <f t="shared" si="11"/>
        <v>-0.31216677329921083</v>
      </c>
      <c r="T137" s="20">
        <v>6</v>
      </c>
      <c r="U137" s="20">
        <v>5</v>
      </c>
      <c r="V137" s="248">
        <f t="array" ref="V137">IF(ISERROR(L137/K137),"",L137/K137)</f>
        <v>0.99963649581970182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52.930000000000007</v>
      </c>
      <c r="H199" s="164">
        <f t="array" ref="H199">SUM(IF(ISERROR(H6:H198),“”,H6:H198))</f>
        <v>1.8866666666666667</v>
      </c>
      <c r="I199" s="164">
        <f t="array" ref="I199">SUM(IF(ISERROR(I6:I198),“”,I6:I198))</f>
        <v>52.293333333333329</v>
      </c>
      <c r="J199" s="164">
        <f t="array" ref="J199">SUM(IF(ISERROR(J6:J198),“”,J6:J198))</f>
        <v>1190</v>
      </c>
      <c r="K199" s="164">
        <f t="array" ref="K199">SUM(IF(ISERROR(K6:K198),“”,K6:K198))</f>
        <v>25255.607800000002</v>
      </c>
      <c r="L199" s="56">
        <f>SUM(L6:L198)</f>
        <v>24880.923466666667</v>
      </c>
      <c r="M199" s="164"/>
      <c r="N199" s="164"/>
      <c r="O199" s="164">
        <f>SUM(O6:O190)</f>
        <v>2.5</v>
      </c>
      <c r="P199" s="56">
        <f>SUM((P6:P190),(W204:X209))</f>
        <v>357.21942713624179</v>
      </c>
      <c r="Q199" s="164"/>
      <c r="R199" s="56">
        <f>SUM((R6:R190),(Y204:Z209))</f>
        <v>427</v>
      </c>
      <c r="S199" s="164">
        <f t="array" ref="S199">SUM(IF(ISERROR(S6:S198),“”,S6:S198))</f>
        <v>25.780572863758223</v>
      </c>
      <c r="T199" s="164"/>
      <c r="U199" s="164"/>
      <c r="V199" s="161">
        <f>IF(ISERROR(L199/K199),"",L199/K199)</f>
        <v>0.98516431137589433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0.83657945465162009</v>
      </c>
      <c r="P200" s="282"/>
      <c r="Q200" s="282"/>
      <c r="R200" s="283"/>
      <c r="S200" s="44"/>
      <c r="T200" s="45"/>
      <c r="U200" s="45"/>
      <c r="V200" s="45"/>
      <c r="W200" s="284">
        <f>SUM(W199:AC199)</f>
        <v>4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119</v>
      </c>
      <c r="F202" s="287"/>
      <c r="G202" s="287">
        <v>119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4621.8</v>
      </c>
      <c r="F203" s="287"/>
      <c r="G203" s="287">
        <v>4841.8</v>
      </c>
      <c r="H203" s="287"/>
      <c r="I203" s="287">
        <f>G203-E203</f>
        <v>220</v>
      </c>
      <c r="J203" s="287"/>
      <c r="K203" s="289">
        <f t="array" ref="K203">IF(ISERROR(I203/E203),"",I203/E203)</f>
        <v>4.7600501968929849E-2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21</v>
      </c>
      <c r="T203" s="292"/>
      <c r="U203" s="292">
        <v>22</v>
      </c>
      <c r="V203" s="292"/>
      <c r="W203" s="291">
        <f t="shared" ref="W203:W210" si="28">S203*11</f>
        <v>231</v>
      </c>
      <c r="X203" s="291"/>
      <c r="Y203" s="291">
        <f t="shared" ref="Y203:Y210" si="29">U203*11</f>
        <v>242</v>
      </c>
      <c r="Z203" s="291"/>
      <c r="AA203" s="291">
        <f t="shared" ref="AA203:AA210" si="30">Y203-W203</f>
        <v>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654</v>
      </c>
      <c r="F204" s="287"/>
      <c r="G204" s="287">
        <v>654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5</v>
      </c>
      <c r="T204" s="292"/>
      <c r="U204" s="292">
        <v>6</v>
      </c>
      <c r="V204" s="292"/>
      <c r="W204" s="291">
        <f t="shared" si="28"/>
        <v>55</v>
      </c>
      <c r="X204" s="291"/>
      <c r="Y204" s="291">
        <f t="shared" si="29"/>
        <v>66</v>
      </c>
      <c r="Z204" s="291"/>
      <c r="AA204" s="291">
        <f t="shared" si="30"/>
        <v>11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1</v>
      </c>
      <c r="V205" s="292"/>
      <c r="W205" s="291">
        <f t="shared" si="28"/>
        <v>8.25</v>
      </c>
      <c r="X205" s="291"/>
      <c r="Y205" s="291">
        <f t="shared" si="29"/>
        <v>11</v>
      </c>
      <c r="Z205" s="291"/>
      <c r="AA205" s="291">
        <f t="shared" si="30"/>
        <v>2.75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151659</v>
      </c>
      <c r="H206" s="294"/>
      <c r="I206" s="333">
        <v>151541</v>
      </c>
      <c r="J206" s="334"/>
      <c r="K206" s="297">
        <f>G206-I206</f>
        <v>118</v>
      </c>
      <c r="L206" s="297"/>
      <c r="M206" s="298">
        <f t="array" ref="M206">IF(ISERROR(K206/L199),"",K206/(L199/1000))</f>
        <v>4.7425892434453374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28724.8*120+45050.7*60</f>
        <v>6150018</v>
      </c>
      <c r="H207" s="294"/>
      <c r="I207" s="333">
        <v>6148284</v>
      </c>
      <c r="J207" s="334"/>
      <c r="K207" s="297">
        <f>G207-I207</f>
        <v>1734</v>
      </c>
      <c r="L207" s="297"/>
      <c r="M207" s="298">
        <f t="array" ref="M207">IF(ISERROR(K207/L199),"",K207/(L199/1000))</f>
        <v>69.691947018086566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+I208+18</f>
        <v>27135</v>
      </c>
      <c r="H208" s="294"/>
      <c r="I208" s="293">
        <v>27117</v>
      </c>
      <c r="J208" s="294"/>
      <c r="K208" s="297">
        <f>G208-I208</f>
        <v>18</v>
      </c>
      <c r="L208" s="297"/>
      <c r="M208" s="301">
        <f t="array" ref="M208">IF(ISERROR(K208/L199),"",K208/(L199/1000))</f>
        <v>0.72344581679674635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2.4/2+2.56</f>
        <v>3.76</v>
      </c>
      <c r="L209" s="300"/>
      <c r="M209" s="302">
        <f t="array" ref="M209">IF(ISERROR((K209+K210)/L199),"",((K209+K210)*1000)/(L199/1000))</f>
        <v>151.11979284198702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6</v>
      </c>
      <c r="V209" s="292"/>
      <c r="W209" s="291">
        <f t="shared" si="28"/>
        <v>33</v>
      </c>
      <c r="X209" s="291"/>
      <c r="Y209" s="291">
        <f t="shared" si="29"/>
        <v>66</v>
      </c>
      <c r="Z209" s="291"/>
      <c r="AA209" s="291">
        <f t="shared" si="30"/>
        <v>33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33</v>
      </c>
      <c r="T210" s="292"/>
      <c r="U210" s="292">
        <f>SUM(U203:V209)</f>
        <v>38</v>
      </c>
      <c r="V210" s="292"/>
      <c r="W210" s="291">
        <f t="shared" si="28"/>
        <v>363</v>
      </c>
      <c r="X210" s="291"/>
      <c r="Y210" s="291">
        <f t="shared" si="29"/>
        <v>418</v>
      </c>
      <c r="Z210" s="291"/>
      <c r="AA210" s="291">
        <f t="shared" si="30"/>
        <v>55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4.7872340425531918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59.523740350877191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246" t="s">
        <v>330</v>
      </c>
      <c r="C234" s="256" t="s">
        <v>51</v>
      </c>
      <c r="D234" s="256"/>
      <c r="E234" s="166" t="s">
        <v>40</v>
      </c>
      <c r="F234" s="250" t="s">
        <v>331</v>
      </c>
      <c r="G234" s="164">
        <v>14</v>
      </c>
      <c r="H234" s="164"/>
      <c r="I234" s="164">
        <f>14-J234/500</f>
        <v>13.8</v>
      </c>
      <c r="J234" s="164">
        <v>100</v>
      </c>
      <c r="K234" s="164">
        <f t="shared" si="31"/>
        <v>7344.4000000000005</v>
      </c>
      <c r="L234" s="164">
        <f t="shared" si="32"/>
        <v>7239.4800000000005</v>
      </c>
      <c r="M234" s="164">
        <v>524.6</v>
      </c>
      <c r="N234" s="164">
        <f>+M234*1000/(25.4*20*15*60)*T234</f>
        <v>6.8845144356955377</v>
      </c>
      <c r="O234" s="164"/>
      <c r="P234" s="164">
        <f t="shared" si="34"/>
        <v>95.006299212598421</v>
      </c>
      <c r="Q234" s="164">
        <v>17</v>
      </c>
      <c r="R234" s="19">
        <f t="shared" si="35"/>
        <v>68</v>
      </c>
      <c r="S234" s="164">
        <f t="shared" si="36"/>
        <v>-27.006299212598421</v>
      </c>
      <c r="T234" s="20">
        <v>6</v>
      </c>
      <c r="U234" s="20">
        <v>4</v>
      </c>
      <c r="V234" s="161">
        <f t="array" ref="V234">IF(ISERROR(L234/K234),"",L234/K234)</f>
        <v>0.98571428571428565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256" t="s">
        <v>61</v>
      </c>
      <c r="D251" s="256" t="s">
        <v>62</v>
      </c>
      <c r="E251" s="166" t="s">
        <v>63</v>
      </c>
      <c r="F251" s="250" t="s">
        <v>332</v>
      </c>
      <c r="G251" s="249">
        <v>8</v>
      </c>
      <c r="H251" s="249"/>
      <c r="I251" s="249">
        <f>8-J251/250</f>
        <v>7.28</v>
      </c>
      <c r="J251" s="249">
        <v>180</v>
      </c>
      <c r="K251" s="164">
        <f t="shared" si="31"/>
        <v>2935.44</v>
      </c>
      <c r="L251" s="164">
        <f t="shared" si="32"/>
        <v>2671.2504000000004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19.132290502793296</v>
      </c>
      <c r="Q251" s="164">
        <v>9</v>
      </c>
      <c r="R251" s="19">
        <f t="shared" si="35"/>
        <v>27</v>
      </c>
      <c r="S251" s="164">
        <f t="shared" si="36"/>
        <v>7.8677094972067039</v>
      </c>
      <c r="T251" s="20">
        <v>2</v>
      </c>
      <c r="U251" s="20">
        <v>3</v>
      </c>
      <c r="V251" s="161">
        <f t="array" ref="V251">IF(ISERROR(L251/K251),"",L251/K251)</f>
        <v>0.91000000000000014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>
        <v>4503</v>
      </c>
      <c r="C264" s="256" t="s">
        <v>75</v>
      </c>
      <c r="D264" s="256" t="s">
        <v>76</v>
      </c>
      <c r="E264" s="166" t="s">
        <v>39</v>
      </c>
      <c r="F264" s="250" t="s">
        <v>333</v>
      </c>
      <c r="G264" s="164">
        <v>8</v>
      </c>
      <c r="H264" s="164"/>
      <c r="I264" s="164">
        <f>8-J264/500</f>
        <v>7.2</v>
      </c>
      <c r="J264" s="164">
        <v>400</v>
      </c>
      <c r="K264" s="164">
        <f t="shared" si="31"/>
        <v>4367.2</v>
      </c>
      <c r="L264" s="164">
        <f t="shared" si="32"/>
        <v>3930.48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19.731325301204819</v>
      </c>
      <c r="Q264" s="164">
        <v>9</v>
      </c>
      <c r="R264" s="19">
        <f t="shared" si="35"/>
        <v>18</v>
      </c>
      <c r="S264" s="164">
        <f t="shared" si="36"/>
        <v>-1.7313253012048193</v>
      </c>
      <c r="T264" s="20">
        <v>2</v>
      </c>
      <c r="U264" s="20">
        <v>2</v>
      </c>
      <c r="V264" s="161">
        <f t="array" ref="V264">IF(ISERROR(L264/K264),"",L264/K264)</f>
        <v>0.9</v>
      </c>
      <c r="W264" s="20"/>
      <c r="X264" s="20"/>
      <c r="Y264" s="20"/>
      <c r="Z264" s="20"/>
      <c r="AA264" s="20">
        <v>2</v>
      </c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>
        <v>5001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252" t="s">
        <v>334</v>
      </c>
      <c r="C311" s="256" t="s">
        <v>112</v>
      </c>
      <c r="D311" s="256" t="s">
        <v>113</v>
      </c>
      <c r="E311" s="166" t="s">
        <v>37</v>
      </c>
      <c r="F311" s="165">
        <v>1643</v>
      </c>
      <c r="G311" s="164">
        <v>18</v>
      </c>
      <c r="H311" s="164"/>
      <c r="I311" s="164">
        <v>18</v>
      </c>
      <c r="J311" s="164"/>
      <c r="K311" s="164">
        <f t="shared" si="38"/>
        <v>11183.4</v>
      </c>
      <c r="L311" s="164">
        <f t="shared" si="39"/>
        <v>11183.4</v>
      </c>
      <c r="M311" s="164">
        <v>621.29999999999995</v>
      </c>
      <c r="N311" s="164">
        <f t="shared" si="43"/>
        <v>7.9348659003831417</v>
      </c>
      <c r="O311" s="164"/>
      <c r="P311" s="164">
        <f t="shared" si="40"/>
        <v>142.82758620689654</v>
      </c>
      <c r="Q311" s="164">
        <v>18</v>
      </c>
      <c r="R311" s="19">
        <f t="shared" si="41"/>
        <v>180</v>
      </c>
      <c r="S311" s="164">
        <f t="shared" si="42"/>
        <v>37.172413793103459</v>
      </c>
      <c r="T311" s="20">
        <v>8</v>
      </c>
      <c r="U311" s="20">
        <v>10</v>
      </c>
      <c r="V311" s="161">
        <f t="array" ref="V311">IF(ISERROR(L311/K311),"",L311/K311)</f>
        <v>1</v>
      </c>
      <c r="W311" s="20"/>
      <c r="X311" s="20"/>
      <c r="Y311" s="20"/>
      <c r="Z311" s="20"/>
      <c r="AA311" s="20">
        <v>2</v>
      </c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56" t="s">
        <v>134</v>
      </c>
      <c r="D346" s="256" t="s">
        <v>131</v>
      </c>
      <c r="E346" s="166" t="s">
        <v>135</v>
      </c>
      <c r="F346" s="165">
        <v>1625</v>
      </c>
      <c r="G346" s="164">
        <v>8</v>
      </c>
      <c r="H346" s="164"/>
      <c r="I346" s="164">
        <f>8-J346/300</f>
        <v>7.833333333333333</v>
      </c>
      <c r="J346" s="164">
        <v>50</v>
      </c>
      <c r="K346" s="164">
        <f t="shared" si="38"/>
        <v>3154.4</v>
      </c>
      <c r="L346" s="164">
        <f t="shared" si="39"/>
        <v>3088.6833333333334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49.4031243335466</v>
      </c>
      <c r="Q346" s="164">
        <v>8.5</v>
      </c>
      <c r="R346" s="19">
        <f t="shared" si="41"/>
        <v>51</v>
      </c>
      <c r="S346" s="164">
        <f t="shared" si="42"/>
        <v>1.5968756664533998</v>
      </c>
      <c r="T346" s="20">
        <v>6</v>
      </c>
      <c r="U346" s="20">
        <v>6</v>
      </c>
      <c r="V346" s="161">
        <f t="array" ref="V346">IF(ISERROR(L346/K346),"",L346/K346)</f>
        <v>0.97916666666666663</v>
      </c>
      <c r="W346" s="20"/>
      <c r="X346" s="20"/>
      <c r="Y346" s="20"/>
      <c r="Z346" s="20"/>
      <c r="AA346" s="20">
        <v>2</v>
      </c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56</v>
      </c>
      <c r="H408" s="164">
        <f t="array" ref="H408">SUM(IF(ISERROR(H215:H407),“”,H215:H407))</f>
        <v>0</v>
      </c>
      <c r="I408" s="164">
        <f t="array" ref="I408">SUM(IF(ISERROR(I215:I407),“”,I215:I407))</f>
        <v>54.113333333333337</v>
      </c>
      <c r="J408" s="164">
        <f t="array" ref="J408">SUM(IF(ISERROR(J215:J407),“”,J215:J407))</f>
        <v>730</v>
      </c>
      <c r="K408" s="164">
        <f t="array" ref="K408">SUM(IF(ISERROR(K215:K407),“”,K215:K407))</f>
        <v>28984.840000000004</v>
      </c>
      <c r="L408" s="117">
        <f>SUM(L215:L399)</f>
        <v>28113.293733333332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434.10062555703968</v>
      </c>
      <c r="Q408" s="164"/>
      <c r="R408" s="56">
        <f>SUM((R215:R399),(Y413:Z418))</f>
        <v>461</v>
      </c>
      <c r="S408" s="164">
        <f t="array" ref="S408">SUM(IF(ISERROR(S215:S407),“”,S215:S407))</f>
        <v>17.899374442960323</v>
      </c>
      <c r="T408" s="164"/>
      <c r="U408" s="164"/>
      <c r="V408" s="161">
        <f t="array" ref="V408">IF(ISERROR(L408/K408),"",L408/K408)</f>
        <v>0.96993096161073611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0.9416499469783941</v>
      </c>
      <c r="P409" s="282"/>
      <c r="Q409" s="282"/>
      <c r="R409" s="283"/>
      <c r="S409" s="44"/>
      <c r="T409" s="45"/>
      <c r="U409" s="45"/>
      <c r="V409" s="45"/>
      <c r="W409" s="284">
        <f>SUM(W408:AC408)</f>
        <v>10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108</v>
      </c>
      <c r="F411" s="287"/>
      <c r="G411" s="287">
        <v>108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5452.1</v>
      </c>
      <c r="F412" s="287"/>
      <c r="G412" s="287">
        <v>5452.1</v>
      </c>
      <c r="H412" s="287"/>
      <c r="I412" s="287">
        <f>G412-E412</f>
        <v>0</v>
      </c>
      <c r="J412" s="287"/>
      <c r="K412" s="289">
        <f t="array" ref="K412">IF(ISERROR(I412/E412),"",I412/E412)</f>
        <v>0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24</v>
      </c>
      <c r="T412" s="292"/>
      <c r="U412" s="292">
        <v>25</v>
      </c>
      <c r="V412" s="292"/>
      <c r="W412" s="291">
        <f>S412*9</f>
        <v>216</v>
      </c>
      <c r="X412" s="291"/>
      <c r="Y412" s="291">
        <f>U412*9</f>
        <v>225</v>
      </c>
      <c r="Z412" s="291"/>
      <c r="AA412" s="291">
        <f t="shared" ref="AA412:AA419" si="59">Y412-W412</f>
        <v>9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354</v>
      </c>
      <c r="F413" s="287"/>
      <c r="G413" s="287">
        <v>354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5</v>
      </c>
      <c r="T413" s="292"/>
      <c r="U413" s="292">
        <v>6</v>
      </c>
      <c r="V413" s="292"/>
      <c r="W413" s="291">
        <f t="shared" ref="W413:W419" si="60">S413*9</f>
        <v>45</v>
      </c>
      <c r="X413" s="291"/>
      <c r="Y413" s="291">
        <f t="shared" ref="Y413:Y419" si="61">U413*9</f>
        <v>54</v>
      </c>
      <c r="Z413" s="291"/>
      <c r="AA413" s="291">
        <f t="shared" si="59"/>
        <v>9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1</v>
      </c>
      <c r="V414" s="292"/>
      <c r="W414" s="291">
        <f t="shared" si="60"/>
        <v>6.75</v>
      </c>
      <c r="X414" s="291"/>
      <c r="Y414" s="291">
        <f t="shared" si="61"/>
        <v>9</v>
      </c>
      <c r="Z414" s="291"/>
      <c r="AA414" s="291">
        <f t="shared" si="59"/>
        <v>2.25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151541</v>
      </c>
      <c r="H415" s="332"/>
      <c r="I415" s="333">
        <v>151450</v>
      </c>
      <c r="J415" s="334"/>
      <c r="K415" s="297">
        <f>G415-I415</f>
        <v>91</v>
      </c>
      <c r="L415" s="297"/>
      <c r="M415" s="298">
        <f t="array" ref="M415">IF(ISERROR(K415/L408),"",K415/(L408/1000))</f>
        <v>3.2369028283620587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6.75</v>
      </c>
      <c r="X415" s="291"/>
      <c r="Y415" s="291">
        <f t="shared" si="61"/>
        <v>9</v>
      </c>
      <c r="Z415" s="291"/>
      <c r="AA415" s="291">
        <f t="shared" si="59"/>
        <v>2.25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45041*60+28715.2*120</f>
        <v>6148284</v>
      </c>
      <c r="H416" s="331"/>
      <c r="I416" s="330">
        <f>45011*60+28704.2*120</f>
        <v>6145164</v>
      </c>
      <c r="J416" s="331"/>
      <c r="K416" s="297">
        <f>G416-I416</f>
        <v>3120</v>
      </c>
      <c r="L416" s="297"/>
      <c r="M416" s="298">
        <f t="array" ref="M416">IF(ISERROR(K416/L408),"",K416/(L408/1000))</f>
        <v>110.979525543842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13.5</v>
      </c>
      <c r="X416" s="291"/>
      <c r="Y416" s="291">
        <f t="shared" si="61"/>
        <v>9</v>
      </c>
      <c r="Z416" s="291"/>
      <c r="AA416" s="291">
        <f t="shared" si="59"/>
        <v>-4.5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+I417+21</f>
        <v>27117</v>
      </c>
      <c r="H417" s="332"/>
      <c r="I417" s="335">
        <v>27096</v>
      </c>
      <c r="J417" s="336"/>
      <c r="K417" s="297">
        <f>G417-I417</f>
        <v>21</v>
      </c>
      <c r="L417" s="297"/>
      <c r="M417" s="301">
        <f t="array" ref="M417">IF(ISERROR(K417/L408),"",K417/(L408/1000))</f>
        <v>0.74697757577585966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3.52+2.4/2</f>
        <v>4.72</v>
      </c>
      <c r="L418" s="309"/>
      <c r="M418" s="302">
        <f t="array" ref="M418">IF(ISERROR((K418+K419)/L408),"",((K418+K419)*1000)/(L408/1000))</f>
        <v>167.89210274581228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3</v>
      </c>
      <c r="V418" s="292"/>
      <c r="W418" s="291">
        <f t="shared" si="60"/>
        <v>27</v>
      </c>
      <c r="X418" s="291"/>
      <c r="Y418" s="291">
        <f t="shared" si="61"/>
        <v>27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36</v>
      </c>
      <c r="T419" s="292"/>
      <c r="U419" s="292">
        <f>SUM(U412:V418)</f>
        <v>38</v>
      </c>
      <c r="V419" s="292"/>
      <c r="W419" s="291">
        <f t="shared" si="60"/>
        <v>324</v>
      </c>
      <c r="X419" s="291"/>
      <c r="Y419" s="291">
        <f t="shared" si="61"/>
        <v>342</v>
      </c>
      <c r="Z419" s="291"/>
      <c r="AA419" s="291">
        <f t="shared" si="59"/>
        <v>18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4.4491525423728815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82.202613255360617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54240.447800000009</v>
      </c>
      <c r="D423" s="345"/>
      <c r="E423" s="341" t="s">
        <v>226</v>
      </c>
      <c r="F423" s="341"/>
      <c r="G423" s="341">
        <f>L199+L408</f>
        <v>52994.217199999999</v>
      </c>
      <c r="H423" s="341"/>
      <c r="I423" s="348" t="s">
        <v>227</v>
      </c>
      <c r="J423" s="348"/>
      <c r="K423" s="347">
        <f>IF(ISERROR(G423/C423),"",G423/C423)</f>
        <v>0.97702396181176054</v>
      </c>
      <c r="L423" s="347"/>
      <c r="M423" s="341" t="s">
        <v>228</v>
      </c>
      <c r="N423" s="341"/>
      <c r="O423" s="342">
        <f>IF(ISERROR(G423/G424),"",G423/G424)</f>
        <v>59.678172522522523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791.32005269328147</v>
      </c>
      <c r="D424" s="345"/>
      <c r="E424" s="346" t="s">
        <v>18</v>
      </c>
      <c r="F424" s="346"/>
      <c r="G424" s="341">
        <f>R199+R408</f>
        <v>888</v>
      </c>
      <c r="H424" s="341"/>
      <c r="I424" s="321" t="s">
        <v>176</v>
      </c>
      <c r="J424" s="321"/>
      <c r="K424" s="347">
        <f>IF(ISERROR(C424/G424),"",C424/G424)</f>
        <v>0.89112618546540701</v>
      </c>
      <c r="L424" s="347"/>
      <c r="M424" s="287" t="s">
        <v>230</v>
      </c>
      <c r="N424" s="287"/>
      <c r="O424" s="341">
        <f>W200+W409</f>
        <v>14</v>
      </c>
      <c r="P424" s="287"/>
      <c r="Q424" s="287" t="s">
        <v>231</v>
      </c>
      <c r="R424" s="287"/>
      <c r="S424" s="347">
        <f t="array" ref="S424">IF(ISERROR(O424/G424),"",O424/G424)</f>
        <v>1.5765765765765764E-2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209</v>
      </c>
      <c r="D426" s="345"/>
      <c r="E426" s="341" t="s">
        <v>234</v>
      </c>
      <c r="F426" s="341"/>
      <c r="G426" s="301">
        <f t="array" ref="G426">IF(ISERROR(C426/G423),"",C426/(G423/1000))</f>
        <v>3.943826535095984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4854</v>
      </c>
      <c r="D427" s="345"/>
      <c r="E427" s="341" t="s">
        <v>236</v>
      </c>
      <c r="F427" s="341"/>
      <c r="G427" s="301">
        <f>IF(ISERROR(C427/G423),"",C427/(G423/1000))</f>
        <v>91.594899528018686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39</v>
      </c>
      <c r="D428" s="345"/>
      <c r="E428" s="341" t="s">
        <v>238</v>
      </c>
      <c r="F428" s="341"/>
      <c r="G428" s="301">
        <f>IF(ISERROR(C428/G423),"",C428/(G423/1000))</f>
        <v>0.73592935343896348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8.48</v>
      </c>
      <c r="D429" s="345"/>
      <c r="E429" s="341" t="s">
        <v>240</v>
      </c>
      <c r="F429" s="341"/>
      <c r="G429" s="349">
        <f>IF(ISERROR(C429/G423),"",C429/(G423/1000))</f>
        <v>0.1600174594144208</v>
      </c>
      <c r="H429" s="349"/>
      <c r="I429" s="341" t="s">
        <v>241</v>
      </c>
      <c r="J429" s="341"/>
      <c r="K429" s="350">
        <f>IF(ISERROR(C428/C429),"",C428/C429)</f>
        <v>4.5990566037735849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227</v>
      </c>
      <c r="D432" s="354"/>
      <c r="E432" s="341" t="s">
        <v>247</v>
      </c>
      <c r="F432" s="359"/>
      <c r="G432" s="355">
        <f>+G411+G202</f>
        <v>227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10073.900000000001</v>
      </c>
      <c r="D433" s="354"/>
      <c r="E433" s="341" t="s">
        <v>251</v>
      </c>
      <c r="F433" s="341"/>
      <c r="G433" s="355">
        <f>+G412+G203</f>
        <v>10293.900000000001</v>
      </c>
      <c r="H433" s="356"/>
      <c r="I433" s="341" t="s">
        <v>252</v>
      </c>
      <c r="J433" s="341"/>
      <c r="K433" s="323">
        <f>G433-C433</f>
        <v>220</v>
      </c>
      <c r="L433" s="325"/>
      <c r="M433" s="357" t="s">
        <v>253</v>
      </c>
      <c r="N433" s="358"/>
      <c r="O433" s="351">
        <f t="array" ref="O433">IF(ISERROR(K433/C433),"",K433/C433)</f>
        <v>2.1838612652498035E-2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1008</v>
      </c>
      <c r="D434" s="354"/>
      <c r="E434" s="341" t="s">
        <v>255</v>
      </c>
      <c r="F434" s="359"/>
      <c r="G434" s="355">
        <f>+G413+G204</f>
        <v>1008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>
        <v>2</v>
      </c>
      <c r="M437" s="67"/>
      <c r="N437" s="67"/>
      <c r="O437" s="67"/>
      <c r="P437" s="118"/>
      <c r="Q437" s="83">
        <f t="shared" ref="Q437:Q452" si="64">J437-K437-L437</f>
        <v>5</v>
      </c>
      <c r="R437" s="158">
        <f>Q437*11-M437-N437</f>
        <v>55</v>
      </c>
      <c r="S437" s="101">
        <f t="array" ref="S437">IF(ISERROR(Q437/J437),"",Q437/J437)</f>
        <v>0.7142857142857143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>
        <v>2</v>
      </c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0.80769230769230771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D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4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38</v>
      </c>
      <c r="R443" s="158">
        <f t="shared" si="65"/>
        <v>418</v>
      </c>
      <c r="S443" s="120">
        <f t="array" ref="S443">IF(ISERROR(Q443/J443),"",Q443/J443)</f>
        <v>0.84444444444444444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23</v>
      </c>
      <c r="D447" s="67">
        <v>22</v>
      </c>
      <c r="E447" s="67">
        <v>1</v>
      </c>
      <c r="F447" s="67"/>
      <c r="G447" s="67"/>
      <c r="H447" s="67"/>
      <c r="I447" s="67">
        <v>1</v>
      </c>
      <c r="J447" s="83">
        <f t="shared" si="63"/>
        <v>22</v>
      </c>
      <c r="K447" s="67"/>
      <c r="L447" s="67"/>
      <c r="M447" s="67"/>
      <c r="N447" s="67"/>
      <c r="O447" s="67"/>
      <c r="P447" s="67"/>
      <c r="Q447" s="83">
        <f t="shared" si="64"/>
        <v>22</v>
      </c>
      <c r="R447" s="158">
        <f t="shared" si="68"/>
        <v>253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39</v>
      </c>
      <c r="D450" s="69">
        <v>38</v>
      </c>
      <c r="E450" s="69">
        <f t="shared" ref="D450:I450" si="69">SUM(E444:E449)</f>
        <v>1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</v>
      </c>
      <c r="J450" s="85">
        <f t="shared" si="63"/>
        <v>38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56</v>
      </c>
      <c r="D452" s="69">
        <v>55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4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48</v>
      </c>
      <c r="R452" s="67">
        <f>R443+R450+R451</f>
        <v>877</v>
      </c>
      <c r="S452" s="123">
        <f t="array" ref="S452">IF(ISERROR(Q452/J452),"",Q452/J452)</f>
        <v>0.87272727272727268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56" t="s">
        <v>46</v>
      </c>
      <c r="D20" s="256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56" t="s">
        <v>51</v>
      </c>
      <c r="D25" s="256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56" t="s">
        <v>51</v>
      </c>
      <c r="D26" s="256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56" t="s">
        <v>316</v>
      </c>
      <c r="D75" s="256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56" t="s">
        <v>317</v>
      </c>
      <c r="D78" s="256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56" t="s">
        <v>318</v>
      </c>
      <c r="D99" s="256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56" t="s">
        <v>112</v>
      </c>
      <c r="D101" s="256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67" t="s">
        <v>168</v>
      </c>
      <c r="D187" s="268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67" t="s">
        <v>168</v>
      </c>
      <c r="D190" s="268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56" t="s">
        <v>46</v>
      </c>
      <c r="D229" s="256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56" t="s">
        <v>51</v>
      </c>
      <c r="D235" s="256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56" t="s">
        <v>51</v>
      </c>
      <c r="D236" s="256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56" t="s">
        <v>77</v>
      </c>
      <c r="D267" s="256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67" t="s">
        <v>90</v>
      </c>
      <c r="D283" s="268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56" t="s">
        <v>91</v>
      </c>
      <c r="D284" s="256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56" t="s">
        <v>93</v>
      </c>
      <c r="D285" s="256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56" t="s">
        <v>95</v>
      </c>
      <c r="D286" s="256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56" t="s">
        <v>93</v>
      </c>
      <c r="D287" s="256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56" t="s">
        <v>110</v>
      </c>
      <c r="D307" s="256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56" t="s">
        <v>110</v>
      </c>
      <c r="D308" s="256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56" t="s">
        <v>112</v>
      </c>
      <c r="D309" s="256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56" t="s">
        <v>112</v>
      </c>
      <c r="D310" s="256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69" t="s">
        <v>121</v>
      </c>
      <c r="D322" s="269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69" t="s">
        <v>121</v>
      </c>
      <c r="D323" s="269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69" t="s">
        <v>121</v>
      </c>
      <c r="D324" s="269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70" t="s">
        <v>168</v>
      </c>
      <c r="D396" s="271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70" t="s">
        <v>168</v>
      </c>
      <c r="D397" s="271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67" t="s">
        <v>168</v>
      </c>
      <c r="D398" s="268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67" t="s">
        <v>168</v>
      </c>
      <c r="D399" s="268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56" t="s">
        <v>46</v>
      </c>
      <c r="D20" s="256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256" t="s">
        <v>51</v>
      </c>
      <c r="D25" s="256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256" t="s">
        <v>51</v>
      </c>
      <c r="D26" s="256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56" t="s">
        <v>316</v>
      </c>
      <c r="D75" s="256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56" t="s">
        <v>317</v>
      </c>
      <c r="D78" s="256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56" t="s">
        <v>318</v>
      </c>
      <c r="D99" s="256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56" t="s">
        <v>112</v>
      </c>
      <c r="D101" s="256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67" t="s">
        <v>305</v>
      </c>
      <c r="D108" s="268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67" t="s">
        <v>305</v>
      </c>
      <c r="D109" s="268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67" t="s">
        <v>305</v>
      </c>
      <c r="D110" s="268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67" t="s">
        <v>168</v>
      </c>
      <c r="D187" s="268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67" t="s">
        <v>168</v>
      </c>
      <c r="D190" s="268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0.69641304241358548</v>
      </c>
      <c r="P200" s="282"/>
      <c r="Q200" s="282"/>
      <c r="R200" s="283"/>
      <c r="S200" s="44"/>
      <c r="T200" s="45"/>
      <c r="U200" s="45"/>
      <c r="V200" s="45"/>
      <c r="W200" s="284">
        <f>SUM(W199:AC199)</f>
        <v>8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0</v>
      </c>
      <c r="F202" s="287"/>
      <c r="G202" s="287">
        <v>0</v>
      </c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3269.8</v>
      </c>
      <c r="F203" s="287"/>
      <c r="G203" s="287">
        <v>3341.8</v>
      </c>
      <c r="H203" s="287"/>
      <c r="I203" s="287">
        <f>G203-E203</f>
        <v>72</v>
      </c>
      <c r="J203" s="287"/>
      <c r="K203" s="289">
        <f t="array" ref="K203">IF(ISERROR(I203/E203),"",I203/E203)</f>
        <v>2.2019695394213713E-2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16</v>
      </c>
      <c r="T203" s="292"/>
      <c r="U203" s="292">
        <v>17</v>
      </c>
      <c r="V203" s="292"/>
      <c r="W203" s="291">
        <f>S203*8</f>
        <v>128</v>
      </c>
      <c r="X203" s="291"/>
      <c r="Y203" s="291">
        <f>U203*8</f>
        <v>136</v>
      </c>
      <c r="Z203" s="291"/>
      <c r="AA203" s="291">
        <f t="shared" ref="AA203:AA210" si="28">Y203-W203</f>
        <v>8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2</v>
      </c>
      <c r="T204" s="292"/>
      <c r="U204" s="292">
        <v>7</v>
      </c>
      <c r="V204" s="292"/>
      <c r="W204" s="291">
        <f t="shared" ref="W204:W210" si="29">S204*8</f>
        <v>16</v>
      </c>
      <c r="X204" s="291"/>
      <c r="Y204" s="291">
        <f t="shared" ref="Y204:Y210" si="30">U204*8</f>
        <v>56</v>
      </c>
      <c r="Z204" s="291"/>
      <c r="AA204" s="291">
        <f t="shared" si="28"/>
        <v>40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9"/>
        <v>6</v>
      </c>
      <c r="X205" s="291"/>
      <c r="Y205" s="291">
        <f t="shared" si="30"/>
        <v>0</v>
      </c>
      <c r="Z205" s="291"/>
      <c r="AA205" s="291">
        <f t="shared" si="28"/>
        <v>-6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293">
        <v>148803</v>
      </c>
      <c r="H206" s="294"/>
      <c r="I206" s="333">
        <v>148744</v>
      </c>
      <c r="J206" s="334"/>
      <c r="K206" s="297">
        <f>G206-I206</f>
        <v>59</v>
      </c>
      <c r="L206" s="297"/>
      <c r="M206" s="298">
        <f t="array" ref="M206">IF(ISERROR(K206/L199),"",K206/(L199/1000))</f>
        <v>4.7264279420011217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9"/>
        <v>6</v>
      </c>
      <c r="X206" s="291"/>
      <c r="Y206" s="291">
        <f t="shared" si="30"/>
        <v>0</v>
      </c>
      <c r="Z206" s="291"/>
      <c r="AA206" s="291">
        <f t="shared" si="28"/>
        <v>-6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293">
        <f>28512.4*120+44796.4*60</f>
        <v>6109272</v>
      </c>
      <c r="H207" s="294"/>
      <c r="I207" s="333">
        <f>28507.1*120+44790.5*60</f>
        <v>6108282</v>
      </c>
      <c r="J207" s="334"/>
      <c r="K207" s="297">
        <f>G207-I207</f>
        <v>990</v>
      </c>
      <c r="L207" s="297"/>
      <c r="M207" s="298">
        <f t="array" ref="M207">IF(ISERROR(K207/L199),"",K207/(L199/1000))</f>
        <v>79.30785868781544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0</v>
      </c>
      <c r="V207" s="292"/>
      <c r="W207" s="291">
        <f t="shared" si="29"/>
        <v>12</v>
      </c>
      <c r="X207" s="291"/>
      <c r="Y207" s="291">
        <f t="shared" si="30"/>
        <v>0</v>
      </c>
      <c r="Z207" s="291"/>
      <c r="AA207" s="291">
        <f t="shared" si="28"/>
        <v>-12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293">
        <f>+I208+12</f>
        <v>27736</v>
      </c>
      <c r="H208" s="294"/>
      <c r="I208" s="293">
        <v>27724</v>
      </c>
      <c r="J208" s="294"/>
      <c r="K208" s="297">
        <f>G208-I208</f>
        <v>12</v>
      </c>
      <c r="L208" s="297"/>
      <c r="M208" s="301">
        <f t="array" ref="M208">IF(ISERROR(K208/L199),"",K208/(L199/1000))</f>
        <v>0.96130737803412647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9"/>
        <v>8</v>
      </c>
      <c r="X208" s="291"/>
      <c r="Y208" s="291">
        <f t="shared" si="30"/>
        <v>8</v>
      </c>
      <c r="Z208" s="291"/>
      <c r="AA208" s="291">
        <f t="shared" si="28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2.56+1.6/2</f>
        <v>3.3600000000000003</v>
      </c>
      <c r="L209" s="300"/>
      <c r="M209" s="302">
        <f t="array" ref="M209">IF(ISERROR((K209+K210)/L199),"",((K209+K210)*1000)/(L199/1000))</f>
        <v>269.16606584955548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6</v>
      </c>
      <c r="V209" s="292"/>
      <c r="W209" s="291">
        <f t="shared" si="29"/>
        <v>24</v>
      </c>
      <c r="X209" s="291"/>
      <c r="Y209" s="291">
        <f t="shared" si="30"/>
        <v>48</v>
      </c>
      <c r="Z209" s="291"/>
      <c r="AA209" s="291">
        <f t="shared" si="28"/>
        <v>24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25</v>
      </c>
      <c r="T210" s="292"/>
      <c r="U210" s="292">
        <f>SUM(U203:V209)</f>
        <v>31</v>
      </c>
      <c r="V210" s="292"/>
      <c r="W210" s="291">
        <f t="shared" si="29"/>
        <v>200</v>
      </c>
      <c r="X210" s="291"/>
      <c r="Y210" s="291">
        <f t="shared" si="30"/>
        <v>248</v>
      </c>
      <c r="Z210" s="291"/>
      <c r="AA210" s="291">
        <f t="shared" si="28"/>
        <v>48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3.5714285714285712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50.334677419354833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56" t="s">
        <v>46</v>
      </c>
      <c r="D229" s="256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256" t="s">
        <v>51</v>
      </c>
      <c r="D235" s="256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256" t="s">
        <v>51</v>
      </c>
      <c r="D236" s="256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56" t="s">
        <v>77</v>
      </c>
      <c r="D267" s="256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67" t="s">
        <v>90</v>
      </c>
      <c r="D283" s="268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56" t="s">
        <v>91</v>
      </c>
      <c r="D284" s="256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56" t="s">
        <v>93</v>
      </c>
      <c r="D285" s="256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56" t="s">
        <v>95</v>
      </c>
      <c r="D286" s="256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56" t="s">
        <v>93</v>
      </c>
      <c r="D287" s="256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256" t="s">
        <v>318</v>
      </c>
      <c r="D307" s="256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256" t="s">
        <v>318</v>
      </c>
      <c r="D308" s="256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56" t="s">
        <v>112</v>
      </c>
      <c r="D309" s="256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56" t="s">
        <v>112</v>
      </c>
      <c r="D310" s="256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67" t="s">
        <v>305</v>
      </c>
      <c r="D317" s="268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67" t="s">
        <v>305</v>
      </c>
      <c r="D318" s="268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67" t="s">
        <v>305</v>
      </c>
      <c r="D319" s="268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256" t="s">
        <v>121</v>
      </c>
      <c r="D322" s="256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256" t="s">
        <v>121</v>
      </c>
      <c r="D323" s="256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256" t="s">
        <v>121</v>
      </c>
      <c r="D324" s="256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67" t="s">
        <v>168</v>
      </c>
      <c r="D396" s="268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67" t="s">
        <v>168</v>
      </c>
      <c r="D397" s="268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67" t="s">
        <v>168</v>
      </c>
      <c r="D398" s="268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67" t="s">
        <v>168</v>
      </c>
      <c r="D399" s="268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>IF(ISERROR(P408/R408),"",P408/R408)</f>
        <v>0.85203881114991631</v>
      </c>
      <c r="P409" s="282"/>
      <c r="Q409" s="282"/>
      <c r="R409" s="283"/>
      <c r="S409" s="44"/>
      <c r="T409" s="45"/>
      <c r="U409" s="45"/>
      <c r="V409" s="45"/>
      <c r="W409" s="284">
        <f>SUM(W408:AC408)</f>
        <v>3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0</v>
      </c>
      <c r="F411" s="287"/>
      <c r="G411" s="287">
        <v>0</v>
      </c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3264.7</v>
      </c>
      <c r="F412" s="287"/>
      <c r="G412" s="287">
        <v>3314.7</v>
      </c>
      <c r="H412" s="287"/>
      <c r="I412" s="287">
        <f>G412-E412</f>
        <v>50</v>
      </c>
      <c r="J412" s="287"/>
      <c r="K412" s="289">
        <f t="array" ref="K412">IF(ISERROR(I412/E412),"",I412/E412)</f>
        <v>1.5315342910527767E-2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16</v>
      </c>
      <c r="T412" s="292"/>
      <c r="U412" s="292">
        <v>19</v>
      </c>
      <c r="V412" s="292"/>
      <c r="W412" s="291">
        <f>S412*9</f>
        <v>144</v>
      </c>
      <c r="X412" s="291"/>
      <c r="Y412" s="291">
        <f>U412*9</f>
        <v>171</v>
      </c>
      <c r="Z412" s="291"/>
      <c r="AA412" s="291">
        <f t="shared" ref="AA412:AA419" si="59">Y412-W412</f>
        <v>27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3</v>
      </c>
      <c r="T413" s="292"/>
      <c r="U413" s="292">
        <v>6</v>
      </c>
      <c r="V413" s="292"/>
      <c r="W413" s="291">
        <f t="shared" ref="W413:W419" si="60">S413*9</f>
        <v>27</v>
      </c>
      <c r="X413" s="291"/>
      <c r="Y413" s="291">
        <f t="shared" ref="Y413:Y419" si="61">U413*9</f>
        <v>54</v>
      </c>
      <c r="Z413" s="291"/>
      <c r="AA413" s="291">
        <f t="shared" si="59"/>
        <v>27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32">
        <v>148863</v>
      </c>
      <c r="H415" s="332"/>
      <c r="I415" s="333">
        <v>148803</v>
      </c>
      <c r="J415" s="334"/>
      <c r="K415" s="297">
        <f>G415-I415</f>
        <v>60</v>
      </c>
      <c r="L415" s="297"/>
      <c r="M415" s="298">
        <f t="array" ref="M415">IF(ISERROR(K415/L408),"",K415/(L408/1000))</f>
        <v>3.7062248517201204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0</v>
      </c>
      <c r="V415" s="292"/>
      <c r="W415" s="291">
        <f t="shared" si="60"/>
        <v>6.75</v>
      </c>
      <c r="X415" s="291"/>
      <c r="Y415" s="291">
        <f t="shared" si="61"/>
        <v>0</v>
      </c>
      <c r="Z415" s="291"/>
      <c r="AA415" s="291">
        <f t="shared" si="59"/>
        <v>-6.75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30">
        <f>28518.5*120+44802.9*60</f>
        <v>6110394</v>
      </c>
      <c r="H416" s="331"/>
      <c r="I416" s="330">
        <v>6109272</v>
      </c>
      <c r="J416" s="331"/>
      <c r="K416" s="297">
        <f>G416-I416</f>
        <v>1122</v>
      </c>
      <c r="L416" s="297"/>
      <c r="M416" s="298">
        <f t="array" ref="M416">IF(ISERROR(K416/L408),"",K416/(L408/1000))</f>
        <v>69.306404727166253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0</v>
      </c>
      <c r="V416" s="292"/>
      <c r="W416" s="291">
        <f t="shared" si="60"/>
        <v>13.5</v>
      </c>
      <c r="X416" s="291"/>
      <c r="Y416" s="291">
        <f t="shared" si="61"/>
        <v>0</v>
      </c>
      <c r="Z416" s="291"/>
      <c r="AA416" s="291">
        <f t="shared" si="59"/>
        <v>-13.5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32">
        <f>+I417+11</f>
        <v>27747</v>
      </c>
      <c r="H417" s="332"/>
      <c r="I417" s="335">
        <v>27736</v>
      </c>
      <c r="J417" s="336"/>
      <c r="K417" s="297">
        <f>G417-I417</f>
        <v>11</v>
      </c>
      <c r="L417" s="297"/>
      <c r="M417" s="301">
        <f t="array" ref="M417">IF(ISERROR(K417/L408),"",K417/(L408/1000))</f>
        <v>0.67947455614868879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1.6+1.6/2</f>
        <v>2.4000000000000004</v>
      </c>
      <c r="L418" s="309"/>
      <c r="M418" s="302">
        <f t="array" ref="M418">IF(ISERROR((K418+K419)/L408),"",((K418+K419)*1000)/(L408/1000))</f>
        <v>148.24899406880485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2</v>
      </c>
      <c r="V418" s="292"/>
      <c r="W418" s="291">
        <f t="shared" si="60"/>
        <v>27</v>
      </c>
      <c r="X418" s="291"/>
      <c r="Y418" s="291">
        <f t="shared" si="61"/>
        <v>18</v>
      </c>
      <c r="Z418" s="291"/>
      <c r="AA418" s="291">
        <f t="shared" si="59"/>
        <v>-9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26</v>
      </c>
      <c r="T419" s="292"/>
      <c r="U419" s="292">
        <f>SUM(U412:V418)</f>
        <v>28</v>
      </c>
      <c r="V419" s="292"/>
      <c r="W419" s="291">
        <f t="shared" si="60"/>
        <v>234</v>
      </c>
      <c r="X419" s="291"/>
      <c r="Y419" s="291">
        <f t="shared" si="61"/>
        <v>252</v>
      </c>
      <c r="Z419" s="291"/>
      <c r="AA419" s="291">
        <f t="shared" si="59"/>
        <v>18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4.583333333333333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64.241984126984136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29192.6</v>
      </c>
      <c r="D423" s="345"/>
      <c r="E423" s="341" t="s">
        <v>226</v>
      </c>
      <c r="F423" s="341"/>
      <c r="G423" s="341">
        <f>L199+L408</f>
        <v>28671.98</v>
      </c>
      <c r="H423" s="341"/>
      <c r="I423" s="348" t="s">
        <v>227</v>
      </c>
      <c r="J423" s="348"/>
      <c r="K423" s="347">
        <f>IF(ISERROR(G423/C423),"",G423/C423)</f>
        <v>0.98216602837705447</v>
      </c>
      <c r="L423" s="347"/>
      <c r="M423" s="341" t="s">
        <v>228</v>
      </c>
      <c r="N423" s="341"/>
      <c r="O423" s="342">
        <f>IF(ISERROR(G423/G424),"",G423/G424)</f>
        <v>52.41678244972578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425.21346540571733</v>
      </c>
      <c r="D424" s="345"/>
      <c r="E424" s="346" t="s">
        <v>18</v>
      </c>
      <c r="F424" s="346"/>
      <c r="G424" s="341">
        <f>R199+R408</f>
        <v>547</v>
      </c>
      <c r="H424" s="341"/>
      <c r="I424" s="321" t="s">
        <v>176</v>
      </c>
      <c r="J424" s="321"/>
      <c r="K424" s="347">
        <f>IF(ISERROR(C424/G424),"",C424/G424)</f>
        <v>0.77735551262471181</v>
      </c>
      <c r="L424" s="347"/>
      <c r="M424" s="287" t="s">
        <v>230</v>
      </c>
      <c r="N424" s="287"/>
      <c r="O424" s="341">
        <f>W200+W409</f>
        <v>11</v>
      </c>
      <c r="P424" s="287"/>
      <c r="Q424" s="287" t="s">
        <v>231</v>
      </c>
      <c r="R424" s="287"/>
      <c r="S424" s="347">
        <f t="array" ref="S424">IF(ISERROR(O424/G424),"",O424/G424)</f>
        <v>2.0109689213893969E-2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119</v>
      </c>
      <c r="D426" s="345"/>
      <c r="E426" s="341" t="s">
        <v>234</v>
      </c>
      <c r="F426" s="341"/>
      <c r="G426" s="301">
        <f t="array" ref="G426">IF(ISERROR(C426/G423),"",C426/(G423/1000))</f>
        <v>4.1503935200847657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2112</v>
      </c>
      <c r="D427" s="345"/>
      <c r="E427" s="341" t="s">
        <v>236</v>
      </c>
      <c r="F427" s="341"/>
      <c r="G427" s="301">
        <f>IF(ISERROR(C427/G423),"",C427/(G423/1000))</f>
        <v>73.660765667386769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23</v>
      </c>
      <c r="D428" s="345"/>
      <c r="E428" s="341" t="s">
        <v>238</v>
      </c>
      <c r="F428" s="341"/>
      <c r="G428" s="301">
        <f>IF(ISERROR(C428/G423),"",C428/(G423/1000))</f>
        <v>0.80217689883991272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5.7600000000000007</v>
      </c>
      <c r="D429" s="345"/>
      <c r="E429" s="341" t="s">
        <v>240</v>
      </c>
      <c r="F429" s="341"/>
      <c r="G429" s="349">
        <f>IF(ISERROR(C429/G423),"",C429/(G423/1000))</f>
        <v>0.20089299727469123</v>
      </c>
      <c r="H429" s="349"/>
      <c r="I429" s="341" t="s">
        <v>241</v>
      </c>
      <c r="J429" s="341"/>
      <c r="K429" s="350">
        <f>IF(ISERROR(C428/C429),"",C428/C429)</f>
        <v>3.9930555555555549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6534.5</v>
      </c>
      <c r="D433" s="354"/>
      <c r="E433" s="341" t="s">
        <v>251</v>
      </c>
      <c r="F433" s="341"/>
      <c r="G433" s="355">
        <f>+G412+G203</f>
        <v>6656.5</v>
      </c>
      <c r="H433" s="356"/>
      <c r="I433" s="341" t="s">
        <v>252</v>
      </c>
      <c r="J433" s="341"/>
      <c r="K433" s="323">
        <f>G433-C433</f>
        <v>122</v>
      </c>
      <c r="L433" s="325"/>
      <c r="M433" s="357" t="s">
        <v>253</v>
      </c>
      <c r="N433" s="358"/>
      <c r="O433" s="351">
        <f t="array" ref="O433">IF(ISERROR(K433/C433),"",K433/C433)</f>
        <v>1.8670135434998854E-2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4">
        <f>+SUM('1:30'!G9)</f>
        <v>0.33</v>
      </c>
      <c r="H9" s="14">
        <f>+SUM('1:30'!H9)</f>
        <v>0.33333333333333331</v>
      </c>
      <c r="I9" s="14">
        <f>+SUM('1:30'!I9)</f>
        <v>0.33333333333333331</v>
      </c>
      <c r="J9" s="14">
        <f>+SUM('1:30'!J9)</f>
        <v>0</v>
      </c>
      <c r="K9" s="146">
        <f t="shared" si="0"/>
        <v>203.28</v>
      </c>
      <c r="L9" s="146">
        <f t="shared" si="1"/>
        <v>205.33333333333331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1.5115822536317236</v>
      </c>
      <c r="Q9" s="14">
        <f>+SUM('1:30'!Q9)</f>
        <v>1</v>
      </c>
      <c r="R9" s="19">
        <f t="shared" si="3"/>
        <v>0</v>
      </c>
      <c r="S9" s="146">
        <f t="shared" si="4"/>
        <v>-1.5115822536317236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4">
        <f>+SUM('1:30'!G12)</f>
        <v>2</v>
      </c>
      <c r="H12" s="14">
        <f>+SUM('1:30'!H12)</f>
        <v>0</v>
      </c>
      <c r="I12" s="14">
        <f>+SUM('1:30'!I12)</f>
        <v>2</v>
      </c>
      <c r="J12" s="14">
        <f>+SUM('1:30'!J12)</f>
        <v>0</v>
      </c>
      <c r="K12" s="146">
        <f t="shared" si="0"/>
        <v>1232</v>
      </c>
      <c r="L12" s="146">
        <f t="shared" si="1"/>
        <v>1232</v>
      </c>
      <c r="M12" s="146">
        <v>616</v>
      </c>
      <c r="N12" s="146">
        <f t="shared" si="5"/>
        <v>4.534746760895171</v>
      </c>
      <c r="O12" s="14">
        <f>+SUM('1:30'!O12)</f>
        <v>0.5</v>
      </c>
      <c r="P12" s="146">
        <f t="shared" si="2"/>
        <v>9.0694935217903421</v>
      </c>
      <c r="Q12" s="14">
        <f>+SUM('1:30'!Q12)</f>
        <v>4</v>
      </c>
      <c r="R12" s="19">
        <f t="shared" si="3"/>
        <v>0</v>
      </c>
      <c r="S12" s="146">
        <f t="shared" si="4"/>
        <v>-9.0694935217903421</v>
      </c>
      <c r="T12" s="20">
        <v>5</v>
      </c>
      <c r="U12" s="20"/>
      <c r="V12" s="143">
        <f t="array" ref="V12">IF(ISERROR(L12/K12),"",L12/K12)</f>
        <v>1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4">
        <f>+SUM('1:30'!G13)</f>
        <v>3</v>
      </c>
      <c r="H13" s="14">
        <f>+SUM('1:30'!H13)</f>
        <v>0</v>
      </c>
      <c r="I13" s="14">
        <f>+SUM('1:30'!I13)</f>
        <v>3</v>
      </c>
      <c r="J13" s="14">
        <f>+SUM('1:30'!J13)</f>
        <v>0</v>
      </c>
      <c r="K13" s="146">
        <f t="shared" si="0"/>
        <v>1848</v>
      </c>
      <c r="L13" s="146">
        <f t="shared" si="1"/>
        <v>1848</v>
      </c>
      <c r="M13" s="146">
        <v>616</v>
      </c>
      <c r="N13" s="146">
        <f t="shared" si="5"/>
        <v>4.534746760895171</v>
      </c>
      <c r="O13" s="14">
        <f>+SUM('1:30'!O13)</f>
        <v>0.5</v>
      </c>
      <c r="P13" s="146">
        <f t="shared" si="2"/>
        <v>13.604240282685513</v>
      </c>
      <c r="Q13" s="14">
        <f>+SUM('1:30'!Q13)</f>
        <v>3</v>
      </c>
      <c r="R13" s="19">
        <f t="shared" si="3"/>
        <v>0</v>
      </c>
      <c r="S13" s="146">
        <f t="shared" si="4"/>
        <v>-13.604240282685513</v>
      </c>
      <c r="T13" s="20">
        <v>5</v>
      </c>
      <c r="U13" s="20"/>
      <c r="V13" s="143">
        <f t="array" ref="V13">IF(ISERROR(L13/K13),"",L13/K13)</f>
        <v>1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256" t="s">
        <v>46</v>
      </c>
      <c r="D20" s="256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256" t="s">
        <v>51</v>
      </c>
      <c r="D25" s="256"/>
      <c r="E25" s="148" t="s">
        <v>40</v>
      </c>
      <c r="F25" s="13"/>
      <c r="G25" s="14">
        <f>+SUM('1:30'!G25)</f>
        <v>13</v>
      </c>
      <c r="H25" s="14">
        <f>+SUM('1:30'!H25)</f>
        <v>0.2</v>
      </c>
      <c r="I25" s="14">
        <f>+SUM('1:30'!I25)</f>
        <v>13</v>
      </c>
      <c r="J25" s="14">
        <f>+SUM('1:30'!J25)</f>
        <v>100</v>
      </c>
      <c r="K25" s="146">
        <f t="shared" si="0"/>
        <v>6819.8</v>
      </c>
      <c r="L25" s="146">
        <f t="shared" si="1"/>
        <v>6819.8</v>
      </c>
      <c r="M25" s="146">
        <v>524.6</v>
      </c>
      <c r="N25" s="146">
        <f>+M25*1000/(25.4*20*15*60)*T25</f>
        <v>3.4422572178477688</v>
      </c>
      <c r="O25" s="14">
        <f>+SUM('1:30'!O25)</f>
        <v>0.5</v>
      </c>
      <c r="P25" s="146">
        <f t="shared" si="2"/>
        <v>44.749343832020998</v>
      </c>
      <c r="Q25" s="14">
        <f>+SUM('1:30'!Q25)</f>
        <v>15.5</v>
      </c>
      <c r="R25" s="19">
        <f t="shared" si="3"/>
        <v>0</v>
      </c>
      <c r="S25" s="146">
        <f t="shared" si="4"/>
        <v>-44.749343832020998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6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256" t="s">
        <v>51</v>
      </c>
      <c r="D26" s="256"/>
      <c r="E26" s="148" t="s">
        <v>41</v>
      </c>
      <c r="F26" s="13"/>
      <c r="G26" s="14">
        <f>+SUM('1:30'!G26)</f>
        <v>12</v>
      </c>
      <c r="H26" s="14">
        <f>+SUM('1:30'!H26)</f>
        <v>0</v>
      </c>
      <c r="I26" s="14">
        <f>+SUM('1:30'!I26)</f>
        <v>12</v>
      </c>
      <c r="J26" s="14">
        <f>+SUM('1:30'!J26)</f>
        <v>0</v>
      </c>
      <c r="K26" s="146">
        <f t="shared" si="0"/>
        <v>6295.2000000000007</v>
      </c>
      <c r="L26" s="146">
        <f t="shared" si="1"/>
        <v>6295.2000000000007</v>
      </c>
      <c r="M26" s="146">
        <v>524.6</v>
      </c>
      <c r="N26" s="146">
        <f>+M26*1000/(25.4*20*15*60)*T26</f>
        <v>3.4422572178477688</v>
      </c>
      <c r="O26" s="14">
        <f>+SUM('1:30'!O26)</f>
        <v>1</v>
      </c>
      <c r="P26" s="146">
        <f t="shared" si="2"/>
        <v>41.30708661417323</v>
      </c>
      <c r="Q26" s="14">
        <f>+SUM('1:30'!Q26)</f>
        <v>18</v>
      </c>
      <c r="R26" s="19">
        <f t="shared" si="3"/>
        <v>0</v>
      </c>
      <c r="S26" s="146">
        <f t="shared" si="4"/>
        <v>-41.30708661417323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4">
        <f>+SUM('1:30'!G27)</f>
        <v>8</v>
      </c>
      <c r="H27" s="14">
        <f>+SUM('1:30'!H27)</f>
        <v>0</v>
      </c>
      <c r="I27" s="14">
        <f>+SUM('1:30'!I27)</f>
        <v>7.52</v>
      </c>
      <c r="J27" s="14">
        <f>+SUM('1:30'!J27)</f>
        <v>240</v>
      </c>
      <c r="K27" s="146">
        <f t="shared" si="0"/>
        <v>4196.8</v>
      </c>
      <c r="L27" s="146">
        <f t="shared" si="1"/>
        <v>3944.9919999999997</v>
      </c>
      <c r="M27" s="146">
        <v>524.6</v>
      </c>
      <c r="N27" s="146">
        <f>+M27*1000/(25.4*20*15*60)*T27</f>
        <v>3.4422572178477688</v>
      </c>
      <c r="O27" s="14">
        <f>+SUM('1:30'!O27)</f>
        <v>0.5</v>
      </c>
      <c r="P27" s="146">
        <f t="shared" si="2"/>
        <v>25.885774278215219</v>
      </c>
      <c r="Q27" s="14">
        <f>+SUM('1:30'!Q27)</f>
        <v>8</v>
      </c>
      <c r="R27" s="19">
        <f t="shared" si="3"/>
        <v>0</v>
      </c>
      <c r="S27" s="146">
        <f t="shared" si="4"/>
        <v>-25.885774278215219</v>
      </c>
      <c r="T27" s="20">
        <v>3</v>
      </c>
      <c r="U27" s="20"/>
      <c r="V27" s="143">
        <f t="array" ref="V27">IF(ISERROR(L27/K27),"",L27/K27)</f>
        <v>0.94</v>
      </c>
      <c r="W27" s="14">
        <f>+SUM('1:30'!W27)</f>
        <v>1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4">
        <f>+SUM('1:30'!G28)</f>
        <v>11</v>
      </c>
      <c r="H28" s="14">
        <f>+SUM('1:30'!H28)</f>
        <v>0</v>
      </c>
      <c r="I28" s="14">
        <f>+SUM('1:30'!I28)</f>
        <v>10.44</v>
      </c>
      <c r="J28" s="14">
        <f>+SUM('1:30'!J28)</f>
        <v>280</v>
      </c>
      <c r="K28" s="146">
        <f t="shared" si="0"/>
        <v>5770.6</v>
      </c>
      <c r="L28" s="146">
        <f t="shared" si="1"/>
        <v>5476.8239999999996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35.937165354330702</v>
      </c>
      <c r="Q28" s="14">
        <f>+SUM('1:30'!Q28)</f>
        <v>11</v>
      </c>
      <c r="R28" s="19">
        <f t="shared" si="3"/>
        <v>0</v>
      </c>
      <c r="S28" s="146">
        <f t="shared" si="4"/>
        <v>-35.937165354330702</v>
      </c>
      <c r="T28" s="20">
        <v>3</v>
      </c>
      <c r="U28" s="20"/>
      <c r="V28" s="143">
        <f t="array" ref="V28">IF(ISERROR(L28/K28),"",L28/K28)</f>
        <v>0.94909090909090899</v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4">
        <f>+SUM('1:30'!G29)</f>
        <v>10.3</v>
      </c>
      <c r="H29" s="14">
        <f>+SUM('1:30'!H29)</f>
        <v>0.3</v>
      </c>
      <c r="I29" s="14">
        <f>+SUM('1:30'!I29)</f>
        <v>10.3</v>
      </c>
      <c r="J29" s="14">
        <f>+SUM('1:30'!J29)</f>
        <v>0</v>
      </c>
      <c r="K29" s="15">
        <f t="shared" si="0"/>
        <v>5403.380000000001</v>
      </c>
      <c r="L29" s="15">
        <f t="shared" si="1"/>
        <v>5403.380000000001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35.455249343832023</v>
      </c>
      <c r="Q29" s="14">
        <f>+SUM('1:30'!Q29)</f>
        <v>11</v>
      </c>
      <c r="R29" s="129">
        <f t="shared" si="3"/>
        <v>0</v>
      </c>
      <c r="S29" s="15">
        <f t="shared" si="4"/>
        <v>-35.455249343832023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4">
        <f>+SUM('1:30'!G33)</f>
        <v>6</v>
      </c>
      <c r="H33" s="14">
        <f>+SUM('1:30'!H33)</f>
        <v>0</v>
      </c>
      <c r="I33" s="14">
        <f>+SUM('1:30'!I33)</f>
        <v>6</v>
      </c>
      <c r="J33" s="14">
        <f>+SUM('1:30'!J33)</f>
        <v>0</v>
      </c>
      <c r="K33" s="146">
        <f t="shared" si="0"/>
        <v>3302.3999999999996</v>
      </c>
      <c r="L33" s="146">
        <f t="shared" si="1"/>
        <v>3302.3999999999996</v>
      </c>
      <c r="M33" s="146">
        <v>550.4</v>
      </c>
      <c r="N33" s="146">
        <f>+M33*1000/(31*20*15*60)*T33</f>
        <v>2.9591397849462364</v>
      </c>
      <c r="O33" s="14">
        <f>+SUM('1:30'!O33)</f>
        <v>0.5</v>
      </c>
      <c r="P33" s="146">
        <f t="shared" si="2"/>
        <v>17.754838709677419</v>
      </c>
      <c r="Q33" s="14">
        <f>+SUM('1:30'!Q33)</f>
        <v>5</v>
      </c>
      <c r="R33" s="19">
        <f t="shared" si="3"/>
        <v>0</v>
      </c>
      <c r="S33" s="146">
        <f t="shared" si="4"/>
        <v>-17.754838709677419</v>
      </c>
      <c r="T33" s="20">
        <v>3</v>
      </c>
      <c r="U33" s="20"/>
      <c r="V33" s="143">
        <f t="array" ref="V33">IF(ISERROR(L33/K33),"",L33/K33)</f>
        <v>1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4">
        <f>+SUM('1:30'!G35)</f>
        <v>5.6</v>
      </c>
      <c r="H35" s="14">
        <f>+SUM('1:30'!H35)</f>
        <v>0.6</v>
      </c>
      <c r="I35" s="14">
        <f>+SUM('1:30'!I35)</f>
        <v>5.6</v>
      </c>
      <c r="J35" s="14">
        <f>+SUM('1:30'!J35)</f>
        <v>0</v>
      </c>
      <c r="K35" s="146">
        <f t="shared" si="0"/>
        <v>3082.24</v>
      </c>
      <c r="L35" s="146">
        <f t="shared" si="1"/>
        <v>3082.24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16.571182795698924</v>
      </c>
      <c r="Q35" s="14">
        <f>+SUM('1:30'!Q35)</f>
        <v>6</v>
      </c>
      <c r="R35" s="19">
        <f t="shared" si="3"/>
        <v>0</v>
      </c>
      <c r="S35" s="146">
        <f t="shared" si="4"/>
        <v>-16.571182795698924</v>
      </c>
      <c r="T35" s="20">
        <v>3</v>
      </c>
      <c r="U35" s="20"/>
      <c r="V35" s="143">
        <f t="array" ref="V35">IF(ISERROR(L35/K35),"",L35/K35)</f>
        <v>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4">
        <f>+SUM('1:30'!G36)</f>
        <v>2.4</v>
      </c>
      <c r="H36" s="14">
        <f>+SUM('1:30'!H36)</f>
        <v>0.4</v>
      </c>
      <c r="I36" s="14">
        <f>+SUM('1:30'!I36)</f>
        <v>2.4</v>
      </c>
      <c r="J36" s="14">
        <f>+SUM('1:30'!J36)</f>
        <v>0</v>
      </c>
      <c r="K36" s="146">
        <f t="shared" si="0"/>
        <v>1320.9599999999998</v>
      </c>
      <c r="L36" s="146">
        <f t="shared" si="1"/>
        <v>1320.9599999999998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7.1019354838709674</v>
      </c>
      <c r="Q36" s="14">
        <f>+SUM('1:30'!Q36)</f>
        <v>3</v>
      </c>
      <c r="R36" s="19">
        <f t="shared" si="3"/>
        <v>0</v>
      </c>
      <c r="S36" s="146">
        <f t="shared" si="4"/>
        <v>-7.1019354838709674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4">
        <f>+SUM('1:30'!G42)</f>
        <v>8.7200000000000006</v>
      </c>
      <c r="H42" s="14">
        <f>+SUM('1:30'!H42)</f>
        <v>0.72</v>
      </c>
      <c r="I42" s="14">
        <f>+SUM('1:30'!I42)</f>
        <v>8.7199999999999989</v>
      </c>
      <c r="J42" s="14">
        <f>+SUM('1:30'!J42)</f>
        <v>250</v>
      </c>
      <c r="K42" s="146">
        <f t="shared" si="0"/>
        <v>3199.6296000000002</v>
      </c>
      <c r="L42" s="146">
        <f t="shared" si="1"/>
        <v>3199.6295999999998</v>
      </c>
      <c r="M42" s="146">
        <v>366.93</v>
      </c>
      <c r="N42" s="146">
        <f>+M42*1000/(35.8*10*13*60)*T42</f>
        <v>2.6280618822518265</v>
      </c>
      <c r="O42" s="14">
        <f>+SUM('1:30'!O42)</f>
        <v>0.5</v>
      </c>
      <c r="P42" s="146">
        <f t="shared" si="2"/>
        <v>22.916699613235924</v>
      </c>
      <c r="Q42" s="14">
        <f>+SUM('1:30'!Q42)</f>
        <v>9.5</v>
      </c>
      <c r="R42" s="19">
        <f t="shared" si="3"/>
        <v>0</v>
      </c>
      <c r="S42" s="146">
        <f t="shared" si="4"/>
        <v>-22.916699613235924</v>
      </c>
      <c r="T42" s="20">
        <v>2</v>
      </c>
      <c r="U42" s="20"/>
      <c r="V42" s="143">
        <f t="array" ref="V42">IF(ISERROR(L42/K42),"",L42/K42)</f>
        <v>0.99999999999999989</v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4">
        <f>+SUM('1:30'!G43)</f>
        <v>10.24</v>
      </c>
      <c r="H43" s="14">
        <f>+SUM('1:30'!H43)</f>
        <v>0.2</v>
      </c>
      <c r="I43" s="14">
        <f>+SUM('1:30'!I43)</f>
        <v>10.24</v>
      </c>
      <c r="J43" s="14">
        <f>+SUM('1:30'!J43)</f>
        <v>240</v>
      </c>
      <c r="K43" s="146">
        <f t="shared" si="0"/>
        <v>3757.3632000000002</v>
      </c>
      <c r="L43" s="146">
        <f t="shared" si="1"/>
        <v>3757.3632000000002</v>
      </c>
      <c r="M43" s="146">
        <v>366.93</v>
      </c>
      <c r="N43" s="146">
        <f>+M43*1000/(35.8*10*13*60)*T43</f>
        <v>2.6280618822518265</v>
      </c>
      <c r="O43" s="14">
        <f>+SUM('1:30'!O43)</f>
        <v>0.5</v>
      </c>
      <c r="P43" s="146">
        <f t="shared" si="2"/>
        <v>26.911353674258702</v>
      </c>
      <c r="Q43" s="14">
        <f>+SUM('1:30'!Q43)</f>
        <v>13</v>
      </c>
      <c r="R43" s="19">
        <f t="shared" si="3"/>
        <v>0</v>
      </c>
      <c r="S43" s="146">
        <f t="shared" si="4"/>
        <v>-26.911353674258702</v>
      </c>
      <c r="T43" s="20">
        <v>2</v>
      </c>
      <c r="U43" s="20"/>
      <c r="V43" s="143">
        <f t="array" ref="V43">IF(ISERROR(L43/K43),"",L43/K43)</f>
        <v>1</v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4">
        <f>+SUM('1:30'!G46)</f>
        <v>4</v>
      </c>
      <c r="H46" s="14">
        <f>+SUM('1:30'!H46)</f>
        <v>0</v>
      </c>
      <c r="I46" s="14">
        <f>+SUM('1:30'!I46)</f>
        <v>4</v>
      </c>
      <c r="J46" s="14">
        <f>+SUM('1:30'!J46)</f>
        <v>0</v>
      </c>
      <c r="K46" s="146">
        <f t="shared" si="0"/>
        <v>1542.4</v>
      </c>
      <c r="L46" s="146">
        <f t="shared" si="1"/>
        <v>1542.4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10.120734908136482</v>
      </c>
      <c r="Q46" s="14">
        <f>+SUM('1:30'!Q46)</f>
        <v>6</v>
      </c>
      <c r="R46" s="19">
        <f t="shared" si="3"/>
        <v>0</v>
      </c>
      <c r="S46" s="146">
        <f t="shared" si="4"/>
        <v>-10.120734908136482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4">
        <f>+SUM('1:30'!G47)</f>
        <v>3</v>
      </c>
      <c r="H47" s="14">
        <f>+SUM('1:30'!H47)</f>
        <v>0</v>
      </c>
      <c r="I47" s="14">
        <f>+SUM('1:30'!I47)</f>
        <v>3</v>
      </c>
      <c r="J47" s="14">
        <f>+SUM('1:30'!J47)</f>
        <v>0</v>
      </c>
      <c r="K47" s="146">
        <f t="shared" si="0"/>
        <v>1156.8000000000002</v>
      </c>
      <c r="L47" s="146">
        <f t="shared" si="1"/>
        <v>1156.8000000000002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7.5905511811023612</v>
      </c>
      <c r="Q47" s="14">
        <f>+SUM('1:30'!Q47)</f>
        <v>5</v>
      </c>
      <c r="R47" s="19">
        <f t="shared" si="3"/>
        <v>0</v>
      </c>
      <c r="S47" s="146">
        <f t="shared" si="4"/>
        <v>-7.5905511811023612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4">
        <f>+SUM('1:30'!G48)</f>
        <v>5</v>
      </c>
      <c r="H48" s="14">
        <f>+SUM('1:30'!H48)</f>
        <v>0</v>
      </c>
      <c r="I48" s="14">
        <f>+SUM('1:30'!I48)</f>
        <v>5</v>
      </c>
      <c r="J48" s="14">
        <f>+SUM('1:30'!J48)</f>
        <v>0</v>
      </c>
      <c r="K48" s="146">
        <f t="shared" si="0"/>
        <v>1928</v>
      </c>
      <c r="L48" s="146">
        <f t="shared" si="1"/>
        <v>1928</v>
      </c>
      <c r="M48" s="146">
        <v>385.6</v>
      </c>
      <c r="N48" s="146">
        <f>+M48*1000/(25.4*20*15*60)*T48</f>
        <v>2.5301837270341205</v>
      </c>
      <c r="O48" s="14">
        <f>+SUM('1:30'!O48)</f>
        <v>0.5</v>
      </c>
      <c r="P48" s="146">
        <f t="shared" si="2"/>
        <v>12.650918635170603</v>
      </c>
      <c r="Q48" s="14">
        <f>+SUM('1:30'!Q48)</f>
        <v>6</v>
      </c>
      <c r="R48" s="19">
        <f t="shared" si="3"/>
        <v>0</v>
      </c>
      <c r="S48" s="146">
        <f t="shared" si="4"/>
        <v>-12.650918635170603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4">
        <f>+SUM('1:30'!G49)</f>
        <v>2.4300000000000002</v>
      </c>
      <c r="H49" s="14">
        <f>+SUM('1:30'!H49)</f>
        <v>0.42857142857142855</v>
      </c>
      <c r="I49" s="14">
        <f>+SUM('1:30'!I49)</f>
        <v>2.4285714285714284</v>
      </c>
      <c r="J49" s="14">
        <f>+SUM('1:30'!J49)</f>
        <v>0</v>
      </c>
      <c r="K49" s="146">
        <f t="shared" si="0"/>
        <v>937.00800000000015</v>
      </c>
      <c r="L49" s="146">
        <f t="shared" si="1"/>
        <v>936.4571428571428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6.1447319085114351</v>
      </c>
      <c r="Q49" s="14">
        <f>+SUM('1:30'!Q49)</f>
        <v>4</v>
      </c>
      <c r="R49" s="19">
        <f t="shared" si="3"/>
        <v>0</v>
      </c>
      <c r="S49" s="146">
        <f t="shared" si="4"/>
        <v>-6.1447319085114351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4">
        <f>+SUM('1:30'!G54)</f>
        <v>6</v>
      </c>
      <c r="H54" s="14">
        <f>+SUM('1:30'!H54)</f>
        <v>0</v>
      </c>
      <c r="I54" s="14">
        <f>+SUM('1:30'!I54)</f>
        <v>5.88</v>
      </c>
      <c r="J54" s="14">
        <f>+SUM('1:30'!J54)</f>
        <v>60</v>
      </c>
      <c r="K54" s="146">
        <f t="shared" si="0"/>
        <v>3275.3999999999996</v>
      </c>
      <c r="L54" s="146">
        <f t="shared" si="1"/>
        <v>3209.8919999999998</v>
      </c>
      <c r="M54" s="146">
        <v>545.9</v>
      </c>
      <c r="N54" s="146">
        <f>+M54*1000/(41.5*10*16*60)*T54</f>
        <v>2.7404618473895583</v>
      </c>
      <c r="O54" s="14">
        <f>+SUM('1:30'!O54)</f>
        <v>0.5</v>
      </c>
      <c r="P54" s="146">
        <f t="shared" si="2"/>
        <v>16.113915662650601</v>
      </c>
      <c r="Q54" s="14">
        <f>+SUM('1:30'!Q54)</f>
        <v>6</v>
      </c>
      <c r="R54" s="19">
        <f t="shared" si="3"/>
        <v>0</v>
      </c>
      <c r="S54" s="146">
        <f t="shared" si="4"/>
        <v>-16.113915662650601</v>
      </c>
      <c r="T54" s="22">
        <v>2</v>
      </c>
      <c r="U54" s="20"/>
      <c r="V54" s="143">
        <f t="array" ref="V54">IF(ISERROR(L54/K54),"",L54/K54)</f>
        <v>0.98000000000000009</v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4">
        <f>+SUM('1:30'!G55)</f>
        <v>4.9000000000000004</v>
      </c>
      <c r="H55" s="14">
        <f>+SUM('1:30'!H55)</f>
        <v>0.9</v>
      </c>
      <c r="I55" s="14">
        <f>+SUM('1:30'!I55)</f>
        <v>4.9000000000000004</v>
      </c>
      <c r="J55" s="14">
        <f>+SUM('1:30'!J55)</f>
        <v>0</v>
      </c>
      <c r="K55" s="146">
        <f t="shared" si="0"/>
        <v>2674.9100000000003</v>
      </c>
      <c r="L55" s="146">
        <f t="shared" si="1"/>
        <v>2674.9100000000003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13.428263052208838</v>
      </c>
      <c r="Q55" s="14">
        <f>+SUM('1:30'!Q55)</f>
        <v>8</v>
      </c>
      <c r="R55" s="19">
        <f t="shared" si="3"/>
        <v>0</v>
      </c>
      <c r="S55" s="146">
        <f t="shared" si="4"/>
        <v>-13.428263052208838</v>
      </c>
      <c r="T55" s="20">
        <v>2</v>
      </c>
      <c r="U55" s="20"/>
      <c r="V55" s="143">
        <f t="array" ref="V55">IF(ISERROR(L55/K55),"",L55/K55)</f>
        <v>1</v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4">
        <f>+SUM('1:30'!G56)</f>
        <v>9</v>
      </c>
      <c r="H56" s="14">
        <f>+SUM('1:30'!H56)</f>
        <v>0.3</v>
      </c>
      <c r="I56" s="14">
        <f>+SUM('1:30'!I56)</f>
        <v>8.9</v>
      </c>
      <c r="J56" s="14">
        <f>+SUM('1:30'!J56)</f>
        <v>200</v>
      </c>
      <c r="K56" s="146">
        <f t="shared" si="0"/>
        <v>4913.0999999999995</v>
      </c>
      <c r="L56" s="146">
        <f t="shared" si="1"/>
        <v>4858.51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24.390110441767071</v>
      </c>
      <c r="Q56" s="14">
        <f>+SUM('1:30'!Q56)</f>
        <v>11</v>
      </c>
      <c r="R56" s="19">
        <f t="shared" si="3"/>
        <v>0</v>
      </c>
      <c r="S56" s="146">
        <f t="shared" si="4"/>
        <v>-24.390110441767071</v>
      </c>
      <c r="T56" s="20">
        <v>2</v>
      </c>
      <c r="U56" s="20"/>
      <c r="V56" s="143">
        <f t="array" ref="V56">IF(ISERROR(L56/K56),"",L56/K56)</f>
        <v>0.98888888888888904</v>
      </c>
      <c r="W56" s="14">
        <f>+SUM('1:30'!W56)</f>
        <v>0</v>
      </c>
      <c r="X56" s="14">
        <f>+SUM('1:30'!X56)</f>
        <v>1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4">
        <f>+SUM('1:30'!G57)</f>
        <v>12.4</v>
      </c>
      <c r="H57" s="14">
        <f>+SUM('1:30'!H57)</f>
        <v>0</v>
      </c>
      <c r="I57" s="14">
        <f>+SUM('1:30'!I57)</f>
        <v>12.100000000000001</v>
      </c>
      <c r="J57" s="14">
        <f>+SUM('1:30'!J57)</f>
        <v>450</v>
      </c>
      <c r="K57" s="15">
        <f t="shared" si="0"/>
        <v>6769.16</v>
      </c>
      <c r="L57" s="15">
        <f t="shared" si="1"/>
        <v>6605.39</v>
      </c>
      <c r="M57" s="15">
        <v>545.9</v>
      </c>
      <c r="N57" s="15">
        <f>+M57*1000/(41.5*10*16*60)*T57</f>
        <v>2.7404618473895583</v>
      </c>
      <c r="O57" s="14">
        <f>+SUM('1:30'!O57)</f>
        <v>1</v>
      </c>
      <c r="P57" s="15">
        <f t="shared" si="2"/>
        <v>33.15958835341366</v>
      </c>
      <c r="Q57" s="14">
        <f>+SUM('1:30'!Q57)</f>
        <v>14.5</v>
      </c>
      <c r="R57" s="129">
        <f t="shared" si="3"/>
        <v>0</v>
      </c>
      <c r="S57" s="15">
        <f t="shared" si="4"/>
        <v>-33.15958835341366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4">
        <f>+SUM('1:30'!G61)</f>
        <v>4</v>
      </c>
      <c r="H61" s="14">
        <f>+SUM('1:30'!H61)</f>
        <v>0.42857142857142855</v>
      </c>
      <c r="I61" s="14">
        <f>+SUM('1:30'!I61)</f>
        <v>3.4285714285714284</v>
      </c>
      <c r="J61" s="14">
        <f>+SUM('1:30'!J61)</f>
        <v>0</v>
      </c>
      <c r="K61" s="146">
        <f t="shared" si="0"/>
        <v>1719.2</v>
      </c>
      <c r="L61" s="146">
        <f t="shared" si="1"/>
        <v>1473.6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12.594871794871795</v>
      </c>
      <c r="Q61" s="14">
        <f>+SUM('1:30'!Q61)</f>
        <v>5</v>
      </c>
      <c r="R61" s="19">
        <f t="shared" si="3"/>
        <v>0</v>
      </c>
      <c r="S61" s="146">
        <f t="shared" si="4"/>
        <v>-12.594871794871795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256" t="s">
        <v>316</v>
      </c>
      <c r="D75" s="256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4">
        <f>+SUM('1:30'!G76)</f>
        <v>18.25</v>
      </c>
      <c r="H76" s="14">
        <f>+SUM('1:30'!H76)</f>
        <v>0.125</v>
      </c>
      <c r="I76" s="14">
        <f>+SUM('1:30'!I76)</f>
        <v>18.25</v>
      </c>
      <c r="J76" s="14">
        <f>+SUM('1:30'!J76)</f>
        <v>350</v>
      </c>
      <c r="K76" s="146">
        <f t="shared" si="0"/>
        <v>7635.7999999999993</v>
      </c>
      <c r="L76" s="146">
        <f t="shared" si="1"/>
        <v>7635.7999999999993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90.740344622697563</v>
      </c>
      <c r="Q76" s="14">
        <f>+SUM('1:30'!Q76)</f>
        <v>19</v>
      </c>
      <c r="R76" s="19">
        <f t="shared" si="3"/>
        <v>0</v>
      </c>
      <c r="S76" s="146">
        <f t="shared" si="4"/>
        <v>-90.740344622697563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256" t="s">
        <v>317</v>
      </c>
      <c r="D78" s="256" t="s">
        <v>96</v>
      </c>
      <c r="E78" s="148" t="s">
        <v>57</v>
      </c>
      <c r="F78" s="13"/>
      <c r="G78" s="14">
        <f>+SUM('1:30'!G78)</f>
        <v>25.130000000000003</v>
      </c>
      <c r="H78" s="14">
        <f>+SUM('1:30'!H78)</f>
        <v>0</v>
      </c>
      <c r="I78" s="14">
        <f>+SUM('1:30'!I78)</f>
        <v>25.125</v>
      </c>
      <c r="J78" s="14">
        <f>+SUM('1:30'!J78)</f>
        <v>350</v>
      </c>
      <c r="K78" s="146">
        <f t="shared" si="7"/>
        <v>10476.697</v>
      </c>
      <c r="L78" s="146">
        <f t="shared" si="8"/>
        <v>10474.612499999999</v>
      </c>
      <c r="M78" s="146">
        <v>416.9</v>
      </c>
      <c r="N78" s="146">
        <f>+M78*1000/(51*1*110*60)*T78</f>
        <v>4.9542483660130721</v>
      </c>
      <c r="O78" s="14">
        <f>+SUM('1:30'!O78)</f>
        <v>0.5</v>
      </c>
      <c r="P78" s="146">
        <f t="shared" si="9"/>
        <v>124.47549019607844</v>
      </c>
      <c r="Q78" s="14">
        <f>+SUM('1:30'!Q78)</f>
        <v>21</v>
      </c>
      <c r="R78" s="19">
        <f t="shared" si="10"/>
        <v>0</v>
      </c>
      <c r="S78" s="146">
        <f t="shared" si="11"/>
        <v>-124.47549019607844</v>
      </c>
      <c r="T78" s="20">
        <v>4</v>
      </c>
      <c r="U78" s="20"/>
      <c r="V78" s="143">
        <f t="array" ref="V78">IF(ISERROR(L78/K78),"",L78/K78)</f>
        <v>0.99980103461997605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4">
        <f>+SUM('1:30'!G79)</f>
        <v>9</v>
      </c>
      <c r="H79" s="14">
        <f>+SUM('1:30'!H79)</f>
        <v>0</v>
      </c>
      <c r="I79" s="14">
        <f>+SUM('1:30'!I79)</f>
        <v>9</v>
      </c>
      <c r="J79" s="14">
        <f>+SUM('1:30'!J79)</f>
        <v>0</v>
      </c>
      <c r="K79" s="146">
        <f t="shared" si="7"/>
        <v>3945.6</v>
      </c>
      <c r="L79" s="146">
        <f t="shared" si="8"/>
        <v>3945.6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43.84</v>
      </c>
      <c r="Q79" s="14">
        <f>+SUM('1:30'!Q79)</f>
        <v>11</v>
      </c>
      <c r="R79" s="19">
        <f t="shared" si="10"/>
        <v>0</v>
      </c>
      <c r="S79" s="146">
        <f t="shared" si="11"/>
        <v>-43.84</v>
      </c>
      <c r="T79" s="20">
        <v>4</v>
      </c>
      <c r="U79" s="20"/>
      <c r="V79" s="143">
        <f t="array" ref="V79">IF(ISERROR(L79/K79),"",L79/K79)</f>
        <v>1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4">
        <f>+SUM('1:30'!G80)</f>
        <v>10</v>
      </c>
      <c r="H80" s="14">
        <f>+SUM('1:30'!H80)</f>
        <v>0</v>
      </c>
      <c r="I80" s="14">
        <f>+SUM('1:30'!I80)</f>
        <v>10</v>
      </c>
      <c r="J80" s="14">
        <f>+SUM('1:30'!J80)</f>
        <v>0</v>
      </c>
      <c r="K80" s="146">
        <f t="shared" si="7"/>
        <v>4388</v>
      </c>
      <c r="L80" s="146">
        <f t="shared" si="8"/>
        <v>4388</v>
      </c>
      <c r="M80" s="146">
        <v>438.8</v>
      </c>
      <c r="N80" s="146">
        <f>+M80*1000/(50*1*120*60)*T80</f>
        <v>4.8755555555555556</v>
      </c>
      <c r="O80" s="14">
        <f>+SUM('1:30'!O80)</f>
        <v>0.5</v>
      </c>
      <c r="P80" s="146">
        <f t="shared" si="9"/>
        <v>48.75555555555556</v>
      </c>
      <c r="Q80" s="14">
        <f>+SUM('1:30'!Q80)</f>
        <v>12</v>
      </c>
      <c r="R80" s="19">
        <f t="shared" si="10"/>
        <v>0</v>
      </c>
      <c r="S80" s="146">
        <f t="shared" si="11"/>
        <v>-48.75555555555556</v>
      </c>
      <c r="T80" s="20">
        <v>4</v>
      </c>
      <c r="U80" s="142"/>
      <c r="V80" s="143">
        <f t="array" ref="V80">IF(ISERROR(L80/K80),"",L80/K80)</f>
        <v>1</v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4">
        <f>+SUM('1:30'!G98)</f>
        <v>2.5</v>
      </c>
      <c r="H98" s="14">
        <f>+SUM('1:30'!H98)</f>
        <v>0</v>
      </c>
      <c r="I98" s="14">
        <f>+SUM('1:30'!I98)</f>
        <v>2.5</v>
      </c>
      <c r="J98" s="14">
        <f>+SUM('1:30'!J98)</f>
        <v>300</v>
      </c>
      <c r="K98" s="146">
        <f t="shared" si="7"/>
        <v>1544.5</v>
      </c>
      <c r="L98" s="146">
        <f t="shared" si="8"/>
        <v>1544.5</v>
      </c>
      <c r="M98" s="146">
        <v>617.79999999999995</v>
      </c>
      <c r="N98" s="146">
        <f>+M98*1000/(123*1*80*60)*T98</f>
        <v>3.1392276422764223</v>
      </c>
      <c r="O98" s="14">
        <f>+SUM('1:30'!O98)</f>
        <v>0.5</v>
      </c>
      <c r="P98" s="146">
        <f t="shared" si="9"/>
        <v>7.8480691056910556</v>
      </c>
      <c r="Q98" s="14">
        <f>+SUM('1:30'!Q98)</f>
        <v>2.5</v>
      </c>
      <c r="R98" s="19">
        <f t="shared" si="10"/>
        <v>0</v>
      </c>
      <c r="S98" s="146">
        <f t="shared" si="11"/>
        <v>-7.8480691056910556</v>
      </c>
      <c r="T98" s="20">
        <v>3</v>
      </c>
      <c r="U98" s="20"/>
      <c r="V98" s="143">
        <f t="array" ref="V98">IF(ISERROR(L98/K98),"",L98/K98)</f>
        <v>1</v>
      </c>
      <c r="W98" s="14">
        <f>+SUM('1:30'!W98)</f>
        <v>0</v>
      </c>
      <c r="X98" s="14">
        <f>+SUM('1:30'!X98)</f>
        <v>4.166666666666667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256" t="s">
        <v>318</v>
      </c>
      <c r="D99" s="256" t="s">
        <v>96</v>
      </c>
      <c r="E99" s="148" t="s">
        <v>42</v>
      </c>
      <c r="F99" s="13"/>
      <c r="G99" s="14">
        <f>+SUM('1:30'!G99)</f>
        <v>14</v>
      </c>
      <c r="H99" s="14">
        <f>+SUM('1:30'!H99)</f>
        <v>0.875</v>
      </c>
      <c r="I99" s="14">
        <f>+SUM('1:30'!I99)</f>
        <v>13.875</v>
      </c>
      <c r="J99" s="14">
        <f>+SUM('1:30'!J99)</f>
        <v>0</v>
      </c>
      <c r="K99" s="146">
        <f t="shared" si="7"/>
        <v>8660.4</v>
      </c>
      <c r="L99" s="146">
        <f t="shared" si="8"/>
        <v>8583.0750000000007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43.261466733870968</v>
      </c>
      <c r="Q99" s="14">
        <f>+SUM('1:30'!Q99)</f>
        <v>12</v>
      </c>
      <c r="R99" s="19">
        <f t="shared" si="10"/>
        <v>0</v>
      </c>
      <c r="S99" s="146">
        <f t="shared" si="11"/>
        <v>-43.261466733870968</v>
      </c>
      <c r="T99" s="20">
        <v>3</v>
      </c>
      <c r="U99" s="20"/>
      <c r="V99" s="143">
        <f t="array" ref="V99">IF(ISERROR(L99/K99),"",L99/K99)</f>
        <v>0.99107142857142871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256" t="s">
        <v>112</v>
      </c>
      <c r="D101" s="256" t="s">
        <v>113</v>
      </c>
      <c r="E101" s="148" t="s">
        <v>41</v>
      </c>
      <c r="F101" s="13"/>
      <c r="G101" s="14">
        <f>+SUM('1:30'!G101)</f>
        <v>7.25</v>
      </c>
      <c r="H101" s="14">
        <f>+SUM('1:30'!H101)</f>
        <v>0</v>
      </c>
      <c r="I101" s="14">
        <f>+SUM('1:30'!I101)</f>
        <v>7.25</v>
      </c>
      <c r="J101" s="14">
        <f>+SUM('1:30'!J101)</f>
        <v>450</v>
      </c>
      <c r="K101" s="146">
        <f t="shared" si="7"/>
        <v>4504.4249999999993</v>
      </c>
      <c r="L101" s="146">
        <f t="shared" si="8"/>
        <v>4504.4249999999993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28.763888888888889</v>
      </c>
      <c r="Q101" s="14">
        <f>+SUM('1:30'!Q101)</f>
        <v>17</v>
      </c>
      <c r="R101" s="19">
        <f t="shared" si="10"/>
        <v>0</v>
      </c>
      <c r="S101" s="146">
        <f t="shared" si="11"/>
        <v>-28.763888888888889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4">
        <f>+SUM('1:30'!G103)</f>
        <v>8</v>
      </c>
      <c r="H103" s="14">
        <f>+SUM('1:30'!H103)</f>
        <v>0</v>
      </c>
      <c r="I103" s="14">
        <f>+SUM('1:30'!I103)</f>
        <v>8</v>
      </c>
      <c r="J103" s="14">
        <f>+SUM('1:30'!J103)</f>
        <v>0</v>
      </c>
      <c r="K103" s="146">
        <f t="shared" si="7"/>
        <v>4192.8</v>
      </c>
      <c r="L103" s="146">
        <f t="shared" si="8"/>
        <v>4192.8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26.773946360153257</v>
      </c>
      <c r="Q103" s="14">
        <f>+SUM('1:30'!Q103)</f>
        <v>7.5</v>
      </c>
      <c r="R103" s="19">
        <f t="shared" si="10"/>
        <v>0</v>
      </c>
      <c r="S103" s="146">
        <f t="shared" si="11"/>
        <v>-26.773946360153257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4">
        <f>+SUM('1:30'!G105)</f>
        <v>11.6</v>
      </c>
      <c r="H105" s="14">
        <f>+SUM('1:30'!H105)</f>
        <v>0.6</v>
      </c>
      <c r="I105" s="14">
        <f>+SUM('1:30'!I105)</f>
        <v>11.6</v>
      </c>
      <c r="J105" s="14">
        <f>+SUM('1:30'!J105)</f>
        <v>0</v>
      </c>
      <c r="K105" s="146">
        <f t="shared" si="7"/>
        <v>6079.56</v>
      </c>
      <c r="L105" s="146">
        <f t="shared" si="8"/>
        <v>6079.56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38.822222222222223</v>
      </c>
      <c r="Q105" s="14">
        <f>+SUM('1:30'!Q105)</f>
        <v>11</v>
      </c>
      <c r="R105" s="19">
        <f t="shared" si="10"/>
        <v>0</v>
      </c>
      <c r="S105" s="146">
        <f t="shared" si="11"/>
        <v>-38.822222222222223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4">
        <f>+SUM('1:30'!G106)</f>
        <v>9</v>
      </c>
      <c r="H106" s="14">
        <f>+SUM('1:30'!H106)</f>
        <v>0</v>
      </c>
      <c r="I106" s="14">
        <f>+SUM('1:30'!I106)</f>
        <v>9</v>
      </c>
      <c r="J106" s="14">
        <f>+SUM('1:30'!J106)</f>
        <v>0</v>
      </c>
      <c r="K106" s="28">
        <f t="shared" si="7"/>
        <v>3756.6</v>
      </c>
      <c r="L106" s="28">
        <f t="shared" si="8"/>
        <v>3756.6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35.982758620689658</v>
      </c>
      <c r="Q106" s="14">
        <f>+SUM('1:30'!Q106)</f>
        <v>7</v>
      </c>
      <c r="R106" s="29">
        <f t="shared" si="10"/>
        <v>0</v>
      </c>
      <c r="S106" s="28">
        <f t="shared" si="11"/>
        <v>-35.982758620689658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70" t="s">
        <v>305</v>
      </c>
      <c r="D108" s="271"/>
      <c r="E108" s="24" t="s">
        <v>306</v>
      </c>
      <c r="F108" s="25"/>
      <c r="G108" s="14">
        <f>+SUM('1:30'!G108)</f>
        <v>8</v>
      </c>
      <c r="H108" s="14">
        <f>+SUM('1:30'!H108)</f>
        <v>0</v>
      </c>
      <c r="I108" s="14">
        <f>+SUM('1:30'!I108)</f>
        <v>7.666666666666667</v>
      </c>
      <c r="J108" s="14">
        <f>+SUM('1:30'!J108)</f>
        <v>800</v>
      </c>
      <c r="K108" s="28">
        <f t="shared" si="7"/>
        <v>5030.3999999999996</v>
      </c>
      <c r="L108" s="28">
        <f t="shared" si="8"/>
        <v>4820.8</v>
      </c>
      <c r="M108" s="28">
        <v>628.79999999999995</v>
      </c>
      <c r="N108" s="28">
        <f>+M108*1000/(87*1*80*60)*T108</f>
        <v>6.0229885057471266</v>
      </c>
      <c r="O108" s="14">
        <f>+SUM('1:30'!O108)</f>
        <v>1</v>
      </c>
      <c r="P108" s="28">
        <f t="shared" si="9"/>
        <v>46.17624521072797</v>
      </c>
      <c r="Q108" s="14">
        <f>+SUM('1:30'!Q108)</f>
        <v>15</v>
      </c>
      <c r="R108" s="29">
        <f t="shared" si="10"/>
        <v>0</v>
      </c>
      <c r="S108" s="28">
        <f t="shared" si="11"/>
        <v>-46.17624521072797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70" t="s">
        <v>305</v>
      </c>
      <c r="D109" s="271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70" t="s">
        <v>305</v>
      </c>
      <c r="D110" s="271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4">
        <f>+SUM('1:30'!G113)</f>
        <v>13.6</v>
      </c>
      <c r="H113" s="14">
        <f>+SUM('1:30'!H113)</f>
        <v>0.6</v>
      </c>
      <c r="I113" s="14">
        <f>+SUM('1:30'!I113)</f>
        <v>13.1</v>
      </c>
      <c r="J113" s="14">
        <f>+SUM('1:30'!J113)</f>
        <v>150</v>
      </c>
      <c r="K113" s="146">
        <f t="shared" si="7"/>
        <v>6529.768</v>
      </c>
      <c r="L113" s="146">
        <f t="shared" si="8"/>
        <v>6289.7029999999995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34.528453008344314</v>
      </c>
      <c r="Q113" s="14">
        <f>+SUM('1:30'!Q113)</f>
        <v>14</v>
      </c>
      <c r="R113" s="19">
        <f t="shared" si="10"/>
        <v>0</v>
      </c>
      <c r="S113" s="146">
        <f t="shared" si="11"/>
        <v>-34.528453008344314</v>
      </c>
      <c r="T113" s="20">
        <v>2</v>
      </c>
      <c r="U113" s="20"/>
      <c r="V113" s="143">
        <f t="array" ref="V113">IF(ISERROR(L113/K113),"",L113/K113)</f>
        <v>0.96323529411764697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4">
        <f>+SUM('1:30'!G115)</f>
        <v>13.27</v>
      </c>
      <c r="H115" s="14">
        <f>+SUM('1:30'!H115)</f>
        <v>0.26666666666666666</v>
      </c>
      <c r="I115" s="14">
        <f>+SUM('1:30'!I115)</f>
        <v>12.333333333333332</v>
      </c>
      <c r="J115" s="14">
        <f>+SUM('1:30'!J115)</f>
        <v>280</v>
      </c>
      <c r="K115" s="146">
        <f t="shared" si="7"/>
        <v>6371.3251</v>
      </c>
      <c r="L115" s="146">
        <f t="shared" si="8"/>
        <v>5921.6033333333326</v>
      </c>
      <c r="M115" s="146">
        <v>480.13</v>
      </c>
      <c r="N115" s="146">
        <f>+M115*1000/(126.5*4*12*60)*T115</f>
        <v>2.6357597716293371</v>
      </c>
      <c r="O115" s="14">
        <f>+SUM('1:30'!O115)</f>
        <v>0.5</v>
      </c>
      <c r="P115" s="146">
        <f t="shared" si="9"/>
        <v>32.507703850095155</v>
      </c>
      <c r="Q115" s="14">
        <f>+SUM('1:30'!Q115)</f>
        <v>13</v>
      </c>
      <c r="R115" s="19">
        <f t="shared" si="10"/>
        <v>0</v>
      </c>
      <c r="S115" s="146">
        <f t="shared" si="11"/>
        <v>-32.507703850095155</v>
      </c>
      <c r="T115" s="20">
        <v>2</v>
      </c>
      <c r="U115" s="20"/>
      <c r="V115" s="143">
        <f t="array" ref="V115">IF(ISERROR(L115/K115),"",L115/K115)</f>
        <v>0.9294147199196181</v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2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4">
        <f>+SUM('1:30'!G137)</f>
        <v>22.09</v>
      </c>
      <c r="H137" s="14">
        <f>+SUM('1:30'!H137)</f>
        <v>1.0833333333333333</v>
      </c>
      <c r="I137" s="14">
        <f>+SUM('1:30'!I137)</f>
        <v>22.083333333333332</v>
      </c>
      <c r="J137" s="14">
        <f>+SUM('1:30'!J137)</f>
        <v>0</v>
      </c>
      <c r="K137" s="146">
        <f t="shared" si="7"/>
        <v>8710.0869999999995</v>
      </c>
      <c r="L137" s="146">
        <f t="shared" si="8"/>
        <v>8707.4583333333339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139.27476540840266</v>
      </c>
      <c r="Q137" s="14">
        <f>+SUM('1:30'!Q137)</f>
        <v>26.5</v>
      </c>
      <c r="R137" s="19">
        <f t="shared" si="10"/>
        <v>0</v>
      </c>
      <c r="S137" s="146">
        <f t="shared" si="11"/>
        <v>-139.27476540840266</v>
      </c>
      <c r="T137" s="20">
        <v>6</v>
      </c>
      <c r="U137" s="20"/>
      <c r="V137" s="143">
        <f t="array" ref="V137">IF(ISERROR(L137/K137),"",L137/K137)</f>
        <v>0.99969820431567846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4">
        <f>+SUM('1:30'!G138)</f>
        <v>3</v>
      </c>
      <c r="H138" s="14">
        <f>+SUM('1:30'!H138)</f>
        <v>0</v>
      </c>
      <c r="I138" s="14">
        <f>+SUM('1:30'!I138)</f>
        <v>2.8333333333333335</v>
      </c>
      <c r="J138" s="14">
        <f>+SUM('1:30'!J138)</f>
        <v>50</v>
      </c>
      <c r="K138" s="146">
        <f t="shared" si="7"/>
        <v>1140.3000000000002</v>
      </c>
      <c r="L138" s="146">
        <f t="shared" si="8"/>
        <v>1076.95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13.457568578055021</v>
      </c>
      <c r="Q138" s="14">
        <f>+SUM('1:30'!Q138)</f>
        <v>3</v>
      </c>
      <c r="R138" s="19">
        <f t="shared" si="10"/>
        <v>0</v>
      </c>
      <c r="S138" s="146">
        <f t="shared" si="11"/>
        <v>-13.457568578055021</v>
      </c>
      <c r="T138" s="20">
        <v>5</v>
      </c>
      <c r="U138" s="20"/>
      <c r="V138" s="143">
        <f t="array" ref="V138">IF(ISERROR(L138/K138),"",L138/K138)</f>
        <v>0.94444444444444431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2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4">
        <f>+SUM('1:30'!G139)</f>
        <v>12</v>
      </c>
      <c r="H139" s="14">
        <f>+SUM('1:30'!H139)</f>
        <v>0</v>
      </c>
      <c r="I139" s="14">
        <f>+SUM('1:30'!I139)</f>
        <v>12</v>
      </c>
      <c r="J139" s="14">
        <f>+SUM('1:30'!J139)</f>
        <v>0</v>
      </c>
      <c r="K139" s="146">
        <f t="shared" si="7"/>
        <v>4227.4800000000005</v>
      </c>
      <c r="L139" s="146">
        <f t="shared" si="8"/>
        <v>4227.4800000000005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52.826595489443378</v>
      </c>
      <c r="Q139" s="14">
        <f>+SUM('1:30'!Q139)</f>
        <v>12</v>
      </c>
      <c r="R139" s="19">
        <f t="shared" si="10"/>
        <v>0</v>
      </c>
      <c r="S139" s="146">
        <f t="shared" si="11"/>
        <v>-52.826595489443378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2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4">
        <f>+SUM('1:30'!G169)</f>
        <v>15.3</v>
      </c>
      <c r="H169" s="14">
        <f>+SUM('1:30'!H169)</f>
        <v>0.3</v>
      </c>
      <c r="I169" s="14">
        <f>+SUM('1:30'!I169)</f>
        <v>15.3</v>
      </c>
      <c r="J169" s="14">
        <f>+SUM('1:30'!J169)</f>
        <v>0</v>
      </c>
      <c r="K169" s="146">
        <f t="shared" si="15"/>
        <v>7968.24</v>
      </c>
      <c r="L169" s="146">
        <f t="shared" si="16"/>
        <v>7968.24</v>
      </c>
      <c r="M169" s="15">
        <v>520.79999999999995</v>
      </c>
      <c r="N169" s="146">
        <f>+M169*1000/(188*4*13*60)*T169</f>
        <v>5.3273322422258591</v>
      </c>
      <c r="O169" s="14">
        <f>+SUM('1:30'!O169)</f>
        <v>0.5</v>
      </c>
      <c r="P169" s="146">
        <f t="shared" si="17"/>
        <v>81.508183306055642</v>
      </c>
      <c r="Q169" s="14">
        <f>+SUM('1:30'!Q169)</f>
        <v>17</v>
      </c>
      <c r="R169" s="19">
        <f t="shared" si="18"/>
        <v>0</v>
      </c>
      <c r="S169" s="146">
        <f t="shared" si="19"/>
        <v>-81.508183306055642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2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4">
        <f>+SUM('1:30'!G170)</f>
        <v>9.4499999999999993</v>
      </c>
      <c r="H170" s="14">
        <f>+SUM('1:30'!H170)</f>
        <v>0.45</v>
      </c>
      <c r="I170" s="14">
        <f>+SUM('1:30'!I170)</f>
        <v>9.4499999999999993</v>
      </c>
      <c r="J170" s="14">
        <f>+SUM('1:30'!J170)</f>
        <v>0</v>
      </c>
      <c r="K170" s="146">
        <f t="shared" si="15"/>
        <v>5017.0049999999992</v>
      </c>
      <c r="L170" s="146">
        <f t="shared" si="16"/>
        <v>5017.0049999999992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42.766341039279872</v>
      </c>
      <c r="Q170" s="14">
        <f>+SUM('1:30'!Q170)</f>
        <v>9</v>
      </c>
      <c r="R170" s="19">
        <f t="shared" si="18"/>
        <v>0</v>
      </c>
      <c r="S170" s="146">
        <f t="shared" si="19"/>
        <v>-42.766341039279872</v>
      </c>
      <c r="T170" s="20">
        <v>5</v>
      </c>
      <c r="U170" s="20"/>
      <c r="V170" s="143">
        <f t="array" ref="V170">IF(ISERROR(L170/K170),"",L170/K170)</f>
        <v>1</v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67" t="s">
        <v>168</v>
      </c>
      <c r="D187" s="268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67" t="s">
        <v>168</v>
      </c>
      <c r="D190" s="268"/>
      <c r="E190" s="150" t="s">
        <v>66</v>
      </c>
      <c r="F190" s="27"/>
      <c r="G190" s="14">
        <f>+SUM('1:30'!G190)</f>
        <v>15</v>
      </c>
      <c r="H190" s="14">
        <f>+SUM('1:30'!H190)</f>
        <v>0</v>
      </c>
      <c r="I190" s="14">
        <f>+SUM('1:30'!I190)</f>
        <v>13.925000000000001</v>
      </c>
      <c r="J190" s="14">
        <f>+SUM('1:30'!J190)</f>
        <v>430</v>
      </c>
      <c r="K190" s="136">
        <f t="shared" si="15"/>
        <v>6570</v>
      </c>
      <c r="L190" s="146">
        <f t="shared" si="16"/>
        <v>6099.1500000000005</v>
      </c>
      <c r="M190" s="146">
        <v>438</v>
      </c>
      <c r="N190" s="15">
        <f>+M190*1000/(110*4*18*60)*T190</f>
        <v>4.6085858585858581</v>
      </c>
      <c r="O190" s="14">
        <f>+SUM('1:30'!O190)</f>
        <v>0.5</v>
      </c>
      <c r="P190" s="146">
        <f t="shared" si="17"/>
        <v>64.174558080808083</v>
      </c>
      <c r="Q190" s="14">
        <f>+SUM('1:30'!Q190)</f>
        <v>12.5</v>
      </c>
      <c r="R190" s="19">
        <f t="shared" si="18"/>
        <v>0</v>
      </c>
      <c r="S190" s="146">
        <f t="shared" si="19"/>
        <v>-64.174558080808083</v>
      </c>
      <c r="T190" s="20">
        <v>5</v>
      </c>
      <c r="U190" s="20"/>
      <c r="V190" s="143">
        <f t="array" ref="V190">IF(ISERROR(L190/K190),"",L190/K190)</f>
        <v>0.92833333333333345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4">
        <f>+SUM('1:30'!G191)</f>
        <v>9.67</v>
      </c>
      <c r="H191" s="14">
        <f>+SUM('1:30'!H191)</f>
        <v>0.66666666666666663</v>
      </c>
      <c r="I191" s="14">
        <f>+SUM('1:30'!I191)</f>
        <v>9.3333333333333339</v>
      </c>
      <c r="J191" s="14">
        <f>+SUM('1:30'!J191)</f>
        <v>100</v>
      </c>
      <c r="K191" s="146">
        <f>G191*M191</f>
        <v>3254.922</v>
      </c>
      <c r="L191" s="146">
        <f>I191*M191</f>
        <v>3141.6000000000004</v>
      </c>
      <c r="M191" s="146">
        <v>336.6</v>
      </c>
      <c r="N191" s="146">
        <f>+M191*1000/(45*10*18*60)*T191</f>
        <v>1.3851851851851851</v>
      </c>
      <c r="O191" s="14">
        <f>+SUM('1:30'!O191)</f>
        <v>0.5</v>
      </c>
      <c r="P191" s="146">
        <f>N191*I191+O191*U191</f>
        <v>12.928395061728395</v>
      </c>
      <c r="Q191" s="14">
        <f>+SUM('1:30'!Q191)</f>
        <v>11.5</v>
      </c>
      <c r="R191" s="19">
        <f>Q191*U191</f>
        <v>0</v>
      </c>
      <c r="S191" s="146">
        <f>R191-P191</f>
        <v>-12.928395061728395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4">
        <f>+SUM('1:30'!G193)</f>
        <v>3.33</v>
      </c>
      <c r="H193" s="14">
        <f>+SUM('1:30'!H193)</f>
        <v>0.33333333333333331</v>
      </c>
      <c r="I193" s="14">
        <f>+SUM('1:30'!I193)</f>
        <v>3.3333333333333335</v>
      </c>
      <c r="J193" s="14">
        <f>+SUM('1:30'!J193)</f>
        <v>0</v>
      </c>
      <c r="K193" s="146">
        <f>G193*M193</f>
        <v>1120.8780000000002</v>
      </c>
      <c r="L193" s="146">
        <f>I193*M193</f>
        <v>1122.0000000000002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4.617283950617284</v>
      </c>
      <c r="Q193" s="14">
        <f>+SUM('1:30'!Q193)</f>
        <v>4</v>
      </c>
      <c r="R193" s="19">
        <f>Q193*U193</f>
        <v>0</v>
      </c>
      <c r="S193" s="146">
        <f>R193-P193</f>
        <v>-4.617283950617284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4">
        <f>+SUM('1:30'!G194)</f>
        <v>22</v>
      </c>
      <c r="H194" s="14">
        <f>+SUM('1:30'!H194)</f>
        <v>0.66666666666666663</v>
      </c>
      <c r="I194" s="14">
        <f>+SUM('1:30'!I194)</f>
        <v>20.366666666666667</v>
      </c>
      <c r="J194" s="14">
        <f>+SUM('1:30'!J194)</f>
        <v>90</v>
      </c>
      <c r="K194" s="146">
        <f>G194*M194</f>
        <v>7405.2000000000007</v>
      </c>
      <c r="L194" s="146">
        <f>I194*M194</f>
        <v>6855.420000000001</v>
      </c>
      <c r="M194" s="146">
        <v>336.6</v>
      </c>
      <c r="N194" s="146">
        <f>+M194*1000/(45*10*18*60)*T194</f>
        <v>1.3851851851851851</v>
      </c>
      <c r="O194" s="14">
        <f>+SUM('1:30'!O194)</f>
        <v>0.5</v>
      </c>
      <c r="P194" s="146">
        <f>N194*I194+O194*U194</f>
        <v>28.211604938271602</v>
      </c>
      <c r="Q194" s="14">
        <f>+SUM('1:30'!Q194)</f>
        <v>26</v>
      </c>
      <c r="R194" s="19">
        <f>Q194*U194</f>
        <v>0</v>
      </c>
      <c r="S194" s="146">
        <f>R194-P194</f>
        <v>-28.211604938271602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621.83000000000004</v>
      </c>
      <c r="H199" s="146">
        <f t="array" ref="H199">SUM(IF(ISERROR(H6:H198),“”,H6:H198))</f>
        <v>15.931666666666667</v>
      </c>
      <c r="I199" s="146">
        <f t="array" ref="I199">SUM(IF(ISERROR(I6:I198),“”,I6:I198))</f>
        <v>595.78476190476192</v>
      </c>
      <c r="J199" s="146">
        <f t="array" ref="J199">SUM(IF(ISERROR(J6:J198),“”,J6:J198))</f>
        <v>7890</v>
      </c>
      <c r="K199" s="14">
        <f>+SUM('1:30'!K199)</f>
        <v>279226.7929</v>
      </c>
      <c r="L199" s="14">
        <f>+SUM('1:30'!L199)</f>
        <v>270306.94063333335</v>
      </c>
      <c r="M199" s="146"/>
      <c r="N199" s="146"/>
      <c r="O199" s="146">
        <f>SUM(O6:O190)</f>
        <v>18.5</v>
      </c>
      <c r="P199" s="14">
        <f>+SUM('1:30'!P199)</f>
        <v>4097.333891157532</v>
      </c>
      <c r="Q199" s="146"/>
      <c r="R199" s="14">
        <f>+SUM('1:30'!R199)</f>
        <v>5197.5</v>
      </c>
      <c r="S199" s="146">
        <f t="array" ref="S199">SUM(IF(ISERROR(S6:S198),“”,S6:S198))</f>
        <v>-2402.5638313581489</v>
      </c>
      <c r="T199" s="146"/>
      <c r="U199" s="146"/>
      <c r="V199" s="143">
        <f>IF(ISERROR(L199/K199),"",L199/K199)</f>
        <v>0.96805517058722534</v>
      </c>
      <c r="W199" s="146">
        <f t="array" ref="W199">SUM(IF(ISERROR(W6:W198),“”,W6:W198))</f>
        <v>1.6666666666666665</v>
      </c>
      <c r="X199" s="146">
        <f t="array" ref="X199">SUM(IF(ISERROR(X6:X198),“”,X6:X198))</f>
        <v>10.833333333333334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45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0.78832782898653819</v>
      </c>
      <c r="P200" s="282"/>
      <c r="Q200" s="282"/>
      <c r="R200" s="283"/>
      <c r="S200" s="44"/>
      <c r="T200" s="45"/>
      <c r="U200" s="45"/>
      <c r="V200" s="45"/>
      <c r="W200" s="284">
        <f>SUM(W199:AC199)</f>
        <v>57.5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368">
        <f>+SUM('1:30'!E202)</f>
        <v>1395.5</v>
      </c>
      <c r="F202" s="368"/>
      <c r="G202" s="368">
        <f>+SUM('1:30'!G202)</f>
        <v>1395.5</v>
      </c>
      <c r="H202" s="368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368">
        <f>+SUM('1:30'!E203)</f>
        <v>49399.5</v>
      </c>
      <c r="F203" s="368"/>
      <c r="G203" s="368">
        <f>+SUM('1:30'!G203)</f>
        <v>52413</v>
      </c>
      <c r="H203" s="368"/>
      <c r="I203" s="287">
        <f>G203-E203</f>
        <v>3013.5</v>
      </c>
      <c r="J203" s="287"/>
      <c r="K203" s="289">
        <f t="array" ref="K203">IF(ISERROR(I203/E203),"",I203/E203)</f>
        <v>6.1002641727142988E-2</v>
      </c>
      <c r="L203" s="289"/>
      <c r="M203" s="274"/>
      <c r="N203" s="275"/>
      <c r="O203" s="290"/>
      <c r="P203" s="290"/>
      <c r="Q203" s="291" t="s">
        <v>193</v>
      </c>
      <c r="R203" s="291"/>
      <c r="S203" s="368">
        <f>+SUM('1:30'!S203)</f>
        <v>250</v>
      </c>
      <c r="T203" s="368"/>
      <c r="U203" s="368">
        <f>+SUM('1:30'!U203)</f>
        <v>276</v>
      </c>
      <c r="V203" s="368"/>
      <c r="W203" s="291">
        <f t="shared" ref="W203:W209" si="28">S203*11</f>
        <v>2750</v>
      </c>
      <c r="X203" s="291"/>
      <c r="Y203" s="291">
        <f t="shared" ref="Y203:Y209" si="29">U203*11</f>
        <v>3036</v>
      </c>
      <c r="Z203" s="291"/>
      <c r="AA203" s="291">
        <f t="shared" ref="AA203:AA210" si="30">Y203-W203</f>
        <v>286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368">
        <f>+SUM('1:30'!E204)</f>
        <v>13511</v>
      </c>
      <c r="F204" s="368"/>
      <c r="G204" s="368">
        <f>+SUM('1:30'!G204)</f>
        <v>13646</v>
      </c>
      <c r="H204" s="368"/>
      <c r="I204" s="287">
        <f>G204-E204</f>
        <v>135</v>
      </c>
      <c r="J204" s="287"/>
      <c r="K204" s="289">
        <f t="array" ref="K204">IF(ISERROR(I204/E204),"",I204/E204)</f>
        <v>9.9918584856783354E-3</v>
      </c>
      <c r="L204" s="289"/>
      <c r="M204" s="274"/>
      <c r="N204" s="275"/>
      <c r="O204" s="290"/>
      <c r="P204" s="290"/>
      <c r="Q204" s="291" t="s">
        <v>195</v>
      </c>
      <c r="R204" s="291"/>
      <c r="S204" s="368">
        <f>+SUM('1:30'!S204)</f>
        <v>52</v>
      </c>
      <c r="T204" s="368"/>
      <c r="U204" s="368">
        <f>+SUM('1:30'!U204)</f>
        <v>92</v>
      </c>
      <c r="V204" s="368"/>
      <c r="W204" s="291">
        <f t="shared" si="28"/>
        <v>572</v>
      </c>
      <c r="X204" s="291"/>
      <c r="Y204" s="291">
        <f t="shared" si="29"/>
        <v>1012</v>
      </c>
      <c r="Z204" s="291"/>
      <c r="AA204" s="291">
        <f t="shared" si="30"/>
        <v>440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8">
        <f>+SUM('1:30'!S205)</f>
        <v>11.25</v>
      </c>
      <c r="T205" s="368"/>
      <c r="U205" s="368">
        <f>+SUM('1:30'!U205)</f>
        <v>10</v>
      </c>
      <c r="V205" s="368"/>
      <c r="W205" s="291">
        <f t="shared" si="28"/>
        <v>123.75</v>
      </c>
      <c r="X205" s="291"/>
      <c r="Y205" s="291">
        <f t="shared" si="29"/>
        <v>110</v>
      </c>
      <c r="Z205" s="291"/>
      <c r="AA205" s="291">
        <f t="shared" si="30"/>
        <v>-13.75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368">
        <f>+SUM('1:30'!G206)</f>
        <v>2249544</v>
      </c>
      <c r="H206" s="368"/>
      <c r="I206" s="368">
        <f>+SUM('1:30'!I206)</f>
        <v>2248200</v>
      </c>
      <c r="J206" s="368"/>
      <c r="K206" s="297">
        <f>G206-I206</f>
        <v>1344</v>
      </c>
      <c r="L206" s="297"/>
      <c r="M206" s="298">
        <f t="array" ref="M206">IF(ISERROR(K206/L199),"",K206/(L199/1000))</f>
        <v>4.9721253803213017</v>
      </c>
      <c r="N206" s="298"/>
      <c r="O206" s="290"/>
      <c r="P206" s="290"/>
      <c r="Q206" s="291" t="s">
        <v>205</v>
      </c>
      <c r="R206" s="291"/>
      <c r="S206" s="368">
        <f>+SUM('1:30'!S206)</f>
        <v>11.25</v>
      </c>
      <c r="T206" s="368"/>
      <c r="U206" s="368">
        <f>+SUM('1:30'!U206)</f>
        <v>9</v>
      </c>
      <c r="V206" s="368"/>
      <c r="W206" s="291">
        <f t="shared" si="28"/>
        <v>123.75</v>
      </c>
      <c r="X206" s="291"/>
      <c r="Y206" s="291">
        <f t="shared" si="29"/>
        <v>99</v>
      </c>
      <c r="Z206" s="291"/>
      <c r="AA206" s="291">
        <f t="shared" si="30"/>
        <v>-24.75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368">
        <f>+SUM('1:30'!G207)</f>
        <v>91906170</v>
      </c>
      <c r="H207" s="368"/>
      <c r="I207" s="368">
        <f>+SUM('1:30'!I207)</f>
        <v>91885800</v>
      </c>
      <c r="J207" s="368"/>
      <c r="K207" s="297">
        <f>G207-I207</f>
        <v>20370</v>
      </c>
      <c r="L207" s="297"/>
      <c r="M207" s="298">
        <f t="array" ref="M207">IF(ISERROR(K207/L199),"",K207/(L199/1000))</f>
        <v>75.358775295494723</v>
      </c>
      <c r="N207" s="298"/>
      <c r="O207" s="290"/>
      <c r="P207" s="290"/>
      <c r="Q207" s="291" t="s">
        <v>208</v>
      </c>
      <c r="R207" s="291"/>
      <c r="S207" s="368">
        <f>+SUM('1:30'!S207)</f>
        <v>22.5</v>
      </c>
      <c r="T207" s="368"/>
      <c r="U207" s="368">
        <f>+SUM('1:30'!U207)</f>
        <v>10</v>
      </c>
      <c r="V207" s="368"/>
      <c r="W207" s="291">
        <f t="shared" si="28"/>
        <v>247.5</v>
      </c>
      <c r="X207" s="291"/>
      <c r="Y207" s="291">
        <f t="shared" si="29"/>
        <v>110</v>
      </c>
      <c r="Z207" s="291"/>
      <c r="AA207" s="291">
        <f t="shared" si="30"/>
        <v>-137.5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368">
        <f>+SUM('1:30'!G208)</f>
        <v>409583</v>
      </c>
      <c r="H208" s="368"/>
      <c r="I208" s="368">
        <f>+SUM('1:30'!I208)</f>
        <v>409373</v>
      </c>
      <c r="J208" s="368"/>
      <c r="K208" s="297">
        <f>G208-I208</f>
        <v>210</v>
      </c>
      <c r="L208" s="297"/>
      <c r="M208" s="301">
        <f t="array" ref="M208">IF(ISERROR(K208/L199),"",K208/(L199/1000))</f>
        <v>0.77689459067520339</v>
      </c>
      <c r="N208" s="301"/>
      <c r="O208" s="290"/>
      <c r="P208" s="290"/>
      <c r="Q208" s="291" t="s">
        <v>211</v>
      </c>
      <c r="R208" s="291"/>
      <c r="S208" s="368">
        <f>+SUM('1:30'!S208)</f>
        <v>15</v>
      </c>
      <c r="T208" s="368"/>
      <c r="U208" s="368">
        <f>+SUM('1:30'!U208)</f>
        <v>14</v>
      </c>
      <c r="V208" s="368"/>
      <c r="W208" s="291">
        <f t="shared" si="28"/>
        <v>165</v>
      </c>
      <c r="X208" s="291"/>
      <c r="Y208" s="291">
        <f t="shared" si="29"/>
        <v>154</v>
      </c>
      <c r="Z208" s="291"/>
      <c r="AA208" s="291">
        <f t="shared" si="30"/>
        <v>-11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368">
        <f>+SUM('1:30'!K209)</f>
        <v>47.650000000000006</v>
      </c>
      <c r="L209" s="368"/>
      <c r="M209" s="302">
        <f t="array" ref="M209">IF(ISERROR((K209+K210)/L199),"",((K209+K210)*1000)/(L199/1000))</f>
        <v>176.2810821222545</v>
      </c>
      <c r="N209" s="303"/>
      <c r="O209" s="290"/>
      <c r="P209" s="290"/>
      <c r="Q209" s="291" t="s">
        <v>214</v>
      </c>
      <c r="R209" s="291"/>
      <c r="S209" s="368">
        <f>+SUM('1:30'!S209)</f>
        <v>45</v>
      </c>
      <c r="T209" s="368"/>
      <c r="U209" s="368">
        <f>+SUM('1:30'!U209)</f>
        <v>111</v>
      </c>
      <c r="V209" s="368"/>
      <c r="W209" s="291">
        <f t="shared" si="28"/>
        <v>495</v>
      </c>
      <c r="X209" s="291"/>
      <c r="Y209" s="291">
        <f t="shared" si="29"/>
        <v>1221</v>
      </c>
      <c r="Z209" s="291"/>
      <c r="AA209" s="291">
        <f t="shared" si="30"/>
        <v>726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368">
        <f>+SUM('1:30'!K210)</f>
        <v>0</v>
      </c>
      <c r="L210" s="368"/>
      <c r="M210" s="304"/>
      <c r="N210" s="305"/>
      <c r="O210" s="290"/>
      <c r="P210" s="290"/>
      <c r="Q210" s="291" t="s">
        <v>216</v>
      </c>
      <c r="R210" s="291"/>
      <c r="S210" s="292">
        <f>SUM(S203:T209)</f>
        <v>407</v>
      </c>
      <c r="T210" s="292"/>
      <c r="U210" s="292">
        <f>SUM(U203:V209)</f>
        <v>522</v>
      </c>
      <c r="V210" s="292"/>
      <c r="W210" s="368">
        <f>+SUM('1:30'!W210)</f>
        <v>4315</v>
      </c>
      <c r="X210" s="368"/>
      <c r="Y210" s="368">
        <f>+SUM('1:30'!Y210)</f>
        <v>5526</v>
      </c>
      <c r="Z210" s="368"/>
      <c r="AA210" s="291">
        <f t="shared" si="30"/>
        <v>1211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4.4071353620146896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48.915479665822176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256" t="s">
        <v>46</v>
      </c>
      <c r="D229" s="256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">
        <f>+SUM('1:30'!G234)</f>
        <v>22.2</v>
      </c>
      <c r="H234" s="14">
        <f>+SUM('1:30'!H234)</f>
        <v>0.2</v>
      </c>
      <c r="I234" s="14">
        <f>+SUM('1:30'!I234)</f>
        <v>22</v>
      </c>
      <c r="J234" s="14">
        <f>+SUM('1:30'!J234)</f>
        <v>100</v>
      </c>
      <c r="K234" s="146">
        <f t="shared" si="31"/>
        <v>11646.12</v>
      </c>
      <c r="L234" s="146">
        <f t="shared" si="32"/>
        <v>11541.2</v>
      </c>
      <c r="M234" s="146">
        <v>524.6</v>
      </c>
      <c r="N234" s="146">
        <f>+M234*1000/(25.4*20*15*60)*T234</f>
        <v>3.4422572178477688</v>
      </c>
      <c r="O234" s="14">
        <f>+SUM('1:30'!O234)</f>
        <v>1</v>
      </c>
      <c r="P234" s="146">
        <f t="shared" si="34"/>
        <v>83.729658792650909</v>
      </c>
      <c r="Q234" s="14">
        <f>+SUM('1:30'!Q234)</f>
        <v>31.5</v>
      </c>
      <c r="R234" s="19">
        <f t="shared" si="35"/>
        <v>252</v>
      </c>
      <c r="S234" s="146">
        <f t="shared" si="36"/>
        <v>168.27034120734908</v>
      </c>
      <c r="T234" s="20">
        <v>3</v>
      </c>
      <c r="U234" s="14">
        <f>+SUM('1:30'!U234)</f>
        <v>8</v>
      </c>
      <c r="V234" s="143">
        <f t="array" ref="V234">IF(ISERROR(L234/K234),"",L234/K234)</f>
        <v>0.99099099099099097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4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256" t="s">
        <v>51</v>
      </c>
      <c r="D235" s="256"/>
      <c r="E235" s="148" t="s">
        <v>41</v>
      </c>
      <c r="F235" s="147"/>
      <c r="G235" s="14">
        <f>+SUM('1:30'!G235)</f>
        <v>9</v>
      </c>
      <c r="H235" s="14">
        <f>+SUM('1:30'!H235)</f>
        <v>0</v>
      </c>
      <c r="I235" s="14">
        <f>+SUM('1:30'!I235)</f>
        <v>9</v>
      </c>
      <c r="J235" s="14">
        <f>+SUM('1:30'!J235)</f>
        <v>0</v>
      </c>
      <c r="K235" s="146">
        <f t="shared" si="31"/>
        <v>4721.4000000000005</v>
      </c>
      <c r="L235" s="146">
        <f t="shared" si="32"/>
        <v>4721.4000000000005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30.980314960629919</v>
      </c>
      <c r="Q235" s="14">
        <f>+SUM('1:30'!Q235)</f>
        <v>5</v>
      </c>
      <c r="R235" s="19">
        <f t="shared" si="35"/>
        <v>25</v>
      </c>
      <c r="S235" s="146">
        <f t="shared" si="36"/>
        <v>-5.9803149606299186</v>
      </c>
      <c r="T235" s="20">
        <v>3</v>
      </c>
      <c r="U235" s="14">
        <f>+SUM('1:30'!U235)</f>
        <v>5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256" t="s">
        <v>51</v>
      </c>
      <c r="D236" s="256"/>
      <c r="E236" s="148" t="s">
        <v>42</v>
      </c>
      <c r="F236" s="147"/>
      <c r="G236" s="14">
        <f>+SUM('1:30'!G236)</f>
        <v>4.4800000000000004</v>
      </c>
      <c r="H236" s="14">
        <f>+SUM('1:30'!H236)</f>
        <v>0.48</v>
      </c>
      <c r="I236" s="14">
        <f>+SUM('1:30'!I236)</f>
        <v>4.4800000000000004</v>
      </c>
      <c r="J236" s="14">
        <f>+SUM('1:30'!J236)</f>
        <v>0</v>
      </c>
      <c r="K236" s="146">
        <f t="shared" si="31"/>
        <v>2350.2080000000005</v>
      </c>
      <c r="L236" s="146">
        <f t="shared" si="32"/>
        <v>2350.2080000000005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17.921312335958007</v>
      </c>
      <c r="Q236" s="14">
        <f>+SUM('1:30'!Q236)</f>
        <v>8</v>
      </c>
      <c r="R236" s="19">
        <f t="shared" si="35"/>
        <v>40</v>
      </c>
      <c r="S236" s="146">
        <f t="shared" si="36"/>
        <v>22.078687664041993</v>
      </c>
      <c r="T236" s="20">
        <v>3</v>
      </c>
      <c r="U236" s="14">
        <f>+SUM('1:30'!U236)</f>
        <v>5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">
        <f>+SUM('1:30'!G237)</f>
        <v>9.56</v>
      </c>
      <c r="H237" s="14">
        <f>+SUM('1:30'!H237)</f>
        <v>0.56000000000000005</v>
      </c>
      <c r="I237" s="14">
        <f>+SUM('1:30'!I237)</f>
        <v>9.56</v>
      </c>
      <c r="J237" s="14">
        <f>+SUM('1:30'!J237)</f>
        <v>0</v>
      </c>
      <c r="K237" s="146">
        <f t="shared" si="31"/>
        <v>5015.1760000000004</v>
      </c>
      <c r="L237" s="146">
        <f t="shared" si="32"/>
        <v>5015.1760000000004</v>
      </c>
      <c r="M237" s="146">
        <v>524.6</v>
      </c>
      <c r="N237" s="146">
        <f>+M237*1000/(25.4*20*15*60)*T237</f>
        <v>3.4422572178477688</v>
      </c>
      <c r="O237" s="14">
        <f>+SUM('1:30'!O237)</f>
        <v>0.5</v>
      </c>
      <c r="P237" s="146">
        <f t="shared" si="34"/>
        <v>34.907979002624671</v>
      </c>
      <c r="Q237" s="14">
        <f>+SUM('1:30'!Q237)</f>
        <v>10.5</v>
      </c>
      <c r="R237" s="19">
        <f t="shared" si="35"/>
        <v>42</v>
      </c>
      <c r="S237" s="146">
        <f t="shared" si="36"/>
        <v>7.0920209973753288</v>
      </c>
      <c r="T237" s="20">
        <v>3</v>
      </c>
      <c r="U237" s="14">
        <f>+SUM('1:30'!U237)</f>
        <v>4</v>
      </c>
      <c r="V237" s="143">
        <f t="array" ref="V237">IF(ISERROR(L237/K237),"",L237/K237)</f>
        <v>1</v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4">
        <f>+SUM('1:30'!G238)</f>
        <v>10.44</v>
      </c>
      <c r="H238" s="14">
        <f>+SUM('1:30'!H238)</f>
        <v>0</v>
      </c>
      <c r="I238" s="14">
        <f>+SUM('1:30'!I238)</f>
        <v>9.6999999999999993</v>
      </c>
      <c r="J238" s="14">
        <f>+SUM('1:30'!J238)</f>
        <v>150</v>
      </c>
      <c r="K238" s="15">
        <f t="shared" si="31"/>
        <v>5476.8239999999996</v>
      </c>
      <c r="L238" s="15">
        <f t="shared" si="32"/>
        <v>5088.62</v>
      </c>
      <c r="M238" s="15">
        <v>524.6</v>
      </c>
      <c r="N238" s="15">
        <f>+M238*1000/(25.4*20*15*60)*T238</f>
        <v>3.4422572178477688</v>
      </c>
      <c r="O238" s="14">
        <f>+SUM('1:30'!O238)</f>
        <v>0.5</v>
      </c>
      <c r="P238" s="15">
        <f t="shared" si="34"/>
        <v>35.389895013123358</v>
      </c>
      <c r="Q238" s="14">
        <f>+SUM('1:30'!Q238)</f>
        <v>11</v>
      </c>
      <c r="R238" s="129">
        <f t="shared" si="35"/>
        <v>44</v>
      </c>
      <c r="S238" s="15">
        <f t="shared" si="36"/>
        <v>8.6101049868766424</v>
      </c>
      <c r="T238" s="130">
        <v>3</v>
      </c>
      <c r="U238" s="14">
        <f>+SUM('1:30'!U238)</f>
        <v>4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">
        <f>+SUM('1:30'!G242)</f>
        <v>4</v>
      </c>
      <c r="H242" s="14">
        <f>+SUM('1:30'!H242)</f>
        <v>0</v>
      </c>
      <c r="I242" s="14">
        <f>+SUM('1:30'!I242)</f>
        <v>4</v>
      </c>
      <c r="J242" s="14">
        <f>+SUM('1:30'!J242)</f>
        <v>0</v>
      </c>
      <c r="K242" s="146">
        <f t="shared" si="31"/>
        <v>2201.6</v>
      </c>
      <c r="L242" s="146">
        <f t="shared" si="32"/>
        <v>2201.6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11.836559139784946</v>
      </c>
      <c r="Q242" s="14">
        <f>+SUM('1:30'!Q242)</f>
        <v>7</v>
      </c>
      <c r="R242" s="19">
        <f t="shared" si="35"/>
        <v>28</v>
      </c>
      <c r="S242" s="146">
        <f t="shared" si="36"/>
        <v>16.163440860215054</v>
      </c>
      <c r="T242" s="20">
        <v>3</v>
      </c>
      <c r="U242" s="14">
        <f>+SUM('1:30'!U242)</f>
        <v>4</v>
      </c>
      <c r="V242" s="143">
        <f t="array" ref="V242">IF(ISERROR(L242/K242),"",L242/K242)</f>
        <v>1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">
        <f>+SUM('1:30'!G245)</f>
        <v>7.6</v>
      </c>
      <c r="H245" s="14">
        <f>+SUM('1:30'!H245)</f>
        <v>0</v>
      </c>
      <c r="I245" s="14">
        <f>+SUM('1:30'!I245)</f>
        <v>7.6</v>
      </c>
      <c r="J245" s="14">
        <f>+SUM('1:30'!J245)</f>
        <v>200</v>
      </c>
      <c r="K245" s="146">
        <f t="shared" si="31"/>
        <v>4183.04</v>
      </c>
      <c r="L245" s="146">
        <f t="shared" si="32"/>
        <v>4183.04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24.489462365591397</v>
      </c>
      <c r="Q245" s="14">
        <f>+SUM('1:30'!Q245)</f>
        <v>4.5</v>
      </c>
      <c r="R245" s="19">
        <f t="shared" si="35"/>
        <v>18</v>
      </c>
      <c r="S245" s="146">
        <f t="shared" si="36"/>
        <v>-6.4894623655913968</v>
      </c>
      <c r="T245" s="20">
        <v>3</v>
      </c>
      <c r="U245" s="14">
        <f>+SUM('1:30'!U245)</f>
        <v>4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">
        <f>+SUM('1:30'!G251)</f>
        <v>15</v>
      </c>
      <c r="H251" s="14">
        <f>+SUM('1:30'!H251)</f>
        <v>1</v>
      </c>
      <c r="I251" s="14">
        <f>+SUM('1:30'!I251)</f>
        <v>14.280000000000001</v>
      </c>
      <c r="J251" s="14">
        <f>+SUM('1:30'!J251)</f>
        <v>180</v>
      </c>
      <c r="K251" s="146">
        <f t="shared" si="31"/>
        <v>5503.95</v>
      </c>
      <c r="L251" s="146">
        <f t="shared" si="32"/>
        <v>5239.7604000000001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37.528723678556084</v>
      </c>
      <c r="Q251" s="14">
        <f>+SUM('1:30'!Q251)</f>
        <v>18</v>
      </c>
      <c r="R251" s="19">
        <f t="shared" si="35"/>
        <v>90</v>
      </c>
      <c r="S251" s="146">
        <f t="shared" si="36"/>
        <v>52.471276321443916</v>
      </c>
      <c r="T251" s="20">
        <v>2</v>
      </c>
      <c r="U251" s="14">
        <f>+SUM('1:30'!U251)</f>
        <v>5</v>
      </c>
      <c r="V251" s="143">
        <f t="array" ref="V251">IF(ISERROR(L251/K251),"",L251/K251)</f>
        <v>0.95200000000000007</v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4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">
        <f>+SUM('1:30'!G252)</f>
        <v>8</v>
      </c>
      <c r="H252" s="14">
        <f>+SUM('1:30'!H252)</f>
        <v>0</v>
      </c>
      <c r="I252" s="14">
        <f>+SUM('1:30'!I252)</f>
        <v>7.8</v>
      </c>
      <c r="J252" s="14">
        <f>+SUM('1:30'!J252)</f>
        <v>50</v>
      </c>
      <c r="K252" s="146">
        <f t="shared" si="31"/>
        <v>2935.44</v>
      </c>
      <c r="L252" s="146">
        <f t="shared" si="32"/>
        <v>2862.0540000000001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20.498882681564247</v>
      </c>
      <c r="Q252" s="14">
        <f>+SUM('1:30'!Q252)</f>
        <v>10</v>
      </c>
      <c r="R252" s="19">
        <f t="shared" si="35"/>
        <v>30</v>
      </c>
      <c r="S252" s="146">
        <f t="shared" si="36"/>
        <v>9.5011173184357531</v>
      </c>
      <c r="T252" s="20">
        <v>2</v>
      </c>
      <c r="U252" s="14">
        <f>+SUM('1:30'!U252)</f>
        <v>3</v>
      </c>
      <c r="V252" s="143">
        <f t="array" ref="V252">IF(ISERROR(L252/K252),"",L252/K252)</f>
        <v>0.97499999999999998</v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2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>
        <f>+SUM('1:30'!G255)</f>
        <v>4</v>
      </c>
      <c r="H255" s="14">
        <f>+SUM('1:30'!H255)</f>
        <v>0</v>
      </c>
      <c r="I255" s="14">
        <f>+SUM('1:30'!I255)</f>
        <v>4</v>
      </c>
      <c r="J255" s="14">
        <f>+SUM('1:30'!J255)</f>
        <v>0</v>
      </c>
      <c r="K255" s="146">
        <f t="shared" si="31"/>
        <v>1542.4</v>
      </c>
      <c r="L255" s="146">
        <f t="shared" si="32"/>
        <v>1542.4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10.120734908136482</v>
      </c>
      <c r="Q255" s="14">
        <f>+SUM('1:30'!Q255)</f>
        <v>5.5</v>
      </c>
      <c r="R255" s="19">
        <f t="shared" si="35"/>
        <v>11</v>
      </c>
      <c r="S255" s="146">
        <f t="shared" si="36"/>
        <v>0.87926509186351787</v>
      </c>
      <c r="T255" s="20">
        <v>3</v>
      </c>
      <c r="U255" s="14">
        <f>+SUM('1:30'!U255)</f>
        <v>2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>
        <f>+SUM('1:30'!G256)</f>
        <v>4.26</v>
      </c>
      <c r="H256" s="14">
        <f>+SUM('1:30'!H256)</f>
        <v>0</v>
      </c>
      <c r="I256" s="14">
        <f>+SUM('1:30'!I256)</f>
        <v>4.2571428571428571</v>
      </c>
      <c r="J256" s="14">
        <f>+SUM('1:30'!J256)</f>
        <v>260</v>
      </c>
      <c r="K256" s="146">
        <f t="shared" si="31"/>
        <v>1642.6559999999999</v>
      </c>
      <c r="L256" s="146">
        <f t="shared" si="32"/>
        <v>1641.5542857142857</v>
      </c>
      <c r="M256" s="146">
        <v>385.6</v>
      </c>
      <c r="N256" s="146">
        <f>+M256*1000/(25.4*20*15*60)*T256</f>
        <v>2.5301837270341205</v>
      </c>
      <c r="O256" s="14">
        <f>+SUM('1:30'!O256)</f>
        <v>0.5</v>
      </c>
      <c r="P256" s="146">
        <f t="shared" si="34"/>
        <v>11.771353580802399</v>
      </c>
      <c r="Q256" s="14">
        <f>+SUM('1:30'!Q256)</f>
        <v>6</v>
      </c>
      <c r="R256" s="19">
        <f t="shared" si="35"/>
        <v>12</v>
      </c>
      <c r="S256" s="146">
        <f t="shared" si="36"/>
        <v>0.22864641919760054</v>
      </c>
      <c r="T256" s="20">
        <v>3</v>
      </c>
      <c r="U256" s="14">
        <f>+SUM('1:30'!U256)</f>
        <v>2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>
        <f>+SUM('1:30'!G257)</f>
        <v>3.09</v>
      </c>
      <c r="H257" s="14">
        <f>+SUM('1:30'!H257)</f>
        <v>8.5714285714285715E-2</v>
      </c>
      <c r="I257" s="14">
        <f>+SUM('1:30'!I257)</f>
        <v>3.0857142857142859</v>
      </c>
      <c r="J257" s="14">
        <f>+SUM('1:30'!J257)</f>
        <v>0</v>
      </c>
      <c r="K257" s="146">
        <f t="shared" si="31"/>
        <v>1191.5039999999999</v>
      </c>
      <c r="L257" s="146">
        <f t="shared" si="32"/>
        <v>1189.8514285714286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7.8074240719910009</v>
      </c>
      <c r="Q257" s="14">
        <f>+SUM('1:30'!Q257)</f>
        <v>5</v>
      </c>
      <c r="R257" s="19">
        <f t="shared" si="35"/>
        <v>10</v>
      </c>
      <c r="S257" s="146">
        <f t="shared" si="36"/>
        <v>2.1925759280089991</v>
      </c>
      <c r="T257" s="20">
        <v>3</v>
      </c>
      <c r="U257" s="14">
        <f>+SUM('1:30'!U257)</f>
        <v>2</v>
      </c>
      <c r="V257" s="143"/>
      <c r="W257" s="14">
        <f>+SUM('1:30'!W257)</f>
        <v>0</v>
      </c>
      <c r="X257" s="14">
        <f>+SUM('1:30'!X257)</f>
        <v>0.83333333333333337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>
        <f>+SUM('1:30'!G258)</f>
        <v>6</v>
      </c>
      <c r="H258" s="14">
        <f>+SUM('1:30'!H258)</f>
        <v>0</v>
      </c>
      <c r="I258" s="14">
        <f>+SUM('1:30'!I258)</f>
        <v>5.5714285714285712</v>
      </c>
      <c r="J258" s="14">
        <f>+SUM('1:30'!J258)</f>
        <v>150</v>
      </c>
      <c r="K258" s="146">
        <f t="shared" si="31"/>
        <v>2313.6000000000004</v>
      </c>
      <c r="L258" s="146">
        <f t="shared" si="32"/>
        <v>2148.3428571428572</v>
      </c>
      <c r="M258" s="146">
        <v>385.6</v>
      </c>
      <c r="N258" s="146">
        <f>+M258*1000/(25.4*20*15*60)*T258</f>
        <v>2.5301837270341205</v>
      </c>
      <c r="O258" s="14">
        <f>+SUM('1:30'!O258)</f>
        <v>0.5</v>
      </c>
      <c r="P258" s="146">
        <f t="shared" si="34"/>
        <v>15.096737907761527</v>
      </c>
      <c r="Q258" s="14">
        <f>+SUM('1:30'!Q258)</f>
        <v>6.5</v>
      </c>
      <c r="R258" s="19">
        <f t="shared" si="35"/>
        <v>13</v>
      </c>
      <c r="S258" s="146">
        <f t="shared" si="36"/>
        <v>-2.0967379077615274</v>
      </c>
      <c r="T258" s="20">
        <v>3</v>
      </c>
      <c r="U258" s="14">
        <f>+SUM('1:30'!U258)</f>
        <v>2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">
        <f>+SUM('1:30'!G263)</f>
        <v>2.12</v>
      </c>
      <c r="H263" s="14">
        <f>+SUM('1:30'!H263)</f>
        <v>0.12</v>
      </c>
      <c r="I263" s="14">
        <f>+SUM('1:30'!I263)</f>
        <v>2.12</v>
      </c>
      <c r="J263" s="14">
        <f>+SUM('1:30'!J263)</f>
        <v>0</v>
      </c>
      <c r="K263" s="146">
        <f t="shared" si="31"/>
        <v>1157.308</v>
      </c>
      <c r="L263" s="146">
        <f t="shared" si="32"/>
        <v>1157.308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5.8097791164658643</v>
      </c>
      <c r="Q263" s="14">
        <f>+SUM('1:30'!Q263)</f>
        <v>4.5</v>
      </c>
      <c r="R263" s="19">
        <f t="shared" si="35"/>
        <v>9</v>
      </c>
      <c r="S263" s="146">
        <f t="shared" si="36"/>
        <v>3.1902208835341357</v>
      </c>
      <c r="T263" s="22">
        <v>2</v>
      </c>
      <c r="U263" s="14">
        <f>+SUM('1:30'!U263)</f>
        <v>2</v>
      </c>
      <c r="V263" s="143">
        <f t="array" ref="V263">IF(ISERROR(L263/K263),"",L263/K263)</f>
        <v>1</v>
      </c>
      <c r="W263" s="14">
        <f>+SUM('1:30'!W263)</f>
        <v>0</v>
      </c>
      <c r="X263" s="14">
        <f>+SUM('1:30'!X263)</f>
        <v>1.5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">
        <f>+SUM('1:30'!G264)</f>
        <v>14</v>
      </c>
      <c r="H264" s="14">
        <f>+SUM('1:30'!H264)</f>
        <v>0</v>
      </c>
      <c r="I264" s="14">
        <f>+SUM('1:30'!I264)</f>
        <v>13.100000000000001</v>
      </c>
      <c r="J264" s="14">
        <f>+SUM('1:30'!J264)</f>
        <v>450</v>
      </c>
      <c r="K264" s="146">
        <f t="shared" si="31"/>
        <v>7642.5999999999995</v>
      </c>
      <c r="L264" s="146">
        <f t="shared" si="32"/>
        <v>7151.2900000000009</v>
      </c>
      <c r="M264" s="146">
        <v>545.9</v>
      </c>
      <c r="N264" s="146">
        <f>+M264*1000/(41.5*10*16*60)*T264</f>
        <v>2.7404618473895583</v>
      </c>
      <c r="O264" s="14">
        <f>+SUM('1:30'!O264)</f>
        <v>0.5</v>
      </c>
      <c r="P264" s="146">
        <f t="shared" si="34"/>
        <v>37.900050200803221</v>
      </c>
      <c r="Q264" s="14">
        <f>+SUM('1:30'!Q264)</f>
        <v>15.5</v>
      </c>
      <c r="R264" s="19">
        <f t="shared" si="35"/>
        <v>62</v>
      </c>
      <c r="S264" s="146">
        <f t="shared" si="36"/>
        <v>24.099949799196779</v>
      </c>
      <c r="T264" s="20">
        <v>2</v>
      </c>
      <c r="U264" s="14">
        <f>+SUM('1:30'!U264)</f>
        <v>4</v>
      </c>
      <c r="V264" s="143">
        <f t="array" ref="V264">IF(ISERROR(L264/K264),"",L264/K264)</f>
        <v>0.93571428571428594</v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2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">
        <f>+SUM('1:30'!G265)</f>
        <v>7.8000000000000007</v>
      </c>
      <c r="H265" s="14">
        <f>+SUM('1:30'!H265)</f>
        <v>0.4</v>
      </c>
      <c r="I265" s="14">
        <f>+SUM('1:30'!I265)</f>
        <v>7.1000000000000005</v>
      </c>
      <c r="J265" s="14">
        <f>+SUM('1:30'!J265)</f>
        <v>150</v>
      </c>
      <c r="K265" s="146">
        <f t="shared" si="31"/>
        <v>4258.0200000000004</v>
      </c>
      <c r="L265" s="146">
        <f t="shared" si="32"/>
        <v>3875.8900000000003</v>
      </c>
      <c r="M265" s="146">
        <v>545.9</v>
      </c>
      <c r="N265" s="146">
        <f>+M265*1000/(41.5*10*16*60)*T265</f>
        <v>2.7404618473895583</v>
      </c>
      <c r="O265" s="14">
        <f>+SUM('1:30'!O265)</f>
        <v>0.5</v>
      </c>
      <c r="P265" s="146">
        <f t="shared" si="34"/>
        <v>21.457279116465866</v>
      </c>
      <c r="Q265" s="14">
        <f>+SUM('1:30'!Q265)</f>
        <v>17.5</v>
      </c>
      <c r="R265" s="19">
        <f t="shared" si="35"/>
        <v>70</v>
      </c>
      <c r="S265" s="146">
        <f t="shared" si="36"/>
        <v>48.54272088353413</v>
      </c>
      <c r="T265" s="20">
        <v>2</v>
      </c>
      <c r="U265" s="14">
        <f>+SUM('1:30'!U265)</f>
        <v>4</v>
      </c>
      <c r="V265" s="143">
        <f t="array" ref="V265">IF(ISERROR(L265/K265),"",L265/K265)</f>
        <v>0.91025641025641024</v>
      </c>
      <c r="W265" s="14">
        <f>+SUM('1:30'!W265)</f>
        <v>0</v>
      </c>
      <c r="X265" s="14">
        <f>+SUM('1:30'!X265)</f>
        <v>2</v>
      </c>
      <c r="Y265" s="14">
        <f>+SUM('1:30'!Y265)</f>
        <v>0</v>
      </c>
      <c r="Z265" s="14">
        <f>+SUM('1:30'!Z265)</f>
        <v>0</v>
      </c>
      <c r="AA265" s="14">
        <f>+SUM('1:30'!AA265)</f>
        <v>2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4">
        <f>+SUM('1:30'!G266)</f>
        <v>5.6</v>
      </c>
      <c r="H266" s="14">
        <f>+SUM('1:30'!H266)</f>
        <v>0.6</v>
      </c>
      <c r="I266" s="14">
        <f>+SUM('1:30'!I266)</f>
        <v>5.6</v>
      </c>
      <c r="J266" s="14">
        <f>+SUM('1:30'!J266)</f>
        <v>0</v>
      </c>
      <c r="K266" s="15">
        <f t="shared" si="31"/>
        <v>3057.0399999999995</v>
      </c>
      <c r="L266" s="15">
        <f t="shared" si="32"/>
        <v>3057.0399999999995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15.346586345381526</v>
      </c>
      <c r="Q266" s="14">
        <f>+SUM('1:30'!Q266)</f>
        <v>2</v>
      </c>
      <c r="R266" s="129">
        <f t="shared" si="35"/>
        <v>4</v>
      </c>
      <c r="S266" s="15">
        <f t="shared" si="36"/>
        <v>-11.346586345381526</v>
      </c>
      <c r="T266" s="130">
        <v>2</v>
      </c>
      <c r="U266" s="14">
        <f>+SUM('1:30'!U266)</f>
        <v>2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256" t="s">
        <v>77</v>
      </c>
      <c r="D267" s="256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256" t="s">
        <v>316</v>
      </c>
      <c r="D283" s="256" t="s">
        <v>89</v>
      </c>
      <c r="E283" s="148" t="s">
        <v>35</v>
      </c>
      <c r="F283" s="147"/>
      <c r="G283" s="14">
        <f>+SUM('1:30'!G283)</f>
        <v>8.3800000000000008</v>
      </c>
      <c r="H283" s="14">
        <f>+SUM('1:30'!H283)</f>
        <v>0.375</v>
      </c>
      <c r="I283" s="14">
        <f>+SUM('1:30'!I283)</f>
        <v>8.375</v>
      </c>
      <c r="J283" s="14">
        <f>+SUM('1:30'!J283)</f>
        <v>0</v>
      </c>
      <c r="K283" s="146">
        <f t="shared" si="31"/>
        <v>3598.3720000000003</v>
      </c>
      <c r="L283" s="146">
        <f t="shared" si="32"/>
        <v>3596.2249999999999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46.372985170857511</v>
      </c>
      <c r="Q283" s="14">
        <f>+SUM('1:30'!Q283)</f>
        <v>10.5</v>
      </c>
      <c r="R283" s="19">
        <f t="shared" si="35"/>
        <v>52.5</v>
      </c>
      <c r="S283" s="146">
        <f t="shared" si="36"/>
        <v>6.1270148291424888</v>
      </c>
      <c r="T283" s="20">
        <v>4</v>
      </c>
      <c r="U283" s="14">
        <f>+SUM('1:30'!U283)</f>
        <v>5</v>
      </c>
      <c r="V283" s="143">
        <f t="array" ref="V283">IF(ISERROR(L283/K283),"",L283/K283)</f>
        <v>0.99940334128878272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256" t="s">
        <v>316</v>
      </c>
      <c r="D284" s="256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256" t="s">
        <v>317</v>
      </c>
      <c r="D285" s="256" t="s">
        <v>96</v>
      </c>
      <c r="E285" s="148" t="s">
        <v>41</v>
      </c>
      <c r="F285" s="147"/>
      <c r="G285" s="14">
        <f>+SUM('1:30'!G285)</f>
        <v>20</v>
      </c>
      <c r="H285" s="14">
        <f>+SUM('1:30'!H285)</f>
        <v>0.875</v>
      </c>
      <c r="I285" s="14">
        <f>+SUM('1:30'!I285)</f>
        <v>19.75</v>
      </c>
      <c r="J285" s="14">
        <f>+SUM('1:30'!J285)</f>
        <v>50</v>
      </c>
      <c r="K285" s="146">
        <f t="shared" si="31"/>
        <v>8368</v>
      </c>
      <c r="L285" s="146">
        <f t="shared" si="32"/>
        <v>8263.4</v>
      </c>
      <c r="M285" s="146">
        <v>418.4</v>
      </c>
      <c r="N285" s="146">
        <f>+M285*1000/(51*1*110*60)*T285</f>
        <v>4.9720736779560308</v>
      </c>
      <c r="O285" s="14">
        <f>+SUM('1:30'!O285)</f>
        <v>1</v>
      </c>
      <c r="P285" s="146">
        <f t="shared" si="34"/>
        <v>111.1984551396316</v>
      </c>
      <c r="Q285" s="14">
        <f>+SUM('1:30'!Q285)</f>
        <v>19.5</v>
      </c>
      <c r="R285" s="19">
        <f t="shared" si="35"/>
        <v>253.5</v>
      </c>
      <c r="S285" s="146">
        <f t="shared" si="36"/>
        <v>142.30154486036838</v>
      </c>
      <c r="T285" s="20">
        <v>4</v>
      </c>
      <c r="U285" s="14">
        <f>+SUM('1:30'!U285)</f>
        <v>13</v>
      </c>
      <c r="V285" s="143">
        <f t="array" ref="V285">IF(ISERROR(L285/K285),"",L285/K285)</f>
        <v>0.98749999999999993</v>
      </c>
      <c r="W285" s="14">
        <f>+SUM('1:30'!W285)</f>
        <v>0</v>
      </c>
      <c r="X285" s="14">
        <f>+SUM('1:30'!X285)</f>
        <v>2.3333333333333335</v>
      </c>
      <c r="Y285" s="14">
        <f>+SUM('1:30'!Y285)</f>
        <v>0</v>
      </c>
      <c r="Z285" s="14">
        <f>+SUM('1:30'!Z285)</f>
        <v>0</v>
      </c>
      <c r="AA285" s="14">
        <f>+SUM('1:30'!AA285)</f>
        <v>2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256" t="s">
        <v>317</v>
      </c>
      <c r="D286" s="256" t="s">
        <v>96</v>
      </c>
      <c r="E286" s="148" t="s">
        <v>35</v>
      </c>
      <c r="F286" s="147"/>
      <c r="G286" s="14">
        <f>+SUM('1:30'!G286)</f>
        <v>22</v>
      </c>
      <c r="H286" s="14">
        <f>+SUM('1:30'!H286)</f>
        <v>0</v>
      </c>
      <c r="I286" s="14">
        <f>+SUM('1:30'!I286)</f>
        <v>22</v>
      </c>
      <c r="J286" s="14">
        <f>+SUM('1:30'!J286)</f>
        <v>0</v>
      </c>
      <c r="K286" s="146">
        <f t="shared" ref="K286:K362" si="38">G286*M286</f>
        <v>9222.4</v>
      </c>
      <c r="L286" s="146">
        <f t="shared" ref="L286:L362" si="39">I286*M286</f>
        <v>9222.4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107.69428387925497</v>
      </c>
      <c r="Q286" s="14">
        <f>+SUM('1:30'!Q286)</f>
        <v>17.5</v>
      </c>
      <c r="R286" s="19">
        <f t="shared" ref="R286:R362" si="41">Q286*U286</f>
        <v>262.5</v>
      </c>
      <c r="S286" s="146">
        <f t="shared" ref="S286:S362" si="42">R286-P286</f>
        <v>154.80571612074505</v>
      </c>
      <c r="T286" s="20">
        <v>4</v>
      </c>
      <c r="U286" s="14">
        <f>+SUM('1:30'!U286)</f>
        <v>15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256" t="s">
        <v>317</v>
      </c>
      <c r="D287" s="256" t="s">
        <v>96</v>
      </c>
      <c r="E287" s="148" t="s">
        <v>57</v>
      </c>
      <c r="F287" s="147"/>
      <c r="G287" s="14">
        <f>+SUM('1:30'!G287)</f>
        <v>4.88</v>
      </c>
      <c r="H287" s="14">
        <f>+SUM('1:30'!H287)</f>
        <v>0.875</v>
      </c>
      <c r="I287" s="14">
        <f>+SUM('1:30'!I287)</f>
        <v>4.875</v>
      </c>
      <c r="J287" s="14">
        <f>+SUM('1:30'!J287)</f>
        <v>0</v>
      </c>
      <c r="K287" s="146">
        <f t="shared" si="38"/>
        <v>2034.4719999999998</v>
      </c>
      <c r="L287" s="146">
        <f t="shared" si="39"/>
        <v>2032.3874999999998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24.151960784313726</v>
      </c>
      <c r="Q287" s="14">
        <f>+SUM('1:30'!Q287)</f>
        <v>6.5</v>
      </c>
      <c r="R287" s="19">
        <f t="shared" si="41"/>
        <v>26</v>
      </c>
      <c r="S287" s="146">
        <f t="shared" si="42"/>
        <v>1.8480392156862742</v>
      </c>
      <c r="T287" s="20">
        <v>4</v>
      </c>
      <c r="U287" s="14">
        <f>+SUM('1:30'!U287)</f>
        <v>4</v>
      </c>
      <c r="V287" s="143">
        <f t="array" ref="V287">IF(ISERROR(L287/K287),"",L287/K287)</f>
        <v>0.99897540983606559</v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">
        <f>+SUM('1:30'!G288)</f>
        <v>1</v>
      </c>
      <c r="H288" s="14">
        <f>+SUM('1:30'!H288)</f>
        <v>0</v>
      </c>
      <c r="I288" s="14">
        <f>+SUM('1:30'!I288)</f>
        <v>1</v>
      </c>
      <c r="J288" s="14">
        <f>+SUM('1:30'!J288)</f>
        <v>0</v>
      </c>
      <c r="K288" s="146">
        <f t="shared" si="38"/>
        <v>438.4</v>
      </c>
      <c r="L288" s="146">
        <f t="shared" si="39"/>
        <v>438.4</v>
      </c>
      <c r="M288" s="146">
        <v>438.4</v>
      </c>
      <c r="N288" s="146">
        <f>+M288*1000/(50*1*120*60)*T288</f>
        <v>4.8711111111111114</v>
      </c>
      <c r="O288" s="14">
        <f>+SUM('1:30'!O288)</f>
        <v>0.5</v>
      </c>
      <c r="P288" s="146">
        <f t="shared" si="40"/>
        <v>7.3711111111111114</v>
      </c>
      <c r="Q288" s="14">
        <f>+SUM('1:30'!Q288)</f>
        <v>1</v>
      </c>
      <c r="R288" s="19">
        <f t="shared" si="41"/>
        <v>5</v>
      </c>
      <c r="S288" s="146">
        <f t="shared" si="42"/>
        <v>-2.3711111111111114</v>
      </c>
      <c r="T288" s="20">
        <v>4</v>
      </c>
      <c r="U288" s="14">
        <f>+SUM('1:30'!U288)</f>
        <v>5</v>
      </c>
      <c r="V288" s="143">
        <f t="array" ref="V288">IF(ISERROR(L288/K288),"",L288/K288)</f>
        <v>1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">
        <f>+SUM('1:30'!G291)</f>
        <v>8</v>
      </c>
      <c r="H291" s="14">
        <f>+SUM('1:30'!H291)</f>
        <v>0.25</v>
      </c>
      <c r="I291" s="14">
        <f>+SUM('1:30'!I291)</f>
        <v>8.25</v>
      </c>
      <c r="J291" s="14">
        <f>+SUM('1:30'!J291)</f>
        <v>0</v>
      </c>
      <c r="K291" s="146">
        <f t="shared" si="38"/>
        <v>3510.4</v>
      </c>
      <c r="L291" s="146">
        <f t="shared" si="39"/>
        <v>3620.1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40.223333333333336</v>
      </c>
      <c r="Q291" s="14">
        <f>+SUM('1:30'!Q291)</f>
        <v>9</v>
      </c>
      <c r="R291" s="19">
        <f t="shared" si="41"/>
        <v>45</v>
      </c>
      <c r="S291" s="146">
        <f t="shared" si="42"/>
        <v>4.7766666666666637</v>
      </c>
      <c r="T291" s="20">
        <v>4</v>
      </c>
      <c r="U291" s="14">
        <f>+SUM('1:30'!U291)</f>
        <v>5</v>
      </c>
      <c r="V291" s="143">
        <f t="array" ref="V291">IF(ISERROR(L291/K291),"",L291/K291)</f>
        <v>1.03125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256" t="s">
        <v>318</v>
      </c>
      <c r="D307" s="256" t="s">
        <v>96</v>
      </c>
      <c r="E307" s="148" t="s">
        <v>39</v>
      </c>
      <c r="F307" s="147"/>
      <c r="G307" s="14">
        <f>+SUM('1:30'!G307)</f>
        <v>18.5</v>
      </c>
      <c r="H307" s="14">
        <f>+SUM('1:30'!H307)</f>
        <v>0.5</v>
      </c>
      <c r="I307" s="14">
        <f>+SUM('1:30'!I307)</f>
        <v>18.5</v>
      </c>
      <c r="J307" s="14">
        <f>+SUM('1:30'!J307)</f>
        <v>0</v>
      </c>
      <c r="K307" s="146">
        <f t="shared" si="38"/>
        <v>11429.3</v>
      </c>
      <c r="L307" s="146">
        <f t="shared" si="39"/>
        <v>11429.3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63.075711382113809</v>
      </c>
      <c r="Q307" s="14">
        <f>+SUM('1:30'!Q307)</f>
        <v>14.5</v>
      </c>
      <c r="R307" s="19">
        <f t="shared" si="41"/>
        <v>145</v>
      </c>
      <c r="S307" s="146">
        <f t="shared" si="42"/>
        <v>81.924288617886191</v>
      </c>
      <c r="T307" s="20">
        <v>3</v>
      </c>
      <c r="U307" s="14">
        <f>+SUM('1:30'!U307)</f>
        <v>10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256" t="s">
        <v>318</v>
      </c>
      <c r="D308" s="256" t="s">
        <v>96</v>
      </c>
      <c r="E308" s="148" t="s">
        <v>42</v>
      </c>
      <c r="F308" s="147"/>
      <c r="G308" s="14">
        <f>+SUM('1:30'!G308)</f>
        <v>13</v>
      </c>
      <c r="H308" s="14">
        <f>+SUM('1:30'!H308)</f>
        <v>0</v>
      </c>
      <c r="I308" s="14">
        <f>+SUM('1:30'!I308)</f>
        <v>12.3</v>
      </c>
      <c r="J308" s="14">
        <f>+SUM('1:30'!J308)</f>
        <v>350</v>
      </c>
      <c r="K308" s="146">
        <f t="shared" si="38"/>
        <v>8041.8</v>
      </c>
      <c r="L308" s="146">
        <f t="shared" si="39"/>
        <v>7608.7800000000007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42.850705645161298</v>
      </c>
      <c r="Q308" s="14">
        <f>+SUM('1:30'!Q308)</f>
        <v>13.5</v>
      </c>
      <c r="R308" s="19">
        <f t="shared" si="41"/>
        <v>121.5</v>
      </c>
      <c r="S308" s="146">
        <f t="shared" si="42"/>
        <v>78.649294354838702</v>
      </c>
      <c r="T308" s="20">
        <v>3</v>
      </c>
      <c r="U308" s="14">
        <f>+SUM('1:30'!U308)</f>
        <v>9</v>
      </c>
      <c r="V308" s="143">
        <f t="array" ref="V308">IF(ISERROR(L308/K308),"",L308/K308)</f>
        <v>0.94615384615384623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256" t="s">
        <v>112</v>
      </c>
      <c r="D309" s="256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256" t="s">
        <v>112</v>
      </c>
      <c r="D310" s="256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">
        <f>+SUM('1:30'!G311)</f>
        <v>25</v>
      </c>
      <c r="H311" s="14">
        <f>+SUM('1:30'!H311)</f>
        <v>0</v>
      </c>
      <c r="I311" s="14">
        <f>+SUM('1:30'!I311)</f>
        <v>25</v>
      </c>
      <c r="J311" s="14">
        <f>+SUM('1:30'!J311)</f>
        <v>0</v>
      </c>
      <c r="K311" s="146">
        <f t="shared" si="38"/>
        <v>15532.499999999998</v>
      </c>
      <c r="L311" s="146">
        <f t="shared" si="39"/>
        <v>15532.499999999998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106.68582375478927</v>
      </c>
      <c r="Q311" s="14">
        <f>+SUM('1:30'!Q311)</f>
        <v>26</v>
      </c>
      <c r="R311" s="19">
        <f t="shared" si="41"/>
        <v>390</v>
      </c>
      <c r="S311" s="146">
        <f t="shared" si="42"/>
        <v>283.31417624521072</v>
      </c>
      <c r="T311" s="20">
        <v>4</v>
      </c>
      <c r="U311" s="14">
        <f>+SUM('1:30'!U311)</f>
        <v>15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2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4">
        <f>+SUM('1:30'!G313)</f>
        <v>6.6</v>
      </c>
      <c r="H313" s="14">
        <f>+SUM('1:30'!H313)</f>
        <v>0.6</v>
      </c>
      <c r="I313" s="14">
        <f>+SUM('1:30'!I313)</f>
        <v>6.6</v>
      </c>
      <c r="J313" s="14">
        <f>+SUM('1:30'!J313)</f>
        <v>0</v>
      </c>
      <c r="K313" s="146">
        <f t="shared" si="38"/>
        <v>3459.06</v>
      </c>
      <c r="L313" s="146">
        <f t="shared" si="39"/>
        <v>3459.06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22.088505747126437</v>
      </c>
      <c r="Q313" s="14">
        <f>+SUM('1:30'!Q313)</f>
        <v>6</v>
      </c>
      <c r="R313" s="19">
        <f t="shared" si="41"/>
        <v>30</v>
      </c>
      <c r="S313" s="146">
        <f t="shared" si="42"/>
        <v>7.9114942528735632</v>
      </c>
      <c r="T313" s="20">
        <v>4</v>
      </c>
      <c r="U313" s="14">
        <f>+SUM('1:30'!U313)</f>
        <v>5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70" t="s">
        <v>305</v>
      </c>
      <c r="D317" s="271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70" t="s">
        <v>305</v>
      </c>
      <c r="D318" s="271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70" t="s">
        <v>305</v>
      </c>
      <c r="D319" s="271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69" t="s">
        <v>121</v>
      </c>
      <c r="D322" s="269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69" t="s">
        <v>121</v>
      </c>
      <c r="D323" s="269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69" t="s">
        <v>121</v>
      </c>
      <c r="D324" s="269" t="s">
        <v>122</v>
      </c>
      <c r="E324" s="42" t="s">
        <v>63</v>
      </c>
      <c r="F324" s="147"/>
      <c r="G324" s="14">
        <f>+SUM('1:30'!G324)</f>
        <v>9.67</v>
      </c>
      <c r="H324" s="14">
        <f>+SUM('1:30'!H324)</f>
        <v>0.93333333333333335</v>
      </c>
      <c r="I324" s="14">
        <f>+SUM('1:30'!I324)</f>
        <v>9.6666666666666661</v>
      </c>
      <c r="J324" s="14">
        <f>+SUM('1:30'!J324)</f>
        <v>80</v>
      </c>
      <c r="K324" s="146">
        <f t="shared" si="38"/>
        <v>4642.8571000000002</v>
      </c>
      <c r="L324" s="146">
        <f t="shared" si="39"/>
        <v>4641.2566666666662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25.479011125750258</v>
      </c>
      <c r="Q324" s="14">
        <f>+SUM('1:30'!Q324)</f>
        <v>11.5</v>
      </c>
      <c r="R324" s="19">
        <f t="shared" si="41"/>
        <v>23</v>
      </c>
      <c r="S324" s="146">
        <f t="shared" si="42"/>
        <v>-2.4790111257502581</v>
      </c>
      <c r="T324" s="20">
        <v>2</v>
      </c>
      <c r="U324" s="14">
        <f>+SUM('1:30'!U324)</f>
        <v>2</v>
      </c>
      <c r="V324" s="143">
        <f t="array" ref="V324">IF(ISERROR(L324/K324),"",L324/K324)</f>
        <v>0.99965529127886921</v>
      </c>
      <c r="W324" s="14">
        <f>+SUM('1:30'!W324)</f>
        <v>0</v>
      </c>
      <c r="X324" s="14">
        <f>+SUM('1:30'!X324)</f>
        <v>1.2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4">
        <f>+SUM('1:30'!G346)</f>
        <v>10</v>
      </c>
      <c r="H346" s="14">
        <f>+SUM('1:30'!H346)</f>
        <v>0</v>
      </c>
      <c r="I346" s="14">
        <f>+SUM('1:30'!I346)</f>
        <v>9.1666666666666661</v>
      </c>
      <c r="J346" s="14">
        <f>+SUM('1:30'!J346)</f>
        <v>250</v>
      </c>
      <c r="K346" s="146">
        <f t="shared" si="38"/>
        <v>3943</v>
      </c>
      <c r="L346" s="146">
        <f t="shared" si="39"/>
        <v>3614.4166666666665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63.812166773299211</v>
      </c>
      <c r="Q346" s="14">
        <f>+SUM('1:30'!Q346)</f>
        <v>10.5</v>
      </c>
      <c r="R346" s="19">
        <f t="shared" si="41"/>
        <v>126</v>
      </c>
      <c r="S346" s="146">
        <f t="shared" si="42"/>
        <v>62.187833226700789</v>
      </c>
      <c r="T346" s="20">
        <v>6</v>
      </c>
      <c r="U346" s="14">
        <f>+SUM('1:30'!U346)</f>
        <v>12</v>
      </c>
      <c r="V346" s="143">
        <f t="array" ref="V346">IF(ISERROR(L346/K346),"",L346/K346)</f>
        <v>0.91666666666666663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2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4">
        <f>+SUM('1:30'!G347)</f>
        <v>8</v>
      </c>
      <c r="H347" s="14">
        <f>+SUM('1:30'!H347)</f>
        <v>0.16666666666666666</v>
      </c>
      <c r="I347" s="14">
        <f>+SUM('1:30'!I347)</f>
        <v>7.166666666666667</v>
      </c>
      <c r="J347" s="14">
        <f>+SUM('1:30'!J347)</f>
        <v>0</v>
      </c>
      <c r="K347" s="146">
        <f t="shared" si="38"/>
        <v>3040.8</v>
      </c>
      <c r="L347" s="146">
        <f t="shared" si="39"/>
        <v>2724.05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34.039732285668585</v>
      </c>
      <c r="Q347" s="14">
        <f>+SUM('1:30'!Q347)</f>
        <v>9.5</v>
      </c>
      <c r="R347" s="19">
        <f t="shared" si="41"/>
        <v>47.5</v>
      </c>
      <c r="S347" s="146">
        <f t="shared" si="42"/>
        <v>13.460267714331415</v>
      </c>
      <c r="T347" s="20">
        <v>5</v>
      </c>
      <c r="U347" s="14">
        <f>+SUM('1:30'!U347)</f>
        <v>5</v>
      </c>
      <c r="V347" s="143">
        <f t="array" ref="V347">IF(ISERROR(L347/K347),"",L347/K347)</f>
        <v>0.89583333333333337</v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4">
        <f>+SUM('1:30'!G348)</f>
        <v>3</v>
      </c>
      <c r="H348" s="14">
        <f>+SUM('1:30'!H348)</f>
        <v>0</v>
      </c>
      <c r="I348" s="14">
        <f>+SUM('1:30'!I348)</f>
        <v>3</v>
      </c>
      <c r="J348" s="14">
        <f>+SUM('1:30'!J348)</f>
        <v>0</v>
      </c>
      <c r="K348" s="146">
        <f t="shared" si="38"/>
        <v>1056.8700000000001</v>
      </c>
      <c r="L348" s="146">
        <f t="shared" si="39"/>
        <v>1056.8700000000001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13.206648872360844</v>
      </c>
      <c r="Q348" s="14">
        <f>+SUM('1:30'!Q348)</f>
        <v>6</v>
      </c>
      <c r="R348" s="19">
        <f t="shared" si="41"/>
        <v>30</v>
      </c>
      <c r="S348" s="146">
        <f t="shared" si="42"/>
        <v>16.793351127639156</v>
      </c>
      <c r="T348" s="20">
        <v>5</v>
      </c>
      <c r="U348" s="14">
        <f>+SUM('1:30'!U348)</f>
        <v>5</v>
      </c>
      <c r="V348" s="143">
        <f t="array" ref="V348">IF(ISERROR(L348/K348),"",L348/K348)</f>
        <v>1</v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2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4">
        <f>+SUM('1:30'!G350)</f>
        <v>24.5</v>
      </c>
      <c r="H350" s="14">
        <f>+SUM('1:30'!H350)</f>
        <v>0.82499999999999996</v>
      </c>
      <c r="I350" s="14">
        <f>+SUM('1:30'!I350)</f>
        <v>24.25</v>
      </c>
      <c r="J350" s="14">
        <f>+SUM('1:30'!J350)</f>
        <v>230</v>
      </c>
      <c r="K350" s="146">
        <f t="shared" si="38"/>
        <v>13646.5</v>
      </c>
      <c r="L350" s="146">
        <f t="shared" si="39"/>
        <v>13507.25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148.30094422485726</v>
      </c>
      <c r="Q350" s="14">
        <f>+SUM('1:30'!Q350)</f>
        <v>34.5</v>
      </c>
      <c r="R350" s="19">
        <f t="shared" si="41"/>
        <v>621</v>
      </c>
      <c r="S350" s="146">
        <f t="shared" si="42"/>
        <v>472.69905577514271</v>
      </c>
      <c r="T350" s="20">
        <v>5</v>
      </c>
      <c r="U350" s="14">
        <f>+SUM('1:30'!U350)</f>
        <v>18</v>
      </c>
      <c r="V350" s="143">
        <f t="array" ref="V350">IF(ISERROR(L350/K350),"",L350/K350)</f>
        <v>0.98979591836734693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4">
        <f>+SUM('1:30'!G378)</f>
        <v>27</v>
      </c>
      <c r="H378" s="14">
        <f>+SUM('1:30'!H378)</f>
        <v>0</v>
      </c>
      <c r="I378" s="14">
        <f>+SUM('1:30'!I378)</f>
        <v>24.7</v>
      </c>
      <c r="J378" s="14">
        <f>+SUM('1:30'!J378)</f>
        <v>120</v>
      </c>
      <c r="K378" s="146">
        <f t="shared" si="46"/>
        <v>14061.599999999999</v>
      </c>
      <c r="L378" s="146">
        <f t="shared" si="47"/>
        <v>12863.759999999998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121.15425531914892</v>
      </c>
      <c r="Q378" s="14">
        <f>+SUM('1:30'!Q378)</f>
        <v>26</v>
      </c>
      <c r="R378" s="19">
        <f t="shared" si="49"/>
        <v>598</v>
      </c>
      <c r="S378" s="146">
        <f t="shared" si="50"/>
        <v>476.84574468085111</v>
      </c>
      <c r="T378" s="20">
        <v>5</v>
      </c>
      <c r="U378" s="14">
        <f>+SUM('1:30'!U378)</f>
        <v>23</v>
      </c>
      <c r="V378" s="143">
        <f t="array" ref="V378">IF(ISERROR(L378/K378),"",L378/K378)</f>
        <v>0.91481481481481475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2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4">
        <f>+SUM('1:30'!G379)</f>
        <v>11</v>
      </c>
      <c r="H379" s="14">
        <f>+SUM('1:30'!H379)</f>
        <v>0</v>
      </c>
      <c r="I379" s="14">
        <f>+SUM('1:30'!I379)</f>
        <v>10.55</v>
      </c>
      <c r="J379" s="14">
        <f>+SUM('1:30'!J379)</f>
        <v>180</v>
      </c>
      <c r="K379" s="146">
        <f t="shared" si="46"/>
        <v>5839.9</v>
      </c>
      <c r="L379" s="146">
        <f t="shared" si="47"/>
        <v>5600.9949999999999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47.744433647026739</v>
      </c>
      <c r="Q379" s="14">
        <f>+SUM('1:30'!Q379)</f>
        <v>11</v>
      </c>
      <c r="R379" s="19">
        <f t="shared" si="49"/>
        <v>77</v>
      </c>
      <c r="S379" s="146">
        <f t="shared" si="50"/>
        <v>29.255566352973261</v>
      </c>
      <c r="T379" s="20">
        <v>5</v>
      </c>
      <c r="U379" s="14">
        <f>+SUM('1:30'!U379)</f>
        <v>7</v>
      </c>
      <c r="V379" s="143">
        <f t="array" ref="V379">IF(ISERROR(L379/K379),"",L379/K379)</f>
        <v>0.95909090909090911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70" t="s">
        <v>168</v>
      </c>
      <c r="D396" s="271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70" t="s">
        <v>168</v>
      </c>
      <c r="D397" s="271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67" t="s">
        <v>168</v>
      </c>
      <c r="D398" s="268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67" t="s">
        <v>168</v>
      </c>
      <c r="D399" s="268"/>
      <c r="E399" s="150" t="s">
        <v>66</v>
      </c>
      <c r="F399" s="13"/>
      <c r="G399" s="14">
        <f>+SUM('1:30'!G399)</f>
        <v>10.38</v>
      </c>
      <c r="H399" s="14">
        <f>+SUM('1:30'!H399)</f>
        <v>1.075</v>
      </c>
      <c r="I399" s="14">
        <f>+SUM('1:30'!I399)</f>
        <v>10.074999999999999</v>
      </c>
      <c r="J399" s="14">
        <f>+SUM('1:30'!J399)</f>
        <v>0</v>
      </c>
      <c r="K399" s="136">
        <f t="shared" si="46"/>
        <v>4546.4400000000005</v>
      </c>
      <c r="L399" s="146">
        <f t="shared" si="47"/>
        <v>4412.8499999999995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52.431502525252519</v>
      </c>
      <c r="Q399" s="14">
        <f>+SUM('1:30'!Q399)</f>
        <v>10.5</v>
      </c>
      <c r="R399" s="19">
        <f t="shared" si="49"/>
        <v>126</v>
      </c>
      <c r="S399" s="146">
        <f t="shared" si="50"/>
        <v>73.568497474747488</v>
      </c>
      <c r="T399" s="20">
        <v>5</v>
      </c>
      <c r="U399" s="14">
        <f>+SUM('1:30'!U399)</f>
        <v>12</v>
      </c>
      <c r="V399" s="143">
        <f t="array" ref="V399">IF(ISERROR(L399/K399),"",L399/K399)</f>
        <v>0.97061657032755277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4">
        <f>+SUM('1:30'!G400)</f>
        <v>9</v>
      </c>
      <c r="H400" s="14">
        <f>+SUM('1:30'!H400)</f>
        <v>0.33333333333333331</v>
      </c>
      <c r="I400" s="14">
        <f>+SUM('1:30'!I400)</f>
        <v>8</v>
      </c>
      <c r="J400" s="14">
        <f>+SUM('1:30'!J400)</f>
        <v>100</v>
      </c>
      <c r="K400" s="146">
        <f>G400*M400</f>
        <v>3029.4</v>
      </c>
      <c r="L400" s="146">
        <f>I400*M400</f>
        <v>2692.8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11.081481481481481</v>
      </c>
      <c r="Q400" s="14">
        <f>+SUM('1:30'!Q400)</f>
        <v>11.5</v>
      </c>
      <c r="R400" s="19">
        <f>Q400*U400</f>
        <v>57.5</v>
      </c>
      <c r="S400" s="146">
        <f>R400-P400</f>
        <v>46.418518518518518</v>
      </c>
      <c r="T400" s="20">
        <v>2</v>
      </c>
      <c r="U400" s="14">
        <f>+SUM('1:30'!U400)</f>
        <v>5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4">
        <f>+SUM('1:30'!G402)</f>
        <v>9</v>
      </c>
      <c r="H402" s="14">
        <f>+SUM('1:30'!H402)</f>
        <v>0</v>
      </c>
      <c r="I402" s="14">
        <f>+SUM('1:30'!I402)</f>
        <v>7.666666666666667</v>
      </c>
      <c r="J402" s="14">
        <f>+SUM('1:30'!J402)</f>
        <v>100</v>
      </c>
      <c r="K402" s="146">
        <f>G402*M402</f>
        <v>3029.4</v>
      </c>
      <c r="L402" s="146">
        <f>I402*M402</f>
        <v>2580.6000000000004</v>
      </c>
      <c r="M402" s="146">
        <v>336.6</v>
      </c>
      <c r="N402" s="146">
        <f>+M402*1000/(45*10*18*60)*T402</f>
        <v>1.3851851851851851</v>
      </c>
      <c r="O402" s="14">
        <f>+SUM('1:30'!O402)</f>
        <v>0.5</v>
      </c>
      <c r="P402" s="146">
        <f>N402*I402+O402*U402</f>
        <v>13.119753086419752</v>
      </c>
      <c r="Q402" s="14">
        <f>+SUM('1:30'!Q402)</f>
        <v>10</v>
      </c>
      <c r="R402" s="19">
        <f>Q402*U402</f>
        <v>50</v>
      </c>
      <c r="S402" s="146">
        <f>R402-P402</f>
        <v>36.880246913580251</v>
      </c>
      <c r="T402" s="20">
        <v>2</v>
      </c>
      <c r="U402" s="14">
        <f>+SUM('1:30'!U402)</f>
        <v>5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4">
        <f>+SUM('1:30'!G403)</f>
        <v>10.1</v>
      </c>
      <c r="H403" s="14">
        <f>+SUM('1:30'!H403)</f>
        <v>0.30000000000000004</v>
      </c>
      <c r="I403" s="14">
        <f>+SUM('1:30'!I403)</f>
        <v>9.6333333333333329</v>
      </c>
      <c r="J403" s="14">
        <f>+SUM('1:30'!J403)</f>
        <v>200</v>
      </c>
      <c r="K403" s="146">
        <f>G403*M403</f>
        <v>3399.6600000000003</v>
      </c>
      <c r="L403" s="146">
        <f>I403*M403</f>
        <v>3242.58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13.34395061728395</v>
      </c>
      <c r="Q403" s="14">
        <f>+SUM('1:30'!Q403)</f>
        <v>13</v>
      </c>
      <c r="R403" s="19">
        <f>Q403*U403</f>
        <v>143</v>
      </c>
      <c r="S403" s="146">
        <f>R403-P403</f>
        <v>129.65604938271605</v>
      </c>
      <c r="T403" s="20">
        <v>2</v>
      </c>
      <c r="U403" s="14">
        <f>+SUM('1:30'!U403)</f>
        <v>11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646.07000000000016</v>
      </c>
      <c r="H408" s="146">
        <f t="array" ref="H408">SUM(IF(ISERROR(H215:H407),“”,H215:H407))</f>
        <v>16.73928571428571</v>
      </c>
      <c r="I408" s="146">
        <f t="array" ref="I408">SUM(IF(ISERROR(I215:I407),“”,I215:I407))</f>
        <v>628.16500000000008</v>
      </c>
      <c r="J408" s="146">
        <f t="array" ref="J408">SUM(IF(ISERROR(J215:J407),“”,J215:J407))</f>
        <v>6220</v>
      </c>
      <c r="K408" s="14">
        <f>+SUM('1:30'!K408)</f>
        <v>301706.69699999999</v>
      </c>
      <c r="L408" s="14">
        <f>+SUM('1:30'!L408)</f>
        <v>293648.99475714285</v>
      </c>
      <c r="M408" s="146"/>
      <c r="N408" s="146"/>
      <c r="O408" s="146">
        <f t="array" ref="O408">SUM(IF(ISERROR(O215:O407),“”,O215:O407))</f>
        <v>17.5</v>
      </c>
      <c r="P408" s="14">
        <f>+SUM('1:30'!P408)</f>
        <v>4224.1290255212261</v>
      </c>
      <c r="Q408" s="146"/>
      <c r="R408" s="14">
        <f>+SUM('1:30'!R408)</f>
        <v>4738.7</v>
      </c>
      <c r="S408" s="146">
        <f t="array" ref="S408">SUM(IF(ISERROR(S215:S407),“”,S215:S407))</f>
        <v>2940.5427320033359</v>
      </c>
      <c r="T408" s="146"/>
      <c r="U408" s="146"/>
      <c r="V408" s="143">
        <f t="array" ref="V408">IF(ISERROR(L408/K408),"",L408/K408)</f>
        <v>0.97329292878488161</v>
      </c>
      <c r="W408" s="146">
        <f t="array" ref="W408">SUM(IF(ISERROR(W215:W407),“”,W215:W407))</f>
        <v>2.5</v>
      </c>
      <c r="X408" s="146">
        <f t="array" ref="X408">SUM(IF(ISERROR(X215:X407),“”,X215:X407))</f>
        <v>31.61666666666666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43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0.89141094087433814</v>
      </c>
      <c r="P409" s="282"/>
      <c r="Q409" s="282"/>
      <c r="R409" s="283"/>
      <c r="S409" s="44"/>
      <c r="T409" s="45"/>
      <c r="U409" s="45"/>
      <c r="V409" s="45"/>
      <c r="W409" s="284">
        <f>SUM(W408:AC408)</f>
        <v>77.11666666666666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368">
        <f>+SUM('1:30'!E411)</f>
        <v>1454</v>
      </c>
      <c r="F411" s="368"/>
      <c r="G411" s="368">
        <f>+SUM('1:30'!G411)</f>
        <v>1454</v>
      </c>
      <c r="H411" s="368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368">
        <f>+SUM('1:30'!E412)</f>
        <v>52107.4</v>
      </c>
      <c r="F412" s="368"/>
      <c r="G412" s="368">
        <f>+SUM('1:30'!G412)</f>
        <v>105922.80000000002</v>
      </c>
      <c r="H412" s="368"/>
      <c r="I412" s="287">
        <f>G412-E412</f>
        <v>53815.400000000016</v>
      </c>
      <c r="J412" s="287"/>
      <c r="K412" s="289">
        <f t="array" ref="K412">IF(ISERROR(I412/E412),"",I412/E412)</f>
        <v>1.0327784537320996</v>
      </c>
      <c r="L412" s="289"/>
      <c r="M412" s="274"/>
      <c r="N412" s="275"/>
      <c r="O412" s="329"/>
      <c r="P412" s="329"/>
      <c r="Q412" s="291" t="s">
        <v>193</v>
      </c>
      <c r="R412" s="291"/>
      <c r="S412" s="368">
        <f>+SUM('1:30'!S412)</f>
        <v>260</v>
      </c>
      <c r="T412" s="368"/>
      <c r="U412" s="368">
        <f>+SUM('1:30'!U412)</f>
        <v>285</v>
      </c>
      <c r="V412" s="368"/>
      <c r="W412" s="291">
        <f>S412*9</f>
        <v>2340</v>
      </c>
      <c r="X412" s="291"/>
      <c r="Y412" s="291">
        <f>U412*9</f>
        <v>2565</v>
      </c>
      <c r="Z412" s="291"/>
      <c r="AA412" s="291">
        <f t="shared" ref="AA412:AA419" si="59">Y412-W412</f>
        <v>225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368">
        <f>+SUM('1:30'!E413)</f>
        <v>9218</v>
      </c>
      <c r="F413" s="368"/>
      <c r="G413" s="368">
        <f>+SUM('1:30'!G413)</f>
        <v>8592</v>
      </c>
      <c r="H413" s="368"/>
      <c r="I413" s="287">
        <f>G413-E413</f>
        <v>-626</v>
      </c>
      <c r="J413" s="287"/>
      <c r="K413" s="289">
        <f t="array" ref="K413">IF(ISERROR(I413/E413),"",I413/E413)</f>
        <v>-6.7910609676719455E-2</v>
      </c>
      <c r="L413" s="289"/>
      <c r="M413" s="274"/>
      <c r="N413" s="275"/>
      <c r="O413" s="329"/>
      <c r="P413" s="329"/>
      <c r="Q413" s="291" t="s">
        <v>195</v>
      </c>
      <c r="R413" s="291"/>
      <c r="S413" s="368">
        <f>+SUM('1:30'!S413)</f>
        <v>52</v>
      </c>
      <c r="T413" s="368"/>
      <c r="U413" s="368">
        <f>+SUM('1:30'!U413)</f>
        <v>69</v>
      </c>
      <c r="V413" s="368"/>
      <c r="W413" s="291">
        <f t="shared" ref="W413:W418" si="60">S413*9</f>
        <v>468</v>
      </c>
      <c r="X413" s="291"/>
      <c r="Y413" s="291">
        <f t="shared" ref="Y413:Y418" si="61">U413*9</f>
        <v>621</v>
      </c>
      <c r="Z413" s="291"/>
      <c r="AA413" s="291">
        <f t="shared" si="59"/>
        <v>153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8">
        <f>+SUM('1:30'!S414)</f>
        <v>10.5</v>
      </c>
      <c r="T414" s="368"/>
      <c r="U414" s="368">
        <f>+SUM('1:30'!U414)</f>
        <v>10</v>
      </c>
      <c r="V414" s="368"/>
      <c r="W414" s="291">
        <f t="shared" si="60"/>
        <v>94.5</v>
      </c>
      <c r="X414" s="291"/>
      <c r="Y414" s="291">
        <f t="shared" si="61"/>
        <v>90</v>
      </c>
      <c r="Z414" s="291"/>
      <c r="AA414" s="291">
        <f t="shared" si="59"/>
        <v>-4.5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68">
        <f>+SUM('1:30'!G415)</f>
        <v>2101464</v>
      </c>
      <c r="H415" s="368"/>
      <c r="I415" s="368">
        <f>+SUM('1:30'!I415)</f>
        <v>2099951</v>
      </c>
      <c r="J415" s="368"/>
      <c r="K415" s="297">
        <f>G415-I415</f>
        <v>1513</v>
      </c>
      <c r="L415" s="297"/>
      <c r="M415" s="298">
        <f t="array" ref="M415">IF(ISERROR(K415/L408),"",K415/(L408/1000))</f>
        <v>5.1524099418467255</v>
      </c>
      <c r="N415" s="298"/>
      <c r="O415" s="329"/>
      <c r="P415" s="329"/>
      <c r="Q415" s="291" t="s">
        <v>205</v>
      </c>
      <c r="R415" s="291"/>
      <c r="S415" s="368">
        <f>+SUM('1:30'!S415)</f>
        <v>10.5</v>
      </c>
      <c r="T415" s="368"/>
      <c r="U415" s="368">
        <f>+SUM('1:30'!U415)</f>
        <v>10</v>
      </c>
      <c r="V415" s="368"/>
      <c r="W415" s="291">
        <f t="shared" si="60"/>
        <v>94.5</v>
      </c>
      <c r="X415" s="291"/>
      <c r="Y415" s="291">
        <f t="shared" si="61"/>
        <v>90</v>
      </c>
      <c r="Z415" s="291"/>
      <c r="AA415" s="291">
        <f t="shared" si="59"/>
        <v>-4.5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68">
        <f>+SUM('1:30'!G416)</f>
        <v>85804068</v>
      </c>
      <c r="H416" s="368"/>
      <c r="I416" s="368">
        <f>+SUM('1:30'!I416)</f>
        <v>85781160</v>
      </c>
      <c r="J416" s="368"/>
      <c r="K416" s="297">
        <f>G416-I416</f>
        <v>22908</v>
      </c>
      <c r="L416" s="297"/>
      <c r="M416" s="298">
        <f t="array" ref="M416">IF(ISERROR(K416/L408),"",K416/(L408/1000))</f>
        <v>78.011504922554394</v>
      </c>
      <c r="N416" s="298"/>
      <c r="O416" s="329"/>
      <c r="P416" s="329"/>
      <c r="Q416" s="291" t="s">
        <v>208</v>
      </c>
      <c r="R416" s="291"/>
      <c r="S416" s="368">
        <f>+SUM('1:30'!S416)</f>
        <v>21</v>
      </c>
      <c r="T416" s="368"/>
      <c r="U416" s="368">
        <f>+SUM('1:30'!U416)</f>
        <v>13</v>
      </c>
      <c r="V416" s="368"/>
      <c r="W416" s="291">
        <f t="shared" si="60"/>
        <v>189</v>
      </c>
      <c r="X416" s="291"/>
      <c r="Y416" s="291">
        <f t="shared" si="61"/>
        <v>117</v>
      </c>
      <c r="Z416" s="291"/>
      <c r="AA416" s="291">
        <f t="shared" si="59"/>
        <v>-72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68">
        <f>+SUM('1:30'!G417)</f>
        <v>381913</v>
      </c>
      <c r="H417" s="368"/>
      <c r="I417" s="368">
        <f>+SUM('1:30'!I417)</f>
        <v>381711</v>
      </c>
      <c r="J417" s="368"/>
      <c r="K417" s="297">
        <f>G417-I417</f>
        <v>202</v>
      </c>
      <c r="L417" s="297"/>
      <c r="M417" s="301">
        <f t="array" ref="M417">IF(ISERROR(K417/L408),"",K417/(L408/1000))</f>
        <v>0.68789610591740824</v>
      </c>
      <c r="N417" s="301"/>
      <c r="O417" s="329"/>
      <c r="P417" s="329"/>
      <c r="Q417" s="291" t="s">
        <v>211</v>
      </c>
      <c r="R417" s="291"/>
      <c r="S417" s="368">
        <f>+SUM('1:30'!S417)</f>
        <v>14</v>
      </c>
      <c r="T417" s="368"/>
      <c r="U417" s="368">
        <f>+SUM('1:30'!U417)</f>
        <v>14</v>
      </c>
      <c r="V417" s="368"/>
      <c r="W417" s="291">
        <f t="shared" si="60"/>
        <v>126</v>
      </c>
      <c r="X417" s="291"/>
      <c r="Y417" s="291">
        <f t="shared" si="61"/>
        <v>126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68">
        <f>+SUM('1:30'!K418)</f>
        <v>44.339999999999996</v>
      </c>
      <c r="L418" s="368"/>
      <c r="M418" s="302">
        <f t="array" ref="M418">IF(ISERROR((K418+K419)/L408),"",((K418+K419)*1000)/(L408/1000))</f>
        <v>150.99660067513798</v>
      </c>
      <c r="N418" s="303"/>
      <c r="O418" s="329"/>
      <c r="P418" s="329"/>
      <c r="Q418" s="291" t="s">
        <v>214</v>
      </c>
      <c r="R418" s="291"/>
      <c r="S418" s="368">
        <f>+SUM('1:30'!S418)</f>
        <v>42</v>
      </c>
      <c r="T418" s="368"/>
      <c r="U418" s="368">
        <f>+SUM('1:30'!U418)</f>
        <v>64</v>
      </c>
      <c r="V418" s="368"/>
      <c r="W418" s="291">
        <f t="shared" si="60"/>
        <v>378</v>
      </c>
      <c r="X418" s="291"/>
      <c r="Y418" s="291">
        <f t="shared" si="61"/>
        <v>576</v>
      </c>
      <c r="Z418" s="291"/>
      <c r="AA418" s="291">
        <f t="shared" si="59"/>
        <v>198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68">
        <f>+SUM('1:30'!K419)</f>
        <v>0</v>
      </c>
      <c r="L419" s="368"/>
      <c r="M419" s="304"/>
      <c r="N419" s="305"/>
      <c r="O419" s="329"/>
      <c r="P419" s="329"/>
      <c r="Q419" s="291" t="s">
        <v>216</v>
      </c>
      <c r="R419" s="291"/>
      <c r="S419" s="292">
        <f>SUM(S412:T418)</f>
        <v>410</v>
      </c>
      <c r="T419" s="292"/>
      <c r="U419" s="292">
        <f>SUM(U412:V418)</f>
        <v>465</v>
      </c>
      <c r="V419" s="292"/>
      <c r="W419" s="368">
        <f>+SUM('1:30'!W419)</f>
        <v>4197.5</v>
      </c>
      <c r="X419" s="368"/>
      <c r="Y419" s="368">
        <f>+SUM('1:30'!Y419)</f>
        <v>4765</v>
      </c>
      <c r="Z419" s="368"/>
      <c r="AA419" s="291">
        <f t="shared" si="59"/>
        <v>567.5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4.5557059088858818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61.626231848298602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580933.48989999993</v>
      </c>
      <c r="D423" s="345"/>
      <c r="E423" s="341" t="s">
        <v>226</v>
      </c>
      <c r="F423" s="341"/>
      <c r="G423" s="341">
        <f>L199+L408</f>
        <v>563955.93539047614</v>
      </c>
      <c r="H423" s="341"/>
      <c r="I423" s="348" t="s">
        <v>227</v>
      </c>
      <c r="J423" s="348"/>
      <c r="K423" s="347">
        <f>IF(ISERROR(G423/C423),"",G423/C423)</f>
        <v>0.97077539029046811</v>
      </c>
      <c r="L423" s="347"/>
      <c r="M423" s="341" t="s">
        <v>228</v>
      </c>
      <c r="N423" s="341"/>
      <c r="O423" s="342">
        <f>IF(ISERROR(G423/G424),"",G423/G424)</f>
        <v>56.757707714264619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8321.4629166787581</v>
      </c>
      <c r="D424" s="345"/>
      <c r="E424" s="346" t="s">
        <v>18</v>
      </c>
      <c r="F424" s="346"/>
      <c r="G424" s="341">
        <f>R199+R408</f>
        <v>9936.2000000000007</v>
      </c>
      <c r="H424" s="341"/>
      <c r="I424" s="321" t="s">
        <v>176</v>
      </c>
      <c r="J424" s="321"/>
      <c r="K424" s="347">
        <f>IF(ISERROR(C424/G424),"",C424/G424)</f>
        <v>0.83748947451528322</v>
      </c>
      <c r="L424" s="347"/>
      <c r="M424" s="287" t="s">
        <v>230</v>
      </c>
      <c r="N424" s="287"/>
      <c r="O424" s="341">
        <f>W200+W409</f>
        <v>134.61666666666667</v>
      </c>
      <c r="P424" s="287"/>
      <c r="Q424" s="287" t="s">
        <v>231</v>
      </c>
      <c r="R424" s="287"/>
      <c r="S424" s="347">
        <f t="array" ref="S424">IF(ISERROR(O424/G424),"",O424/G424)</f>
        <v>1.3548103567426849E-2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2857</v>
      </c>
      <c r="D426" s="345"/>
      <c r="E426" s="341" t="s">
        <v>234</v>
      </c>
      <c r="F426" s="341"/>
      <c r="G426" s="301">
        <f t="array" ref="G426">IF(ISERROR(C426/G423),"",C426/(G423/1000))</f>
        <v>5.0659986369712522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43278</v>
      </c>
      <c r="D427" s="345"/>
      <c r="E427" s="341" t="s">
        <v>236</v>
      </c>
      <c r="F427" s="341"/>
      <c r="G427" s="301">
        <f>IF(ISERROR(C427/G423),"",C427/(G423/1000))</f>
        <v>76.740038155702436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412</v>
      </c>
      <c r="D428" s="345"/>
      <c r="E428" s="341" t="s">
        <v>238</v>
      </c>
      <c r="F428" s="341"/>
      <c r="G428" s="301">
        <f>IF(ISERROR(C428/G423),"",C428/(G423/1000))</f>
        <v>0.73055353112781096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91.990000000000009</v>
      </c>
      <c r="D429" s="345"/>
      <c r="E429" s="341" t="s">
        <v>240</v>
      </c>
      <c r="F429" s="341"/>
      <c r="G429" s="349">
        <f>IF(ISERROR(C429/G423),"",C429/(G423/1000))</f>
        <v>0.16311558089428965</v>
      </c>
      <c r="H429" s="349"/>
      <c r="I429" s="341" t="s">
        <v>241</v>
      </c>
      <c r="J429" s="341"/>
      <c r="K429" s="350">
        <f>IF(ISERROR(C428/C429),"",C428/C429)</f>
        <v>4.4787476899663003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2849.5</v>
      </c>
      <c r="D432" s="354"/>
      <c r="E432" s="341" t="s">
        <v>247</v>
      </c>
      <c r="F432" s="359"/>
      <c r="G432" s="355">
        <f>+G411+G202</f>
        <v>2849.5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101506.9</v>
      </c>
      <c r="D433" s="354"/>
      <c r="E433" s="341" t="s">
        <v>251</v>
      </c>
      <c r="F433" s="341"/>
      <c r="G433" s="355">
        <f>+G412+G203</f>
        <v>158335.80000000002</v>
      </c>
      <c r="H433" s="356"/>
      <c r="I433" s="341" t="s">
        <v>252</v>
      </c>
      <c r="J433" s="341"/>
      <c r="K433" s="323">
        <f>G433-C433</f>
        <v>56828.900000000023</v>
      </c>
      <c r="L433" s="325"/>
      <c r="M433" s="357" t="s">
        <v>253</v>
      </c>
      <c r="N433" s="358"/>
      <c r="O433" s="351">
        <f t="array" ref="O433">IF(ISERROR(K433/C433),"",K433/C433)</f>
        <v>0.55985258145012828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22729</v>
      </c>
      <c r="D434" s="354"/>
      <c r="E434" s="341" t="s">
        <v>255</v>
      </c>
      <c r="F434" s="359"/>
      <c r="G434" s="355">
        <f>+G413+G204</f>
        <v>22238</v>
      </c>
      <c r="H434" s="356"/>
      <c r="I434" s="341" t="s">
        <v>256</v>
      </c>
      <c r="J434" s="359"/>
      <c r="K434" s="323">
        <f>G434-C434</f>
        <v>-491</v>
      </c>
      <c r="L434" s="325"/>
      <c r="M434" s="357" t="s">
        <v>257</v>
      </c>
      <c r="N434" s="358"/>
      <c r="O434" s="351">
        <f t="array" ref="O434">IF(ISERROR(K434/C434),"",K434/C434)</f>
        <v>-2.160235822077522E-2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56" t="s">
        <v>46</v>
      </c>
      <c r="D20" s="256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56" t="s">
        <v>51</v>
      </c>
      <c r="D25" s="256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56" t="s">
        <v>51</v>
      </c>
      <c r="D26" s="256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256" t="s">
        <v>316</v>
      </c>
      <c r="D74" s="256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256" t="s">
        <v>316</v>
      </c>
      <c r="D75" s="256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56" t="s">
        <v>317</v>
      </c>
      <c r="D78" s="256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256" t="s">
        <v>318</v>
      </c>
      <c r="D99" s="256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56" t="s">
        <v>112</v>
      </c>
      <c r="D101" s="256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70" t="s">
        <v>305</v>
      </c>
      <c r="D108" s="271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70" t="s">
        <v>305</v>
      </c>
      <c r="D109" s="271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70" t="s">
        <v>305</v>
      </c>
      <c r="D110" s="271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67" t="s">
        <v>168</v>
      </c>
      <c r="D187" s="268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67" t="s">
        <v>168</v>
      </c>
      <c r="D190" s="268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0.84848798062174724</v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2732.8</v>
      </c>
      <c r="F203" s="287"/>
      <c r="G203" s="287">
        <v>2802.8</v>
      </c>
      <c r="H203" s="287"/>
      <c r="I203" s="287">
        <f>G203-E203</f>
        <v>70</v>
      </c>
      <c r="J203" s="287"/>
      <c r="K203" s="289">
        <f t="array" ref="K203">IF(ISERROR(I203/E203),"",I203/E203)</f>
        <v>2.5614754098360653E-2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13</v>
      </c>
      <c r="T203" s="292"/>
      <c r="U203" s="292">
        <v>17</v>
      </c>
      <c r="V203" s="292"/>
      <c r="W203" s="291">
        <f t="shared" ref="W203:W210" si="28">S203*11</f>
        <v>143</v>
      </c>
      <c r="X203" s="291"/>
      <c r="Y203" s="291">
        <f t="shared" ref="Y203:Y210" si="29">U203*11</f>
        <v>187</v>
      </c>
      <c r="Z203" s="291"/>
      <c r="AA203" s="291">
        <f t="shared" ref="AA203:AA210" si="30">Y203-W203</f>
        <v>44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2</v>
      </c>
      <c r="T204" s="292"/>
      <c r="U204" s="292">
        <v>7</v>
      </c>
      <c r="V204" s="292"/>
      <c r="W204" s="291">
        <f t="shared" si="28"/>
        <v>22</v>
      </c>
      <c r="X204" s="291"/>
      <c r="Y204" s="291">
        <f t="shared" si="29"/>
        <v>77</v>
      </c>
      <c r="Z204" s="291"/>
      <c r="AA204" s="291">
        <f t="shared" si="30"/>
        <v>55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293">
        <v>148909</v>
      </c>
      <c r="H206" s="294"/>
      <c r="I206" s="333">
        <v>148863</v>
      </c>
      <c r="J206" s="334"/>
      <c r="K206" s="297">
        <f>G206-I206</f>
        <v>46</v>
      </c>
      <c r="L206" s="297"/>
      <c r="M206" s="298">
        <f t="array" ref="M206">IF(ISERROR(K206/L199),"",K206/(L199/1000))</f>
        <v>3.2640607399128996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8"/>
        <v>8.25</v>
      </c>
      <c r="X206" s="291"/>
      <c r="Y206" s="291">
        <f t="shared" si="29"/>
        <v>0</v>
      </c>
      <c r="Z206" s="291"/>
      <c r="AA206" s="291">
        <f t="shared" si="30"/>
        <v>-8.25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293">
        <f>28523.9*120+44808.9*60</f>
        <v>6111402</v>
      </c>
      <c r="H207" s="294"/>
      <c r="I207" s="333">
        <v>6110394</v>
      </c>
      <c r="J207" s="334"/>
      <c r="K207" s="297">
        <f>G207-I207</f>
        <v>1008</v>
      </c>
      <c r="L207" s="297"/>
      <c r="M207" s="298">
        <f t="array" ref="M207">IF(ISERROR(K207/L199),"",K207/(L199/1000))</f>
        <v>71.525504909395707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0</v>
      </c>
      <c r="V207" s="292"/>
      <c r="W207" s="291">
        <f t="shared" si="28"/>
        <v>16.5</v>
      </c>
      <c r="X207" s="291"/>
      <c r="Y207" s="291">
        <f t="shared" si="29"/>
        <v>0</v>
      </c>
      <c r="Z207" s="291"/>
      <c r="AA207" s="291">
        <f t="shared" si="30"/>
        <v>-16.5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293">
        <f>+I208+10</f>
        <v>27757</v>
      </c>
      <c r="H208" s="294"/>
      <c r="I208" s="293">
        <v>27747</v>
      </c>
      <c r="J208" s="294"/>
      <c r="K208" s="297">
        <f>G208-I208</f>
        <v>10</v>
      </c>
      <c r="L208" s="297"/>
      <c r="M208" s="301">
        <f t="array" ref="M208">IF(ISERROR(K208/L199),"",K208/(L199/1000))</f>
        <v>0.70957842172019547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1.6+1.44/2</f>
        <v>2.3200000000000003</v>
      </c>
      <c r="L209" s="300"/>
      <c r="M209" s="302">
        <f t="array" ref="M209">IF(ISERROR((K209+K210)/L199),"",((K209+K210)*1000)/(L199/1000))</f>
        <v>164.62219383908538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8</v>
      </c>
      <c r="V209" s="292"/>
      <c r="W209" s="291">
        <f t="shared" si="28"/>
        <v>33</v>
      </c>
      <c r="X209" s="291"/>
      <c r="Y209" s="291">
        <f t="shared" si="29"/>
        <v>88</v>
      </c>
      <c r="Z209" s="291"/>
      <c r="AA209" s="291">
        <f t="shared" si="30"/>
        <v>55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22</v>
      </c>
      <c r="T210" s="292"/>
      <c r="U210" s="292">
        <f>SUM(U203:V209)</f>
        <v>33</v>
      </c>
      <c r="V210" s="292"/>
      <c r="W210" s="291">
        <f t="shared" si="28"/>
        <v>242</v>
      </c>
      <c r="X210" s="291"/>
      <c r="Y210" s="291">
        <f t="shared" si="29"/>
        <v>363</v>
      </c>
      <c r="Z210" s="291"/>
      <c r="AA210" s="291">
        <f t="shared" si="30"/>
        <v>121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4.3103448275862064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38.823347107438018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56" t="s">
        <v>46</v>
      </c>
      <c r="D229" s="256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56" t="s">
        <v>51</v>
      </c>
      <c r="D235" s="256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56" t="s">
        <v>51</v>
      </c>
      <c r="D236" s="256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56" t="s">
        <v>77</v>
      </c>
      <c r="D267" s="256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56" t="s">
        <v>316</v>
      </c>
      <c r="D283" s="256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56" t="s">
        <v>316</v>
      </c>
      <c r="D284" s="256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256" t="s">
        <v>317</v>
      </c>
      <c r="D285" s="256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256" t="s">
        <v>317</v>
      </c>
      <c r="D286" s="256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256" t="s">
        <v>317</v>
      </c>
      <c r="D287" s="256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56" t="s">
        <v>318</v>
      </c>
      <c r="D307" s="256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56" t="s">
        <v>318</v>
      </c>
      <c r="D308" s="256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56" t="s">
        <v>112</v>
      </c>
      <c r="D309" s="256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56" t="s">
        <v>112</v>
      </c>
      <c r="D310" s="256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69" t="s">
        <v>121</v>
      </c>
      <c r="D322" s="269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69" t="s">
        <v>121</v>
      </c>
      <c r="D323" s="269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69" t="s">
        <v>121</v>
      </c>
      <c r="D324" s="269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70" t="s">
        <v>168</v>
      </c>
      <c r="D396" s="271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70" t="s">
        <v>168</v>
      </c>
      <c r="D397" s="271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67" t="s">
        <v>168</v>
      </c>
      <c r="D398" s="268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67" t="s">
        <v>168</v>
      </c>
      <c r="D399" s="268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0.89269891681854674</v>
      </c>
      <c r="P409" s="282"/>
      <c r="Q409" s="282"/>
      <c r="R409" s="283"/>
      <c r="S409" s="44"/>
      <c r="T409" s="45"/>
      <c r="U409" s="45"/>
      <c r="V409" s="45"/>
      <c r="W409" s="284">
        <f>SUM(W408:AC408)</f>
        <v>4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2274</v>
      </c>
      <c r="F412" s="287"/>
      <c r="G412" s="287">
        <v>2274</v>
      </c>
      <c r="H412" s="287"/>
      <c r="I412" s="287">
        <f>G412-E412</f>
        <v>0</v>
      </c>
      <c r="J412" s="287"/>
      <c r="K412" s="289">
        <f t="array" ref="K412">IF(ISERROR(I412/E412),"",I412/E412)</f>
        <v>0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13</v>
      </c>
      <c r="T412" s="292"/>
      <c r="U412" s="292">
        <v>16</v>
      </c>
      <c r="V412" s="292"/>
      <c r="W412" s="291">
        <f>S412*9</f>
        <v>117</v>
      </c>
      <c r="X412" s="291"/>
      <c r="Y412" s="291">
        <f>U412*9</f>
        <v>144</v>
      </c>
      <c r="Z412" s="291"/>
      <c r="AA412" s="291">
        <f t="shared" ref="AA412:AA419" si="59">Y412-W412</f>
        <v>27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2</v>
      </c>
      <c r="T413" s="292"/>
      <c r="U413" s="292">
        <v>6</v>
      </c>
      <c r="V413" s="292"/>
      <c r="W413" s="291">
        <f t="shared" ref="W413:W419" si="60">S413*9</f>
        <v>18</v>
      </c>
      <c r="X413" s="291"/>
      <c r="Y413" s="291">
        <f t="shared" ref="Y413:Y419" si="61">U413*9</f>
        <v>54</v>
      </c>
      <c r="Z413" s="291"/>
      <c r="AA413" s="291">
        <f t="shared" si="59"/>
        <v>36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32">
        <v>148956</v>
      </c>
      <c r="H415" s="332"/>
      <c r="I415" s="333">
        <v>148909</v>
      </c>
      <c r="J415" s="334"/>
      <c r="K415" s="297">
        <f>G415-I415</f>
        <v>47</v>
      </c>
      <c r="L415" s="297"/>
      <c r="M415" s="298">
        <f t="array" ref="M415">IF(ISERROR(K415/L408),"",K415/(L408/1000))</f>
        <v>3.99408535445383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0</v>
      </c>
      <c r="V415" s="292"/>
      <c r="W415" s="291">
        <f t="shared" si="60"/>
        <v>6.75</v>
      </c>
      <c r="X415" s="291"/>
      <c r="Y415" s="291">
        <f t="shared" si="61"/>
        <v>0</v>
      </c>
      <c r="Z415" s="291"/>
      <c r="AA415" s="291">
        <f t="shared" si="59"/>
        <v>-6.75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30">
        <f>28530.1*120+44815.6*60</f>
        <v>6112548</v>
      </c>
      <c r="H416" s="331"/>
      <c r="I416" s="330">
        <v>6111402</v>
      </c>
      <c r="J416" s="331"/>
      <c r="K416" s="297">
        <f>G416-I416</f>
        <v>1146</v>
      </c>
      <c r="L416" s="297"/>
      <c r="M416" s="298">
        <f t="array" ref="M416">IF(ISERROR(K416/L408),"",K416/(L408/1000))</f>
        <v>97.38769821710828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0</v>
      </c>
      <c r="V416" s="292"/>
      <c r="W416" s="291">
        <f t="shared" si="60"/>
        <v>13.5</v>
      </c>
      <c r="X416" s="291"/>
      <c r="Y416" s="291">
        <f t="shared" si="61"/>
        <v>0</v>
      </c>
      <c r="Z416" s="291"/>
      <c r="AA416" s="291">
        <f t="shared" si="59"/>
        <v>-13.5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32">
        <f>+I417+10</f>
        <v>27767</v>
      </c>
      <c r="H417" s="332"/>
      <c r="I417" s="335">
        <v>27757</v>
      </c>
      <c r="J417" s="336"/>
      <c r="K417" s="297">
        <f>G417-I417</f>
        <v>10</v>
      </c>
      <c r="L417" s="297"/>
      <c r="M417" s="301">
        <f t="array" ref="M417">IF(ISERROR(K417/L408),"",K417/(L408/1000))</f>
        <v>0.84980539456464466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1.44/2+1.6</f>
        <v>2.3200000000000003</v>
      </c>
      <c r="L418" s="309"/>
      <c r="M418" s="302">
        <f t="array" ref="M418">IF(ISERROR((K418+K419)/L408),"",((K418+K419)*1000)/(L408/1000))</f>
        <v>197.1548515389976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8</v>
      </c>
      <c r="V418" s="292"/>
      <c r="W418" s="291">
        <f t="shared" si="60"/>
        <v>27</v>
      </c>
      <c r="X418" s="291"/>
      <c r="Y418" s="291">
        <f t="shared" si="61"/>
        <v>72</v>
      </c>
      <c r="Z418" s="291"/>
      <c r="AA418" s="291">
        <f t="shared" si="59"/>
        <v>45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22</v>
      </c>
      <c r="T419" s="292"/>
      <c r="U419" s="292">
        <f>SUM(U412:V418)</f>
        <v>31</v>
      </c>
      <c r="V419" s="292"/>
      <c r="W419" s="291">
        <f t="shared" si="60"/>
        <v>198</v>
      </c>
      <c r="X419" s="291"/>
      <c r="Y419" s="291">
        <f t="shared" si="61"/>
        <v>279</v>
      </c>
      <c r="Z419" s="291"/>
      <c r="AA419" s="291">
        <f t="shared" si="59"/>
        <v>81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4.3103448275862064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42.177060931899639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26375.599999999999</v>
      </c>
      <c r="D423" s="345"/>
      <c r="E423" s="341" t="s">
        <v>226</v>
      </c>
      <c r="F423" s="341"/>
      <c r="G423" s="341">
        <f>L199+L408</f>
        <v>25860.275000000001</v>
      </c>
      <c r="H423" s="341"/>
      <c r="I423" s="348" t="s">
        <v>227</v>
      </c>
      <c r="J423" s="348"/>
      <c r="K423" s="347">
        <f>IF(ISERROR(G423/C423),"",G423/C423)</f>
        <v>0.98046205583948809</v>
      </c>
      <c r="L423" s="347"/>
      <c r="M423" s="341" t="s">
        <v>228</v>
      </c>
      <c r="N423" s="341"/>
      <c r="O423" s="342">
        <f>IF(ISERROR(G423/G424),"",G423/G424)</f>
        <v>47.845097132284927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469.37311648997508</v>
      </c>
      <c r="D424" s="345"/>
      <c r="E424" s="346" t="s">
        <v>18</v>
      </c>
      <c r="F424" s="346"/>
      <c r="G424" s="341">
        <f>R199+R408</f>
        <v>540.5</v>
      </c>
      <c r="H424" s="341"/>
      <c r="I424" s="321" t="s">
        <v>176</v>
      </c>
      <c r="J424" s="321"/>
      <c r="K424" s="347">
        <f>IF(ISERROR(C424/G424),"",C424/G424)</f>
        <v>0.86840539591114718</v>
      </c>
      <c r="L424" s="347"/>
      <c r="M424" s="287" t="s">
        <v>230</v>
      </c>
      <c r="N424" s="287"/>
      <c r="O424" s="341">
        <f>W200+W409</f>
        <v>4</v>
      </c>
      <c r="P424" s="287"/>
      <c r="Q424" s="287" t="s">
        <v>231</v>
      </c>
      <c r="R424" s="287"/>
      <c r="S424" s="347">
        <f t="array" ref="S424">IF(ISERROR(O424/G424),"",O424/G424)</f>
        <v>7.4005550416281225E-3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93</v>
      </c>
      <c r="D426" s="345"/>
      <c r="E426" s="341" t="s">
        <v>234</v>
      </c>
      <c r="F426" s="341"/>
      <c r="G426" s="301">
        <f t="array" ref="G426">IF(ISERROR(C426/G423),"",C426/(G423/1000))</f>
        <v>3.5962494598375305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2154</v>
      </c>
      <c r="D427" s="345"/>
      <c r="E427" s="341" t="s">
        <v>236</v>
      </c>
      <c r="F427" s="341"/>
      <c r="G427" s="301">
        <f>IF(ISERROR(C427/G423),"",C427/(G423/1000))</f>
        <v>83.293777811720872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20</v>
      </c>
      <c r="D428" s="345"/>
      <c r="E428" s="341" t="s">
        <v>238</v>
      </c>
      <c r="F428" s="341"/>
      <c r="G428" s="301">
        <f>IF(ISERROR(C428/G423),"",C428/(G423/1000))</f>
        <v>0.7733869806102216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4.6400000000000006</v>
      </c>
      <c r="D429" s="345"/>
      <c r="E429" s="341" t="s">
        <v>240</v>
      </c>
      <c r="F429" s="341"/>
      <c r="G429" s="349">
        <f>IF(ISERROR(C429/G423),"",C429/(G423/1000))</f>
        <v>0.17942577950157143</v>
      </c>
      <c r="H429" s="349"/>
      <c r="I429" s="341" t="s">
        <v>241</v>
      </c>
      <c r="J429" s="341"/>
      <c r="K429" s="350">
        <f>IF(ISERROR(C428/C429),"",C428/C429)</f>
        <v>4.3103448275862064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5006.8</v>
      </c>
      <c r="D433" s="354"/>
      <c r="E433" s="341" t="s">
        <v>251</v>
      </c>
      <c r="F433" s="341"/>
      <c r="G433" s="355">
        <f>+G412+G203</f>
        <v>5076.8</v>
      </c>
      <c r="H433" s="356"/>
      <c r="I433" s="341" t="s">
        <v>252</v>
      </c>
      <c r="J433" s="341"/>
      <c r="K433" s="323">
        <f>G433-C433</f>
        <v>70</v>
      </c>
      <c r="L433" s="325"/>
      <c r="M433" s="357" t="s">
        <v>253</v>
      </c>
      <c r="N433" s="358"/>
      <c r="O433" s="351">
        <f t="array" ref="O433">IF(ISERROR(K433/C433),"",K433/C433)</f>
        <v>1.3980985859231444E-2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35" t="s">
        <v>25</v>
      </c>
      <c r="S5" s="257"/>
      <c r="T5" s="259"/>
      <c r="U5" s="259"/>
      <c r="V5" s="26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9" t="s">
        <v>34</v>
      </c>
      <c r="D6" s="269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9" t="s">
        <v>34</v>
      </c>
      <c r="D7" s="269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9" t="s">
        <v>34</v>
      </c>
      <c r="D8" s="269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9" t="s">
        <v>34</v>
      </c>
      <c r="D9" s="269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56" t="s">
        <v>34</v>
      </c>
      <c r="D10" s="256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56" t="s">
        <v>34</v>
      </c>
      <c r="D11" s="256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56" t="s">
        <v>34</v>
      </c>
      <c r="D12" s="256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56" t="s">
        <v>34</v>
      </c>
      <c r="D13" s="256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67" t="s">
        <v>313</v>
      </c>
      <c r="D14" s="268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67" t="s">
        <v>313</v>
      </c>
      <c r="D15" s="268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67" t="s">
        <v>44</v>
      </c>
      <c r="D16" s="268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67" t="s">
        <v>44</v>
      </c>
      <c r="D17" s="268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67" t="s">
        <v>44</v>
      </c>
      <c r="D18" s="268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56" t="s">
        <v>45</v>
      </c>
      <c r="D19" s="256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56" t="s">
        <v>46</v>
      </c>
      <c r="D20" s="256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56" t="s">
        <v>48</v>
      </c>
      <c r="D21" s="256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56" t="s">
        <v>50</v>
      </c>
      <c r="D22" s="256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56" t="s">
        <v>50</v>
      </c>
      <c r="D23" s="256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56" t="s">
        <v>50</v>
      </c>
      <c r="D24" s="256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56" t="s">
        <v>51</v>
      </c>
      <c r="D25" s="256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56" t="s">
        <v>51</v>
      </c>
      <c r="D26" s="256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56" t="s">
        <v>51</v>
      </c>
      <c r="D27" s="256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56" t="s">
        <v>51</v>
      </c>
      <c r="D28" s="256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56" t="s">
        <v>53</v>
      </c>
      <c r="D30" s="256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56" t="s">
        <v>53</v>
      </c>
      <c r="D31" s="256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56" t="s">
        <v>53</v>
      </c>
      <c r="D32" s="256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56" t="s">
        <v>56</v>
      </c>
      <c r="D33" s="256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56" t="s">
        <v>56</v>
      </c>
      <c r="D34" s="256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56" t="s">
        <v>56</v>
      </c>
      <c r="D35" s="256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56" t="s">
        <v>56</v>
      </c>
      <c r="D36" s="256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56" t="s">
        <v>58</v>
      </c>
      <c r="D37" s="256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67" t="s">
        <v>304</v>
      </c>
      <c r="D38" s="268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67" t="s">
        <v>304</v>
      </c>
      <c r="D39" s="268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67" t="s">
        <v>304</v>
      </c>
      <c r="D40" s="268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56" t="s">
        <v>61</v>
      </c>
      <c r="D41" s="256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56" t="s">
        <v>61</v>
      </c>
      <c r="D42" s="256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56" t="s">
        <v>61</v>
      </c>
      <c r="D43" s="256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56" t="s">
        <v>64</v>
      </c>
      <c r="D44" s="256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56" t="s">
        <v>64</v>
      </c>
      <c r="D45" s="256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67" t="s">
        <v>68</v>
      </c>
      <c r="D46" s="268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67" t="s">
        <v>68</v>
      </c>
      <c r="D47" s="268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67" t="s">
        <v>68</v>
      </c>
      <c r="D48" s="268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67" t="s">
        <v>68</v>
      </c>
      <c r="D49" s="268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56" t="s">
        <v>73</v>
      </c>
      <c r="D50" s="256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56" t="s">
        <v>73</v>
      </c>
      <c r="D51" s="256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56" t="s">
        <v>73</v>
      </c>
      <c r="D52" s="256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56" t="s">
        <v>73</v>
      </c>
      <c r="D53" s="256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56" t="s">
        <v>75</v>
      </c>
      <c r="D54" s="256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56" t="s">
        <v>75</v>
      </c>
      <c r="D55" s="256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56" t="s">
        <v>75</v>
      </c>
      <c r="D56" s="256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56" t="s">
        <v>77</v>
      </c>
      <c r="D58" s="256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56" t="s">
        <v>77</v>
      </c>
      <c r="D59" s="256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67" t="s">
        <v>301</v>
      </c>
      <c r="D60" s="268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67" t="s">
        <v>301</v>
      </c>
      <c r="D61" s="268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56" t="s">
        <v>81</v>
      </c>
      <c r="D62" s="256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56" t="s">
        <v>81</v>
      </c>
      <c r="D63" s="256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67" t="s">
        <v>83</v>
      </c>
      <c r="D64" s="268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67" t="s">
        <v>83</v>
      </c>
      <c r="D65" s="268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67" t="s">
        <v>83</v>
      </c>
      <c r="D66" s="268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67" t="s">
        <v>86</v>
      </c>
      <c r="D67" s="268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67" t="s">
        <v>86</v>
      </c>
      <c r="D68" s="268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67" t="s">
        <v>86</v>
      </c>
      <c r="D69" s="268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56" t="s">
        <v>88</v>
      </c>
      <c r="D70" s="256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56" t="s">
        <v>88</v>
      </c>
      <c r="D71" s="256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56" t="s">
        <v>88</v>
      </c>
      <c r="D72" s="256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56" t="s">
        <v>88</v>
      </c>
      <c r="D73" s="256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56" t="s">
        <v>316</v>
      </c>
      <c r="D75" s="256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56" t="s">
        <v>317</v>
      </c>
      <c r="D76" s="256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56" t="s">
        <v>317</v>
      </c>
      <c r="D77" s="256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256" t="s">
        <v>317</v>
      </c>
      <c r="D78" s="256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56" t="s">
        <v>98</v>
      </c>
      <c r="D79" s="256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56" t="s">
        <v>98</v>
      </c>
      <c r="D80" s="256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56" t="s">
        <v>98</v>
      </c>
      <c r="D81" s="256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56" t="s">
        <v>98</v>
      </c>
      <c r="D82" s="256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56" t="s">
        <v>100</v>
      </c>
      <c r="D84" s="256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56" t="s">
        <v>100</v>
      </c>
      <c r="D85" s="256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56" t="s">
        <v>100</v>
      </c>
      <c r="D86" s="256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56" t="s">
        <v>100</v>
      </c>
      <c r="D87" s="256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56" t="s">
        <v>106</v>
      </c>
      <c r="D88" s="256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56" t="s">
        <v>106</v>
      </c>
      <c r="D89" s="256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56" t="s">
        <v>106</v>
      </c>
      <c r="D90" s="256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56" t="s">
        <v>106</v>
      </c>
      <c r="D91" s="256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56" t="s">
        <v>107</v>
      </c>
      <c r="D92" s="256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56" t="s">
        <v>107</v>
      </c>
      <c r="D93" s="256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56" t="s">
        <v>107</v>
      </c>
      <c r="D94" s="256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56" t="s">
        <v>107</v>
      </c>
      <c r="D95" s="256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56" t="s">
        <v>107</v>
      </c>
      <c r="D96" s="256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56" t="s">
        <v>318</v>
      </c>
      <c r="D98" s="256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56" t="s">
        <v>318</v>
      </c>
      <c r="D99" s="256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56" t="s">
        <v>112</v>
      </c>
      <c r="D100" s="256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256" t="s">
        <v>112</v>
      </c>
      <c r="D101" s="256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56" t="s">
        <v>112</v>
      </c>
      <c r="D102" s="256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67" t="s">
        <v>296</v>
      </c>
      <c r="D103" s="268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67" t="s">
        <v>296</v>
      </c>
      <c r="D104" s="268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67" t="s">
        <v>296</v>
      </c>
      <c r="D105" s="268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56" t="s">
        <v>119</v>
      </c>
      <c r="D111" s="256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56" t="s">
        <v>119</v>
      </c>
      <c r="D112" s="256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56" t="s">
        <v>121</v>
      </c>
      <c r="D113" s="256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56" t="s">
        <v>121</v>
      </c>
      <c r="D114" s="256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56" t="s">
        <v>121</v>
      </c>
      <c r="D115" s="256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56" t="s">
        <v>123</v>
      </c>
      <c r="D116" s="256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56" t="s">
        <v>125</v>
      </c>
      <c r="D117" s="256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56" t="s">
        <v>123</v>
      </c>
      <c r="D118" s="256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56" t="s">
        <v>123</v>
      </c>
      <c r="D119" s="256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56" t="s">
        <v>123</v>
      </c>
      <c r="D120" s="256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56" t="s">
        <v>127</v>
      </c>
      <c r="D121" s="256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56" t="s">
        <v>127</v>
      </c>
      <c r="D122" s="256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56" t="s">
        <v>127</v>
      </c>
      <c r="D123" s="256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56" t="s">
        <v>127</v>
      </c>
      <c r="D124" s="256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56" t="s">
        <v>127</v>
      </c>
      <c r="D125" s="256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56" t="s">
        <v>128</v>
      </c>
      <c r="D126" s="256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56" t="s">
        <v>128</v>
      </c>
      <c r="D127" s="256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56" t="s">
        <v>128</v>
      </c>
      <c r="D128" s="256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56" t="s">
        <v>128</v>
      </c>
      <c r="D129" s="256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67" t="s">
        <v>129</v>
      </c>
      <c r="D130" s="268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67" t="s">
        <v>129</v>
      </c>
      <c r="D131" s="268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56" t="s">
        <v>130</v>
      </c>
      <c r="D132" s="256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56" t="s">
        <v>130</v>
      </c>
      <c r="D133" s="256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56" t="s">
        <v>130</v>
      </c>
      <c r="D134" s="256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56" t="s">
        <v>130</v>
      </c>
      <c r="D135" s="256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56" t="s">
        <v>130</v>
      </c>
      <c r="D136" s="256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56" t="s">
        <v>134</v>
      </c>
      <c r="D137" s="256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56" t="s">
        <v>134</v>
      </c>
      <c r="D138" s="256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67" t="s">
        <v>137</v>
      </c>
      <c r="D139" s="268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67" t="s">
        <v>137</v>
      </c>
      <c r="D140" s="268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56" t="s">
        <v>139</v>
      </c>
      <c r="D141" s="256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56" t="s">
        <v>141</v>
      </c>
      <c r="D142" s="256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56" t="s">
        <v>143</v>
      </c>
      <c r="D143" s="256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56" t="s">
        <v>143</v>
      </c>
      <c r="D144" s="256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56" t="s">
        <v>143</v>
      </c>
      <c r="D145" s="256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56" t="s">
        <v>145</v>
      </c>
      <c r="D146" s="256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56" t="s">
        <v>145</v>
      </c>
      <c r="D147" s="256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56" t="s">
        <v>145</v>
      </c>
      <c r="D148" s="256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67" t="s">
        <v>145</v>
      </c>
      <c r="D149" s="268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67" t="s">
        <v>153</v>
      </c>
      <c r="D157" s="268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67" t="s">
        <v>153</v>
      </c>
      <c r="D158" s="268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67" t="s">
        <v>153</v>
      </c>
      <c r="D159" s="268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67" t="s">
        <v>153</v>
      </c>
      <c r="D160" s="268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74" t="s">
        <v>154</v>
      </c>
      <c r="D161" s="275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74" t="s">
        <v>154</v>
      </c>
      <c r="D162" s="275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74" t="s">
        <v>154</v>
      </c>
      <c r="D163" s="275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74" t="s">
        <v>154</v>
      </c>
      <c r="D164" s="275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56" t="s">
        <v>156</v>
      </c>
      <c r="D168" s="256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56" t="s">
        <v>157</v>
      </c>
      <c r="D169" s="256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56" t="s">
        <v>157</v>
      </c>
      <c r="D170" s="256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56" t="s">
        <v>159</v>
      </c>
      <c r="D171" s="256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56" t="s">
        <v>159</v>
      </c>
      <c r="D172" s="256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56" t="s">
        <v>159</v>
      </c>
      <c r="D173" s="256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56" t="s">
        <v>159</v>
      </c>
      <c r="D174" s="256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56" t="s">
        <v>161</v>
      </c>
      <c r="D175" s="256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56" t="s">
        <v>161</v>
      </c>
      <c r="D176" s="256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56" t="s">
        <v>162</v>
      </c>
      <c r="D177" s="256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56" t="s">
        <v>162</v>
      </c>
      <c r="D178" s="256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56" t="s">
        <v>162</v>
      </c>
      <c r="D179" s="256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56" t="s">
        <v>162</v>
      </c>
      <c r="D180" s="256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56" t="s">
        <v>165</v>
      </c>
      <c r="D181" s="256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56" t="s">
        <v>165</v>
      </c>
      <c r="D182" s="256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56" t="s">
        <v>165</v>
      </c>
      <c r="D183" s="256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56" t="s">
        <v>165</v>
      </c>
      <c r="D184" s="256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56" t="s">
        <v>165</v>
      </c>
      <c r="D185" s="256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56" t="s">
        <v>165</v>
      </c>
      <c r="D186" s="256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67" t="s">
        <v>168</v>
      </c>
      <c r="D187" s="268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67" t="s">
        <v>168</v>
      </c>
      <c r="D188" s="268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67" t="s">
        <v>168</v>
      </c>
      <c r="D189" s="268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67" t="s">
        <v>168</v>
      </c>
      <c r="D190" s="268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56" t="s">
        <v>312</v>
      </c>
      <c r="D191" s="256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56" t="s">
        <v>312</v>
      </c>
      <c r="D192" s="256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56" t="s">
        <v>312</v>
      </c>
      <c r="D193" s="256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56" t="s">
        <v>312</v>
      </c>
      <c r="D194" s="256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67" t="s">
        <v>172</v>
      </c>
      <c r="D195" s="268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67" t="s">
        <v>172</v>
      </c>
      <c r="D196" s="268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67" t="s">
        <v>172</v>
      </c>
      <c r="D197" s="268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67" t="s">
        <v>172</v>
      </c>
      <c r="D198" s="268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0.74380044826071812</v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1686</v>
      </c>
      <c r="F203" s="287"/>
      <c r="G203" s="287">
        <v>1686</v>
      </c>
      <c r="H203" s="287"/>
      <c r="I203" s="287">
        <f>G203-E203</f>
        <v>0</v>
      </c>
      <c r="J203" s="287"/>
      <c r="K203" s="289">
        <f t="array" ref="K203">IF(ISERROR(I203/E203),"",I203/E203)</f>
        <v>0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8</v>
      </c>
      <c r="T203" s="292"/>
      <c r="U203" s="292">
        <v>9</v>
      </c>
      <c r="V203" s="292"/>
      <c r="W203" s="291">
        <f t="shared" ref="W203:W210" si="28">S203*11</f>
        <v>88</v>
      </c>
      <c r="X203" s="291"/>
      <c r="Y203" s="291">
        <f t="shared" ref="Y203:Y210" si="29">U203*11</f>
        <v>99</v>
      </c>
      <c r="Z203" s="291"/>
      <c r="AA203" s="291">
        <f t="shared" ref="AA203:AA210" si="30">Y203-W203</f>
        <v>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2</v>
      </c>
      <c r="T204" s="292"/>
      <c r="U204" s="292">
        <v>3</v>
      </c>
      <c r="V204" s="292"/>
      <c r="W204" s="291">
        <f t="shared" si="28"/>
        <v>22</v>
      </c>
      <c r="X204" s="291"/>
      <c r="Y204" s="291">
        <f t="shared" si="29"/>
        <v>33</v>
      </c>
      <c r="Z204" s="291"/>
      <c r="AA204" s="291">
        <f t="shared" si="30"/>
        <v>11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44">
        <v>5</v>
      </c>
      <c r="G206" s="293">
        <v>149028</v>
      </c>
      <c r="H206" s="294"/>
      <c r="I206" s="333">
        <v>148956</v>
      </c>
      <c r="J206" s="334"/>
      <c r="K206" s="297">
        <f>G206-I206</f>
        <v>72</v>
      </c>
      <c r="L206" s="297"/>
      <c r="M206" s="298">
        <f t="array" ref="M206">IF(ISERROR(K206/L199),"",K206/(L199/1000))</f>
        <v>9.1557333011187172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8"/>
        <v>8.25</v>
      </c>
      <c r="X206" s="291"/>
      <c r="Y206" s="291">
        <f t="shared" si="29"/>
        <v>0</v>
      </c>
      <c r="Z206" s="291"/>
      <c r="AA206" s="291">
        <f t="shared" si="30"/>
        <v>-8.25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44">
        <v>105</v>
      </c>
      <c r="G207" s="293">
        <f>28535.9*120+44821.9*60</f>
        <v>6113622</v>
      </c>
      <c r="H207" s="294"/>
      <c r="I207" s="333">
        <v>6112548</v>
      </c>
      <c r="J207" s="334"/>
      <c r="K207" s="297">
        <f>G207-I207</f>
        <v>1074</v>
      </c>
      <c r="L207" s="297"/>
      <c r="M207" s="298">
        <f t="array" ref="M207">IF(ISERROR(K207/L199),"",K207/(L199/1000))</f>
        <v>136.57302174168754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0</v>
      </c>
      <c r="V207" s="292"/>
      <c r="W207" s="291">
        <f t="shared" si="28"/>
        <v>16.5</v>
      </c>
      <c r="X207" s="291"/>
      <c r="Y207" s="291">
        <f t="shared" si="29"/>
        <v>0</v>
      </c>
      <c r="Z207" s="291"/>
      <c r="AA207" s="291">
        <f t="shared" si="30"/>
        <v>-16.5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44">
        <v>0.55000000000000004</v>
      </c>
      <c r="G208" s="293">
        <f>+I208+10</f>
        <v>27777</v>
      </c>
      <c r="H208" s="294"/>
      <c r="I208" s="293">
        <v>27767</v>
      </c>
      <c r="J208" s="294"/>
      <c r="K208" s="297">
        <f>G208-I208</f>
        <v>10</v>
      </c>
      <c r="L208" s="297"/>
      <c r="M208" s="301">
        <f t="array" ref="M208">IF(ISERROR(K208/L199),"",K208/(L199/1000))</f>
        <v>1.2716296251553774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1.44+1.6/2</f>
        <v>2.2400000000000002</v>
      </c>
      <c r="L209" s="300"/>
      <c r="M209" s="302">
        <f t="array" ref="M209">IF(ISERROR((K209+K210)/L199),"",((K209+K210)*1000)/(L199/1000))</f>
        <v>284.84503603480454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10</v>
      </c>
      <c r="V209" s="292"/>
      <c r="W209" s="291">
        <f t="shared" si="28"/>
        <v>33</v>
      </c>
      <c r="X209" s="291"/>
      <c r="Y209" s="291">
        <f t="shared" si="29"/>
        <v>110</v>
      </c>
      <c r="Z209" s="291"/>
      <c r="AA209" s="291">
        <f t="shared" si="30"/>
        <v>77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17</v>
      </c>
      <c r="T210" s="292"/>
      <c r="U210" s="292">
        <f>SUM(U203:V209)</f>
        <v>23</v>
      </c>
      <c r="V210" s="292"/>
      <c r="W210" s="291">
        <f t="shared" si="28"/>
        <v>187</v>
      </c>
      <c r="X210" s="291"/>
      <c r="Y210" s="291">
        <f t="shared" si="29"/>
        <v>253</v>
      </c>
      <c r="Z210" s="291"/>
      <c r="AA210" s="291">
        <f t="shared" si="30"/>
        <v>66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4.4642857142857135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31.08270750988142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35" t="s">
        <v>25</v>
      </c>
      <c r="S214" s="257"/>
      <c r="T214" s="259"/>
      <c r="U214" s="259"/>
      <c r="V214" s="26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9" t="s">
        <v>34</v>
      </c>
      <c r="D215" s="269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22" t="s">
        <v>34</v>
      </c>
      <c r="D216" s="322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22" t="s">
        <v>34</v>
      </c>
      <c r="D217" s="322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22" t="s">
        <v>34</v>
      </c>
      <c r="D218" s="322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22" t="s">
        <v>34</v>
      </c>
      <c r="D219" s="322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22" t="s">
        <v>34</v>
      </c>
      <c r="D220" s="322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22" t="s">
        <v>34</v>
      </c>
      <c r="D221" s="322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22" t="s">
        <v>34</v>
      </c>
      <c r="D222" s="322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67" t="s">
        <v>313</v>
      </c>
      <c r="D223" s="268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67" t="s">
        <v>313</v>
      </c>
      <c r="D224" s="268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67" t="s">
        <v>44</v>
      </c>
      <c r="D225" s="268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67" t="s">
        <v>44</v>
      </c>
      <c r="D226" s="268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67" t="s">
        <v>44</v>
      </c>
      <c r="D227" s="268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56" t="s">
        <v>45</v>
      </c>
      <c r="D228" s="256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56" t="s">
        <v>46</v>
      </c>
      <c r="D229" s="256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56" t="s">
        <v>48</v>
      </c>
      <c r="D230" s="256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56" t="s">
        <v>50</v>
      </c>
      <c r="D231" s="256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56" t="s">
        <v>50</v>
      </c>
      <c r="D232" s="256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56" t="s">
        <v>50</v>
      </c>
      <c r="D233" s="256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56" t="s">
        <v>51</v>
      </c>
      <c r="D234" s="256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56" t="s">
        <v>51</v>
      </c>
      <c r="D235" s="256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56" t="s">
        <v>51</v>
      </c>
      <c r="D236" s="256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56" t="s">
        <v>51</v>
      </c>
      <c r="D237" s="256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56" t="s">
        <v>53</v>
      </c>
      <c r="D239" s="256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56" t="s">
        <v>53</v>
      </c>
      <c r="D240" s="256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56" t="s">
        <v>53</v>
      </c>
      <c r="D241" s="256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56" t="s">
        <v>56</v>
      </c>
      <c r="D242" s="256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56" t="s">
        <v>56</v>
      </c>
      <c r="D243" s="256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56" t="s">
        <v>56</v>
      </c>
      <c r="D244" s="256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56" t="s">
        <v>56</v>
      </c>
      <c r="D245" s="256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56" t="s">
        <v>58</v>
      </c>
      <c r="D246" s="256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67" t="s">
        <v>304</v>
      </c>
      <c r="D247" s="268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67" t="s">
        <v>304</v>
      </c>
      <c r="D248" s="268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67" t="s">
        <v>304</v>
      </c>
      <c r="D249" s="268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56" t="s">
        <v>61</v>
      </c>
      <c r="D250" s="256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56" t="s">
        <v>61</v>
      </c>
      <c r="D251" s="256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56" t="s">
        <v>61</v>
      </c>
      <c r="D252" s="256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56" t="s">
        <v>64</v>
      </c>
      <c r="D253" s="256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56" t="s">
        <v>64</v>
      </c>
      <c r="D254" s="256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67" t="s">
        <v>68</v>
      </c>
      <c r="D255" s="268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67" t="s">
        <v>68</v>
      </c>
      <c r="D256" s="268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67" t="s">
        <v>68</v>
      </c>
      <c r="D257" s="268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67" t="s">
        <v>68</v>
      </c>
      <c r="D258" s="268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56" t="s">
        <v>73</v>
      </c>
      <c r="D259" s="256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56" t="s">
        <v>73</v>
      </c>
      <c r="D260" s="256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56" t="s">
        <v>73</v>
      </c>
      <c r="D261" s="256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56" t="s">
        <v>73</v>
      </c>
      <c r="D262" s="256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56" t="s">
        <v>75</v>
      </c>
      <c r="D263" s="256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56" t="s">
        <v>75</v>
      </c>
      <c r="D264" s="256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56" t="s">
        <v>75</v>
      </c>
      <c r="D265" s="256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256" t="s">
        <v>77</v>
      </c>
      <c r="D267" s="256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56" t="s">
        <v>77</v>
      </c>
      <c r="D268" s="256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67" t="s">
        <v>301</v>
      </c>
      <c r="D269" s="268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67" t="s">
        <v>301</v>
      </c>
      <c r="D270" s="268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56" t="s">
        <v>81</v>
      </c>
      <c r="D271" s="256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56" t="s">
        <v>81</v>
      </c>
      <c r="D272" s="256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67" t="s">
        <v>83</v>
      </c>
      <c r="D273" s="268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67" t="s">
        <v>83</v>
      </c>
      <c r="D274" s="268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67" t="s">
        <v>83</v>
      </c>
      <c r="D275" s="268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67" t="s">
        <v>86</v>
      </c>
      <c r="D276" s="268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67" t="s">
        <v>86</v>
      </c>
      <c r="D277" s="268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67" t="s">
        <v>86</v>
      </c>
      <c r="D278" s="268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56" t="s">
        <v>88</v>
      </c>
      <c r="D279" s="256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56" t="s">
        <v>88</v>
      </c>
      <c r="D280" s="256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56" t="s">
        <v>88</v>
      </c>
      <c r="D281" s="256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56" t="s">
        <v>88</v>
      </c>
      <c r="D282" s="256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67" t="s">
        <v>90</v>
      </c>
      <c r="D283" s="268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56" t="s">
        <v>91</v>
      </c>
      <c r="D284" s="256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56" t="s">
        <v>93</v>
      </c>
      <c r="D285" s="256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56" t="s">
        <v>95</v>
      </c>
      <c r="D286" s="256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56" t="s">
        <v>93</v>
      </c>
      <c r="D287" s="256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56" t="s">
        <v>98</v>
      </c>
      <c r="D288" s="256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56" t="s">
        <v>98</v>
      </c>
      <c r="D289" s="256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56" t="s">
        <v>98</v>
      </c>
      <c r="D290" s="256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56" t="s">
        <v>98</v>
      </c>
      <c r="D291" s="256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56" t="s">
        <v>100</v>
      </c>
      <c r="D293" s="256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56" t="s">
        <v>100</v>
      </c>
      <c r="D294" s="256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56" t="s">
        <v>100</v>
      </c>
      <c r="D295" s="256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56" t="s">
        <v>100</v>
      </c>
      <c r="D296" s="256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56" t="s">
        <v>106</v>
      </c>
      <c r="D297" s="256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56" t="s">
        <v>106</v>
      </c>
      <c r="D298" s="256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56" t="s">
        <v>106</v>
      </c>
      <c r="D299" s="256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56" t="s">
        <v>106</v>
      </c>
      <c r="D300" s="256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56" t="s">
        <v>107</v>
      </c>
      <c r="D301" s="256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56" t="s">
        <v>107</v>
      </c>
      <c r="D302" s="256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56" t="s">
        <v>107</v>
      </c>
      <c r="D303" s="256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56" t="s">
        <v>107</v>
      </c>
      <c r="D304" s="256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56" t="s">
        <v>107</v>
      </c>
      <c r="D305" s="256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67" t="s">
        <v>109</v>
      </c>
      <c r="D306" s="268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56" t="s">
        <v>110</v>
      </c>
      <c r="D307" s="256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56" t="s">
        <v>110</v>
      </c>
      <c r="D308" s="256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256" t="s">
        <v>112</v>
      </c>
      <c r="D309" s="256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256" t="s">
        <v>112</v>
      </c>
      <c r="D310" s="256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56" t="s">
        <v>112</v>
      </c>
      <c r="D311" s="256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67" t="s">
        <v>296</v>
      </c>
      <c r="D312" s="268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67" t="s">
        <v>296</v>
      </c>
      <c r="D313" s="268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67" t="s">
        <v>296</v>
      </c>
      <c r="D314" s="268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67" t="s">
        <v>114</v>
      </c>
      <c r="D315" s="268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67" t="s">
        <v>114</v>
      </c>
      <c r="D316" s="268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56" t="s">
        <v>119</v>
      </c>
      <c r="D320" s="256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56" t="s">
        <v>119</v>
      </c>
      <c r="D321" s="256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69" t="s">
        <v>121</v>
      </c>
      <c r="D322" s="269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69" t="s">
        <v>121</v>
      </c>
      <c r="D323" s="269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69" t="s">
        <v>121</v>
      </c>
      <c r="D324" s="269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56" t="s">
        <v>123</v>
      </c>
      <c r="D325" s="256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56" t="s">
        <v>125</v>
      </c>
      <c r="D326" s="256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56" t="s">
        <v>123</v>
      </c>
      <c r="D327" s="256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56" t="s">
        <v>123</v>
      </c>
      <c r="D328" s="256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56" t="s">
        <v>123</v>
      </c>
      <c r="D329" s="256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56" t="s">
        <v>127</v>
      </c>
      <c r="D330" s="256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56" t="s">
        <v>127</v>
      </c>
      <c r="D331" s="256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56" t="s">
        <v>127</v>
      </c>
      <c r="D332" s="256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56" t="s">
        <v>127</v>
      </c>
      <c r="D333" s="256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56" t="s">
        <v>127</v>
      </c>
      <c r="D334" s="256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56" t="s">
        <v>128</v>
      </c>
      <c r="D335" s="256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56" t="s">
        <v>128</v>
      </c>
      <c r="D336" s="256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56" t="s">
        <v>128</v>
      </c>
      <c r="D337" s="256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56" t="s">
        <v>128</v>
      </c>
      <c r="D338" s="256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67" t="s">
        <v>129</v>
      </c>
      <c r="D339" s="268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67" t="s">
        <v>129</v>
      </c>
      <c r="D340" s="268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56" t="s">
        <v>130</v>
      </c>
      <c r="D341" s="256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56" t="s">
        <v>130</v>
      </c>
      <c r="D342" s="256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56" t="s">
        <v>130</v>
      </c>
      <c r="D343" s="256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56" t="s">
        <v>130</v>
      </c>
      <c r="D344" s="256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56" t="s">
        <v>130</v>
      </c>
      <c r="D345" s="256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56" t="s">
        <v>134</v>
      </c>
      <c r="D346" s="256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56" t="s">
        <v>134</v>
      </c>
      <c r="D347" s="256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67" t="s">
        <v>137</v>
      </c>
      <c r="D348" s="268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67" t="s">
        <v>137</v>
      </c>
      <c r="D349" s="268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56" t="s">
        <v>139</v>
      </c>
      <c r="D350" s="256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56" t="s">
        <v>141</v>
      </c>
      <c r="D351" s="256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56" t="s">
        <v>143</v>
      </c>
      <c r="D352" s="256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56" t="s">
        <v>143</v>
      </c>
      <c r="D353" s="256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56" t="s">
        <v>143</v>
      </c>
      <c r="D354" s="256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56" t="s">
        <v>145</v>
      </c>
      <c r="D355" s="256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56" t="s">
        <v>145</v>
      </c>
      <c r="D356" s="256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56" t="s">
        <v>145</v>
      </c>
      <c r="D357" s="256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56" t="s">
        <v>145</v>
      </c>
      <c r="D358" s="256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67" t="s">
        <v>148</v>
      </c>
      <c r="D359" s="268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67" t="s">
        <v>148</v>
      </c>
      <c r="D360" s="268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67" t="s">
        <v>148</v>
      </c>
      <c r="D361" s="268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67" t="s">
        <v>150</v>
      </c>
      <c r="D362" s="268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67" t="s">
        <v>150</v>
      </c>
      <c r="D363" s="268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67" t="s">
        <v>150</v>
      </c>
      <c r="D364" s="268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67" t="s">
        <v>150</v>
      </c>
      <c r="D365" s="268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67" t="s">
        <v>153</v>
      </c>
      <c r="D366" s="268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67" t="s">
        <v>153</v>
      </c>
      <c r="D367" s="268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67" t="s">
        <v>153</v>
      </c>
      <c r="D368" s="268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67" t="s">
        <v>153</v>
      </c>
      <c r="D369" s="268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74" t="s">
        <v>154</v>
      </c>
      <c r="D370" s="275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74" t="s">
        <v>154</v>
      </c>
      <c r="D371" s="275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74" t="s">
        <v>154</v>
      </c>
      <c r="D372" s="275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74" t="s">
        <v>154</v>
      </c>
      <c r="D373" s="275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74" t="s">
        <v>155</v>
      </c>
      <c r="D374" s="275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74" t="s">
        <v>155</v>
      </c>
      <c r="D375" s="275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74" t="s">
        <v>155</v>
      </c>
      <c r="D376" s="275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56" t="s">
        <v>156</v>
      </c>
      <c r="D377" s="256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56" t="s">
        <v>157</v>
      </c>
      <c r="D378" s="256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56" t="s">
        <v>157</v>
      </c>
      <c r="D379" s="256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56" t="s">
        <v>159</v>
      </c>
      <c r="D380" s="256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56" t="s">
        <v>159</v>
      </c>
      <c r="D381" s="256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56" t="s">
        <v>159</v>
      </c>
      <c r="D382" s="256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56" t="s">
        <v>159</v>
      </c>
      <c r="D383" s="256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56" t="s">
        <v>161</v>
      </c>
      <c r="D384" s="256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56" t="s">
        <v>161</v>
      </c>
      <c r="D385" s="256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56" t="s">
        <v>162</v>
      </c>
      <c r="D386" s="256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56" t="s">
        <v>162</v>
      </c>
      <c r="D387" s="256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56" t="s">
        <v>162</v>
      </c>
      <c r="D388" s="256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56" t="s">
        <v>162</v>
      </c>
      <c r="D389" s="256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56" t="s">
        <v>165</v>
      </c>
      <c r="D390" s="256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56" t="s">
        <v>165</v>
      </c>
      <c r="D391" s="256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56" t="s">
        <v>165</v>
      </c>
      <c r="D392" s="256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56" t="s">
        <v>165</v>
      </c>
      <c r="D393" s="256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56" t="s">
        <v>165</v>
      </c>
      <c r="D394" s="256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56" t="s">
        <v>165</v>
      </c>
      <c r="D395" s="256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70" t="s">
        <v>168</v>
      </c>
      <c r="D396" s="271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70" t="s">
        <v>168</v>
      </c>
      <c r="D397" s="271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67" t="s">
        <v>168</v>
      </c>
      <c r="D398" s="268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67" t="s">
        <v>168</v>
      </c>
      <c r="D399" s="268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56" t="s">
        <v>312</v>
      </c>
      <c r="D400" s="256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56" t="s">
        <v>312</v>
      </c>
      <c r="D401" s="256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56" t="s">
        <v>312</v>
      </c>
      <c r="D402" s="256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56" t="s">
        <v>312</v>
      </c>
      <c r="D403" s="256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67" t="s">
        <v>172</v>
      </c>
      <c r="D404" s="268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67" t="s">
        <v>172</v>
      </c>
      <c r="D405" s="268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67" t="s">
        <v>172</v>
      </c>
      <c r="D406" s="268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67" t="s">
        <v>172</v>
      </c>
      <c r="D407" s="268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0.91736511643853591</v>
      </c>
      <c r="P409" s="282"/>
      <c r="Q409" s="282"/>
      <c r="R409" s="283"/>
      <c r="S409" s="44"/>
      <c r="T409" s="45"/>
      <c r="U409" s="45"/>
      <c r="V409" s="45"/>
      <c r="W409" s="284">
        <f>SUM(W408:AC408)</f>
        <v>10.5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118</v>
      </c>
      <c r="F411" s="287"/>
      <c r="G411" s="287">
        <v>118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3483.6</v>
      </c>
      <c r="F412" s="287"/>
      <c r="G412" s="287">
        <v>3548.6</v>
      </c>
      <c r="H412" s="287"/>
      <c r="I412" s="287">
        <f>G412-E412</f>
        <v>65</v>
      </c>
      <c r="J412" s="287"/>
      <c r="K412" s="289">
        <f t="array" ref="K412">IF(ISERROR(I412/E412),"",I412/E412)</f>
        <v>1.8658858651969229E-2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19</v>
      </c>
      <c r="T412" s="292"/>
      <c r="U412" s="292">
        <v>21</v>
      </c>
      <c r="V412" s="292"/>
      <c r="W412" s="291">
        <f>S412*9</f>
        <v>171</v>
      </c>
      <c r="X412" s="291"/>
      <c r="Y412" s="291">
        <f>U412*9</f>
        <v>189</v>
      </c>
      <c r="Z412" s="291"/>
      <c r="AA412" s="291">
        <f t="shared" ref="AA412:AA419" si="59">Y412-W412</f>
        <v>18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1238</v>
      </c>
      <c r="F413" s="287"/>
      <c r="G413" s="287">
        <v>612</v>
      </c>
      <c r="H413" s="287"/>
      <c r="I413" s="287">
        <f>G413-E413</f>
        <v>-626</v>
      </c>
      <c r="J413" s="287"/>
      <c r="K413" s="289">
        <f t="array" ref="K413">IF(ISERROR(I413/E413),"",I413/E413)</f>
        <v>-0.50565428109854604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3</v>
      </c>
      <c r="T413" s="292"/>
      <c r="U413" s="292">
        <v>6</v>
      </c>
      <c r="V413" s="292"/>
      <c r="W413" s="291">
        <f t="shared" ref="W413:W419" si="60">S413*9</f>
        <v>27</v>
      </c>
      <c r="X413" s="291"/>
      <c r="Y413" s="291">
        <f t="shared" ref="Y413:Y419" si="61">U413*9</f>
        <v>54</v>
      </c>
      <c r="Z413" s="291"/>
      <c r="AA413" s="291">
        <f t="shared" si="59"/>
        <v>27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44">
        <v>5</v>
      </c>
      <c r="G415" s="332">
        <v>149083</v>
      </c>
      <c r="H415" s="332"/>
      <c r="I415" s="333">
        <v>149028</v>
      </c>
      <c r="J415" s="334"/>
      <c r="K415" s="297">
        <f>G415-I415</f>
        <v>55</v>
      </c>
      <c r="L415" s="297"/>
      <c r="M415" s="298">
        <f t="array" ref="M415">IF(ISERROR(K415/L408),"",K415/(L408/1000))</f>
        <v>2.9629890726117414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1</v>
      </c>
      <c r="V415" s="292"/>
      <c r="W415" s="291">
        <f t="shared" si="60"/>
        <v>6.75</v>
      </c>
      <c r="X415" s="291"/>
      <c r="Y415" s="291">
        <f t="shared" si="61"/>
        <v>9</v>
      </c>
      <c r="Z415" s="291"/>
      <c r="AA415" s="291">
        <f t="shared" si="59"/>
        <v>2.25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44">
        <v>105</v>
      </c>
      <c r="G416" s="330">
        <f>28542.3*120+44828.7*60</f>
        <v>6114798</v>
      </c>
      <c r="H416" s="331"/>
      <c r="I416" s="330">
        <v>6113622</v>
      </c>
      <c r="J416" s="331"/>
      <c r="K416" s="297">
        <f>G416-I416</f>
        <v>1176</v>
      </c>
      <c r="L416" s="297"/>
      <c r="M416" s="298">
        <f t="array" ref="M416">IF(ISERROR(K416/L408),"",K416/(L408/1000))</f>
        <v>63.354093625298326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2</v>
      </c>
      <c r="V416" s="292"/>
      <c r="W416" s="291">
        <f t="shared" si="60"/>
        <v>13.5</v>
      </c>
      <c r="X416" s="291"/>
      <c r="Y416" s="291">
        <f t="shared" si="61"/>
        <v>18</v>
      </c>
      <c r="Z416" s="291"/>
      <c r="AA416" s="291">
        <f t="shared" si="59"/>
        <v>4.5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44">
        <v>0.55000000000000004</v>
      </c>
      <c r="G417" s="332">
        <f>+I417+10</f>
        <v>27787</v>
      </c>
      <c r="H417" s="332"/>
      <c r="I417" s="335">
        <v>27777</v>
      </c>
      <c r="J417" s="336"/>
      <c r="K417" s="297">
        <f>G417-I417</f>
        <v>10</v>
      </c>
      <c r="L417" s="297"/>
      <c r="M417" s="301">
        <f t="array" ref="M417">IF(ISERROR(K417/L408),"",K417/(L408/1000))</f>
        <v>0.5387252859294076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1.6/2+1.6</f>
        <v>2.4000000000000004</v>
      </c>
      <c r="L418" s="309"/>
      <c r="M418" s="302">
        <f t="array" ref="M418">IF(ISERROR((K418+K419)/L408),"",((K418+K419)*1000)/(L408/1000))</f>
        <v>129.29406862305783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4</v>
      </c>
      <c r="V418" s="292"/>
      <c r="W418" s="291">
        <f t="shared" si="60"/>
        <v>27</v>
      </c>
      <c r="X418" s="291"/>
      <c r="Y418" s="291">
        <f t="shared" si="61"/>
        <v>36</v>
      </c>
      <c r="Z418" s="291"/>
      <c r="AA418" s="291">
        <f t="shared" si="59"/>
        <v>9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29</v>
      </c>
      <c r="T419" s="292"/>
      <c r="U419" s="292">
        <f>SUM(U412:V418)</f>
        <v>35</v>
      </c>
      <c r="V419" s="292"/>
      <c r="W419" s="291">
        <f t="shared" si="60"/>
        <v>261</v>
      </c>
      <c r="X419" s="291"/>
      <c r="Y419" s="291">
        <f t="shared" si="61"/>
        <v>315</v>
      </c>
      <c r="Z419" s="291"/>
      <c r="AA419" s="291">
        <f t="shared" si="59"/>
        <v>54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4.1666666666666661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58.928052154195008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26576.868999999999</v>
      </c>
      <c r="D423" s="345"/>
      <c r="E423" s="341" t="s">
        <v>226</v>
      </c>
      <c r="F423" s="341"/>
      <c r="G423" s="341">
        <f>L199+L408</f>
        <v>26426.261428571426</v>
      </c>
      <c r="H423" s="341"/>
      <c r="I423" s="348" t="s">
        <v>227</v>
      </c>
      <c r="J423" s="348"/>
      <c r="K423" s="347">
        <f>IF(ISERROR(G423/C423),"",G423/C423)</f>
        <v>0.99433313339398355</v>
      </c>
      <c r="L423" s="347"/>
      <c r="M423" s="341" t="s">
        <v>228</v>
      </c>
      <c r="N423" s="341"/>
      <c r="O423" s="342">
        <f>IF(ISERROR(G423/G424),"",G423/G424)</f>
        <v>46.607163013353485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476.23415997166194</v>
      </c>
      <c r="D424" s="345"/>
      <c r="E424" s="346" t="s">
        <v>18</v>
      </c>
      <c r="F424" s="346"/>
      <c r="G424" s="341">
        <f>R199+R408</f>
        <v>567</v>
      </c>
      <c r="H424" s="341"/>
      <c r="I424" s="321" t="s">
        <v>176</v>
      </c>
      <c r="J424" s="321"/>
      <c r="K424" s="347">
        <f>IF(ISERROR(C424/G424),"",C424/G424)</f>
        <v>0.83991915338917444</v>
      </c>
      <c r="L424" s="347"/>
      <c r="M424" s="287" t="s">
        <v>230</v>
      </c>
      <c r="N424" s="287"/>
      <c r="O424" s="341">
        <f>W200+W409</f>
        <v>10.5</v>
      </c>
      <c r="P424" s="287"/>
      <c r="Q424" s="287" t="s">
        <v>231</v>
      </c>
      <c r="R424" s="287"/>
      <c r="S424" s="347">
        <f t="array" ref="S424">IF(ISERROR(O424/G424),"",O424/G424)</f>
        <v>1.8518518518518517E-2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127</v>
      </c>
      <c r="D426" s="345"/>
      <c r="E426" s="341" t="s">
        <v>234</v>
      </c>
      <c r="F426" s="341"/>
      <c r="G426" s="301">
        <f t="array" ref="G426">IF(ISERROR(C426/G423),"",C426/(G423/1000))</f>
        <v>4.8058254605280908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2250</v>
      </c>
      <c r="D427" s="345"/>
      <c r="E427" s="341" t="s">
        <v>236</v>
      </c>
      <c r="F427" s="341"/>
      <c r="G427" s="301">
        <f>IF(ISERROR(C427/G423),"",C427/(G423/1000))</f>
        <v>85.142577056600032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20</v>
      </c>
      <c r="D428" s="345"/>
      <c r="E428" s="341" t="s">
        <v>238</v>
      </c>
      <c r="F428" s="341"/>
      <c r="G428" s="301">
        <f>IF(ISERROR(C428/G423),"",C428/(G423/1000))</f>
        <v>0.75682290716977807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4.6400000000000006</v>
      </c>
      <c r="D429" s="345"/>
      <c r="E429" s="341" t="s">
        <v>240</v>
      </c>
      <c r="F429" s="341"/>
      <c r="G429" s="349">
        <f>IF(ISERROR(C429/G423),"",C429/(G423/1000))</f>
        <v>0.17558291446338856</v>
      </c>
      <c r="H429" s="349"/>
      <c r="I429" s="341" t="s">
        <v>241</v>
      </c>
      <c r="J429" s="341"/>
      <c r="K429" s="350">
        <f>IF(ISERROR(C428/C429),"",C428/C429)</f>
        <v>4.3103448275862064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118</v>
      </c>
      <c r="D432" s="354"/>
      <c r="E432" s="341" t="s">
        <v>247</v>
      </c>
      <c r="F432" s="359"/>
      <c r="G432" s="355">
        <f>+G411+G202</f>
        <v>118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5169.6000000000004</v>
      </c>
      <c r="D433" s="354"/>
      <c r="E433" s="341" t="s">
        <v>251</v>
      </c>
      <c r="F433" s="341"/>
      <c r="G433" s="355">
        <f>+G412+G203</f>
        <v>5234.6000000000004</v>
      </c>
      <c r="H433" s="356"/>
      <c r="I433" s="341" t="s">
        <v>252</v>
      </c>
      <c r="J433" s="341"/>
      <c r="K433" s="323">
        <f>G433-C433</f>
        <v>65</v>
      </c>
      <c r="L433" s="325"/>
      <c r="M433" s="357" t="s">
        <v>253</v>
      </c>
      <c r="N433" s="358"/>
      <c r="O433" s="351">
        <f t="array" ref="O433">IF(ISERROR(K433/C433),"",K433/C433)</f>
        <v>1.2573506654286597E-2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1238</v>
      </c>
      <c r="D434" s="354"/>
      <c r="E434" s="341" t="s">
        <v>255</v>
      </c>
      <c r="F434" s="359"/>
      <c r="G434" s="355">
        <f>+G413+G204</f>
        <v>612</v>
      </c>
      <c r="H434" s="356"/>
      <c r="I434" s="341" t="s">
        <v>256</v>
      </c>
      <c r="J434" s="359"/>
      <c r="K434" s="323">
        <f>G434-C434</f>
        <v>-626</v>
      </c>
      <c r="L434" s="325"/>
      <c r="M434" s="357" t="s">
        <v>257</v>
      </c>
      <c r="N434" s="358"/>
      <c r="O434" s="351">
        <f t="array" ref="O434">IF(ISERROR(K434/C434),"",K434/C434)</f>
        <v>-0.50565428109854604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256" t="s">
        <v>77</v>
      </c>
      <c r="D58" s="256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256" t="s">
        <v>77</v>
      </c>
      <c r="D59" s="256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256" t="s">
        <v>317</v>
      </c>
      <c r="D77" s="256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256" t="s">
        <v>112</v>
      </c>
      <c r="D100" s="256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0.73189427776632054</v>
      </c>
      <c r="P200" s="282"/>
      <c r="Q200" s="282"/>
      <c r="R200" s="283"/>
      <c r="S200" s="44"/>
      <c r="T200" s="45"/>
      <c r="U200" s="45"/>
      <c r="V200" s="45"/>
      <c r="W200" s="284">
        <f>SUM(W199:AC199)</f>
        <v>3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113</v>
      </c>
      <c r="F202" s="287"/>
      <c r="G202" s="287">
        <v>113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2559.3000000000002</v>
      </c>
      <c r="F203" s="287"/>
      <c r="G203" s="287">
        <v>2639.3</v>
      </c>
      <c r="H203" s="287"/>
      <c r="I203" s="287">
        <f>G203-E203</f>
        <v>80</v>
      </c>
      <c r="J203" s="287"/>
      <c r="K203" s="289">
        <f t="array" ref="K203">IF(ISERROR(I203/E203),"",I203/E203)</f>
        <v>3.1258547259016133E-2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20</v>
      </c>
      <c r="T203" s="292"/>
      <c r="U203" s="292">
        <v>18</v>
      </c>
      <c r="V203" s="292"/>
      <c r="W203" s="291">
        <f t="shared" ref="W203:W210" si="28">S203*11</f>
        <v>220</v>
      </c>
      <c r="X203" s="291"/>
      <c r="Y203" s="291">
        <f t="shared" ref="Y203:Y210" si="29">U203*11</f>
        <v>198</v>
      </c>
      <c r="Z203" s="291"/>
      <c r="AA203" s="291">
        <f t="shared" ref="AA203:AA210" si="30">Y203-W203</f>
        <v>-22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3330</v>
      </c>
      <c r="F204" s="287"/>
      <c r="G204" s="287">
        <v>3465</v>
      </c>
      <c r="H204" s="287"/>
      <c r="I204" s="287">
        <f>G204-E204</f>
        <v>135</v>
      </c>
      <c r="J204" s="287"/>
      <c r="K204" s="289">
        <f t="array" ref="K204">IF(ISERROR(I204/E204),"",I204/E204)</f>
        <v>4.0540540540540543E-2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3</v>
      </c>
      <c r="T204" s="292"/>
      <c r="U204" s="292">
        <v>7</v>
      </c>
      <c r="V204" s="292"/>
      <c r="W204" s="291">
        <f t="shared" si="28"/>
        <v>33</v>
      </c>
      <c r="X204" s="291"/>
      <c r="Y204" s="291">
        <f t="shared" si="29"/>
        <v>77</v>
      </c>
      <c r="Z204" s="291"/>
      <c r="AA204" s="291">
        <f t="shared" si="30"/>
        <v>44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149149</v>
      </c>
      <c r="H206" s="294"/>
      <c r="I206" s="333">
        <v>149083</v>
      </c>
      <c r="J206" s="334"/>
      <c r="K206" s="297">
        <f>G206-I206</f>
        <v>66</v>
      </c>
      <c r="L206" s="297"/>
      <c r="M206" s="298">
        <f t="array" ref="M206">IF(ISERROR(K206/L199),"",K206/(L199/1000))</f>
        <v>4.6857440186967816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1</v>
      </c>
      <c r="V206" s="292"/>
      <c r="W206" s="291">
        <f t="shared" si="28"/>
        <v>8.25</v>
      </c>
      <c r="X206" s="291"/>
      <c r="Y206" s="291">
        <f t="shared" si="29"/>
        <v>11</v>
      </c>
      <c r="Z206" s="291"/>
      <c r="AA206" s="291">
        <f t="shared" si="30"/>
        <v>2.75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28548.9*120+44836.9*60</f>
        <v>6116082</v>
      </c>
      <c r="H207" s="294"/>
      <c r="I207" s="333">
        <v>6114798</v>
      </c>
      <c r="J207" s="334"/>
      <c r="K207" s="297">
        <f>G207-I207</f>
        <v>1284</v>
      </c>
      <c r="L207" s="297"/>
      <c r="M207" s="298">
        <f t="array" ref="M207">IF(ISERROR(K207/L199),"",K207/(L199/1000))</f>
        <v>91.159020000101023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+I208+10</f>
        <v>27797</v>
      </c>
      <c r="H208" s="294"/>
      <c r="I208" s="293">
        <v>27787</v>
      </c>
      <c r="J208" s="294"/>
      <c r="K208" s="297">
        <f>G208-I208</f>
        <v>10</v>
      </c>
      <c r="L208" s="297"/>
      <c r="M208" s="301">
        <f t="array" ref="M208">IF(ISERROR(K208/L199),"",K208/(L199/1000))</f>
        <v>0.70996121495405784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1.6+1.6/2</f>
        <v>2.4000000000000004</v>
      </c>
      <c r="L209" s="300"/>
      <c r="M209" s="302">
        <f t="array" ref="M209">IF(ISERROR((K209+K210)/L199),"",((K209+K210)*1000)/(L199/1000))</f>
        <v>170.39069158897391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f>2+2+2+1+2+3</f>
        <v>12</v>
      </c>
      <c r="V209" s="292"/>
      <c r="W209" s="291">
        <f t="shared" si="28"/>
        <v>33</v>
      </c>
      <c r="X209" s="291"/>
      <c r="Y209" s="291">
        <f t="shared" si="29"/>
        <v>132</v>
      </c>
      <c r="Z209" s="291"/>
      <c r="AA209" s="291">
        <f t="shared" si="30"/>
        <v>99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30</v>
      </c>
      <c r="T210" s="292"/>
      <c r="U210" s="292">
        <f>SUM(U203:V209)</f>
        <v>40</v>
      </c>
      <c r="V210" s="292"/>
      <c r="W210" s="291">
        <f t="shared" si="28"/>
        <v>330</v>
      </c>
      <c r="X210" s="291"/>
      <c r="Y210" s="291">
        <f t="shared" si="29"/>
        <v>440</v>
      </c>
      <c r="Z210" s="291"/>
      <c r="AA210" s="291">
        <f t="shared" si="30"/>
        <v>110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4.1666666666666661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32.011991991341993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256" t="s">
        <v>34</v>
      </c>
      <c r="D218" s="256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256" t="s">
        <v>34</v>
      </c>
      <c r="D219" s="256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256" t="s">
        <v>34</v>
      </c>
      <c r="D220" s="256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67" t="s">
        <v>313</v>
      </c>
      <c r="D224" s="268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56" t="s">
        <v>77</v>
      </c>
      <c r="D268" s="256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256" t="s">
        <v>317</v>
      </c>
      <c r="D286" s="256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256" t="s">
        <v>112</v>
      </c>
      <c r="D311" s="256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0.94066104726443089</v>
      </c>
      <c r="P409" s="282"/>
      <c r="Q409" s="282"/>
      <c r="R409" s="283"/>
      <c r="S409" s="44"/>
      <c r="T409" s="45"/>
      <c r="U409" s="45"/>
      <c r="V409" s="45"/>
      <c r="W409" s="284">
        <f>SUM(W408:AC408)</f>
        <v>7.25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110</v>
      </c>
      <c r="F411" s="287"/>
      <c r="G411" s="287">
        <v>110</v>
      </c>
      <c r="H411" s="287"/>
      <c r="I411" s="287" t="s">
        <v>322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3561.2</v>
      </c>
      <c r="F412" s="287"/>
      <c r="G412" s="287">
        <v>3561.2</v>
      </c>
      <c r="H412" s="287"/>
      <c r="I412" s="287">
        <f>G412-E412</f>
        <v>0</v>
      </c>
      <c r="J412" s="287"/>
      <c r="K412" s="289">
        <f t="array" ref="K412">IF(ISERROR(I412/E412),"",I412/E412)</f>
        <v>0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19</v>
      </c>
      <c r="T412" s="292"/>
      <c r="U412" s="292">
        <v>19</v>
      </c>
      <c r="V412" s="292"/>
      <c r="W412" s="291">
        <f>S412*9</f>
        <v>171</v>
      </c>
      <c r="X412" s="291"/>
      <c r="Y412" s="291">
        <f>U412*9</f>
        <v>171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>
        <v>756</v>
      </c>
      <c r="F413" s="287"/>
      <c r="G413" s="287">
        <v>756</v>
      </c>
      <c r="H413" s="287"/>
      <c r="I413" s="287">
        <f>G413-E413</f>
        <v>0</v>
      </c>
      <c r="J413" s="287"/>
      <c r="K413" s="289">
        <f t="array" ref="K413">IF(ISERROR(I413/E413),"",I413/E413)</f>
        <v>0</v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3</v>
      </c>
      <c r="T413" s="292"/>
      <c r="U413" s="292">
        <v>5</v>
      </c>
      <c r="V413" s="292"/>
      <c r="W413" s="291">
        <f t="shared" ref="W413:W419" si="60">S413*9</f>
        <v>27</v>
      </c>
      <c r="X413" s="291"/>
      <c r="Y413" s="291">
        <f t="shared" ref="Y413:Y419" si="61">U413*9</f>
        <v>45</v>
      </c>
      <c r="Z413" s="291"/>
      <c r="AA413" s="291">
        <f t="shared" si="59"/>
        <v>18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149244</v>
      </c>
      <c r="H415" s="332"/>
      <c r="I415" s="333">
        <v>149149</v>
      </c>
      <c r="J415" s="334"/>
      <c r="K415" s="297">
        <f>G415-I415</f>
        <v>95</v>
      </c>
      <c r="L415" s="297"/>
      <c r="M415" s="298">
        <f t="array" ref="M415">IF(ISERROR(K415/L408),"",K415/(L408/1000))</f>
        <v>4.963296040163498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0</v>
      </c>
      <c r="V415" s="292"/>
      <c r="W415" s="291">
        <f t="shared" si="60"/>
        <v>6.75</v>
      </c>
      <c r="X415" s="291"/>
      <c r="Y415" s="291">
        <f t="shared" si="61"/>
        <v>0</v>
      </c>
      <c r="Z415" s="291"/>
      <c r="AA415" s="291">
        <f t="shared" si="59"/>
        <v>-6.75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44846*60+28555*120</f>
        <v>6117360</v>
      </c>
      <c r="H416" s="331"/>
      <c r="I416" s="330">
        <v>6116082</v>
      </c>
      <c r="J416" s="331"/>
      <c r="K416" s="297">
        <f>G416-I416</f>
        <v>1278</v>
      </c>
      <c r="L416" s="297"/>
      <c r="M416" s="298">
        <f t="array" ref="M416">IF(ISERROR(K416/L408),"",K416/(L408/1000))</f>
        <v>66.769393045567895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1</v>
      </c>
      <c r="V416" s="292"/>
      <c r="W416" s="291">
        <f t="shared" si="60"/>
        <v>13.5</v>
      </c>
      <c r="X416" s="291"/>
      <c r="Y416" s="291">
        <f t="shared" si="61"/>
        <v>9</v>
      </c>
      <c r="Z416" s="291"/>
      <c r="AA416" s="291">
        <f t="shared" si="59"/>
        <v>-4.5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+I417+11</f>
        <v>27808</v>
      </c>
      <c r="H417" s="332"/>
      <c r="I417" s="335">
        <v>27797</v>
      </c>
      <c r="J417" s="336"/>
      <c r="K417" s="297">
        <f>G417-I417</f>
        <v>11</v>
      </c>
      <c r="L417" s="297"/>
      <c r="M417" s="301">
        <f t="array" ref="M417">IF(ISERROR(K417/L408),"",K417/(L408/1000))</f>
        <v>0.57469743622945768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1.6/2+1.6</f>
        <v>2.4000000000000004</v>
      </c>
      <c r="L418" s="309"/>
      <c r="M418" s="302">
        <f t="array" ref="M418">IF(ISERROR((K418+K419)/L408),"",((K418+K419)*1000)/(L408/1000))</f>
        <v>125.38853154097259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4</v>
      </c>
      <c r="V418" s="292"/>
      <c r="W418" s="291">
        <f t="shared" si="60"/>
        <v>27</v>
      </c>
      <c r="X418" s="291"/>
      <c r="Y418" s="291">
        <f t="shared" si="61"/>
        <v>36</v>
      </c>
      <c r="Z418" s="291"/>
      <c r="AA418" s="291">
        <f t="shared" si="59"/>
        <v>9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29</v>
      </c>
      <c r="T419" s="292"/>
      <c r="U419" s="292">
        <f>SUM(U412:V418)</f>
        <v>30</v>
      </c>
      <c r="V419" s="292"/>
      <c r="W419" s="291">
        <f t="shared" si="60"/>
        <v>261</v>
      </c>
      <c r="X419" s="291"/>
      <c r="Y419" s="291">
        <f t="shared" si="61"/>
        <v>270</v>
      </c>
      <c r="Z419" s="291"/>
      <c r="AA419" s="291">
        <f t="shared" si="59"/>
        <v>9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4.583333333333333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70.890764726631403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33822.294999999998</v>
      </c>
      <c r="D423" s="345"/>
      <c r="E423" s="341" t="s">
        <v>226</v>
      </c>
      <c r="F423" s="341"/>
      <c r="G423" s="341">
        <f>L199+L408</f>
        <v>33225.782952380956</v>
      </c>
      <c r="H423" s="341"/>
      <c r="I423" s="348" t="s">
        <v>227</v>
      </c>
      <c r="J423" s="348"/>
      <c r="K423" s="347">
        <f>IF(ISERROR(G423/C423),"",G423/C423)</f>
        <v>0.9823633479744931</v>
      </c>
      <c r="L423" s="347"/>
      <c r="M423" s="341" t="s">
        <v>228</v>
      </c>
      <c r="N423" s="341"/>
      <c r="O423" s="342">
        <f>IF(ISERROR(G423/G424),"",G423/G424)</f>
        <v>45.205146873987694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604.22574347389559</v>
      </c>
      <c r="D424" s="345"/>
      <c r="E424" s="346" t="s">
        <v>18</v>
      </c>
      <c r="F424" s="346"/>
      <c r="G424" s="341">
        <f>R199+R408</f>
        <v>735</v>
      </c>
      <c r="H424" s="341"/>
      <c r="I424" s="321" t="s">
        <v>176</v>
      </c>
      <c r="J424" s="321"/>
      <c r="K424" s="347">
        <f>IF(ISERROR(C424/G424),"",C424/G424)</f>
        <v>0.82207584146108248</v>
      </c>
      <c r="L424" s="347"/>
      <c r="M424" s="287" t="s">
        <v>230</v>
      </c>
      <c r="N424" s="287"/>
      <c r="O424" s="341">
        <f>W200+W409</f>
        <v>10.25</v>
      </c>
      <c r="P424" s="287"/>
      <c r="Q424" s="287" t="s">
        <v>231</v>
      </c>
      <c r="R424" s="287"/>
      <c r="S424" s="347">
        <f t="array" ref="S424">IF(ISERROR(O424/G424),"",O424/G424)</f>
        <v>1.3945578231292517E-2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161</v>
      </c>
      <c r="D426" s="345"/>
      <c r="E426" s="341" t="s">
        <v>234</v>
      </c>
      <c r="F426" s="341"/>
      <c r="G426" s="301">
        <f t="array" ref="G426">IF(ISERROR(C426/G423),"",C426/(G423/1000))</f>
        <v>4.8456344950770456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2562</v>
      </c>
      <c r="D427" s="345"/>
      <c r="E427" s="341" t="s">
        <v>236</v>
      </c>
      <c r="F427" s="341"/>
      <c r="G427" s="301">
        <f>IF(ISERROR(C427/G423),"",C427/(G423/1000))</f>
        <v>77.108792399921683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21</v>
      </c>
      <c r="D428" s="345"/>
      <c r="E428" s="341" t="s">
        <v>238</v>
      </c>
      <c r="F428" s="341"/>
      <c r="G428" s="301">
        <f>IF(ISERROR(C428/G423),"",C428/(G423/1000))</f>
        <v>0.63203928196657122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4.8000000000000007</v>
      </c>
      <c r="D429" s="345"/>
      <c r="E429" s="341" t="s">
        <v>240</v>
      </c>
      <c r="F429" s="341"/>
      <c r="G429" s="349">
        <f>IF(ISERROR(C429/G423),"",C429/(G423/1000))</f>
        <v>0.14446612159235916</v>
      </c>
      <c r="H429" s="349"/>
      <c r="I429" s="341" t="s">
        <v>241</v>
      </c>
      <c r="J429" s="341"/>
      <c r="K429" s="350">
        <f>IF(ISERROR(C428/C429),"",C428/C429)</f>
        <v>4.3749999999999991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223</v>
      </c>
      <c r="D432" s="354"/>
      <c r="E432" s="341" t="s">
        <v>247</v>
      </c>
      <c r="F432" s="359"/>
      <c r="G432" s="355">
        <f>+G411+G202</f>
        <v>223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6120.5</v>
      </c>
      <c r="D433" s="354"/>
      <c r="E433" s="341" t="s">
        <v>251</v>
      </c>
      <c r="F433" s="341"/>
      <c r="G433" s="355">
        <f>+G412+G203</f>
        <v>6200.5</v>
      </c>
      <c r="H433" s="356"/>
      <c r="I433" s="341" t="s">
        <v>252</v>
      </c>
      <c r="J433" s="341"/>
      <c r="K433" s="323">
        <f>G433-C433</f>
        <v>80</v>
      </c>
      <c r="L433" s="325"/>
      <c r="M433" s="357" t="s">
        <v>253</v>
      </c>
      <c r="N433" s="358"/>
      <c r="O433" s="351">
        <f t="array" ref="O433">IF(ISERROR(K433/C433),"",K433/C433)</f>
        <v>1.3070827546769056E-2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4086</v>
      </c>
      <c r="D434" s="354"/>
      <c r="E434" s="341" t="s">
        <v>255</v>
      </c>
      <c r="F434" s="359"/>
      <c r="G434" s="355">
        <f>+G413+G204</f>
        <v>4221</v>
      </c>
      <c r="H434" s="356"/>
      <c r="I434" s="341" t="s">
        <v>256</v>
      </c>
      <c r="J434" s="359"/>
      <c r="K434" s="323">
        <f>G434-C434</f>
        <v>135</v>
      </c>
      <c r="L434" s="325"/>
      <c r="M434" s="357" t="s">
        <v>257</v>
      </c>
      <c r="N434" s="358"/>
      <c r="O434" s="351">
        <f t="array" ref="O434">IF(ISERROR(K434/C434),"",K434/C434)</f>
        <v>3.3039647577092511E-2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256" t="s">
        <v>34</v>
      </c>
      <c r="D9" s="256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256" t="s">
        <v>34</v>
      </c>
      <c r="D10" s="256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256" t="s">
        <v>34</v>
      </c>
      <c r="D11" s="256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256" t="s">
        <v>34</v>
      </c>
      <c r="D12" s="256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256" t="s">
        <v>34</v>
      </c>
      <c r="D13" s="256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67" t="s">
        <v>313</v>
      </c>
      <c r="D14" s="268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67" t="s">
        <v>313</v>
      </c>
      <c r="D15" s="268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67" t="s">
        <v>44</v>
      </c>
      <c r="D16" s="268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67" t="s">
        <v>44</v>
      </c>
      <c r="D17" s="268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67" t="s">
        <v>44</v>
      </c>
      <c r="D18" s="268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256" t="s">
        <v>45</v>
      </c>
      <c r="D19" s="256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256" t="s">
        <v>46</v>
      </c>
      <c r="D20" s="256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256" t="s">
        <v>48</v>
      </c>
      <c r="D21" s="256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256" t="s">
        <v>50</v>
      </c>
      <c r="D22" s="256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256" t="s">
        <v>50</v>
      </c>
      <c r="D23" s="256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256" t="s">
        <v>50</v>
      </c>
      <c r="D24" s="256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256" t="s">
        <v>51</v>
      </c>
      <c r="D25" s="256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256" t="s">
        <v>51</v>
      </c>
      <c r="D26" s="256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256" t="s">
        <v>51</v>
      </c>
      <c r="D27" s="256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256" t="s">
        <v>51</v>
      </c>
      <c r="D28" s="256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256" t="s">
        <v>51</v>
      </c>
      <c r="D29" s="256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256" t="s">
        <v>53</v>
      </c>
      <c r="D30" s="256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256" t="s">
        <v>53</v>
      </c>
      <c r="D31" s="256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256" t="s">
        <v>53</v>
      </c>
      <c r="D32" s="256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256" t="s">
        <v>56</v>
      </c>
      <c r="D33" s="256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256" t="s">
        <v>56</v>
      </c>
      <c r="D34" s="256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256" t="s">
        <v>56</v>
      </c>
      <c r="D35" s="256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256" t="s">
        <v>56</v>
      </c>
      <c r="D36" s="256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256" t="s">
        <v>58</v>
      </c>
      <c r="D37" s="256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67" t="s">
        <v>304</v>
      </c>
      <c r="D38" s="268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67" t="s">
        <v>304</v>
      </c>
      <c r="D39" s="268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67" t="s">
        <v>304</v>
      </c>
      <c r="D40" s="268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256" t="s">
        <v>61</v>
      </c>
      <c r="D41" s="256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256" t="s">
        <v>61</v>
      </c>
      <c r="D42" s="256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256" t="s">
        <v>61</v>
      </c>
      <c r="D43" s="256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256" t="s">
        <v>64</v>
      </c>
      <c r="D44" s="256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256" t="s">
        <v>64</v>
      </c>
      <c r="D45" s="256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67" t="s">
        <v>68</v>
      </c>
      <c r="D46" s="268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67" t="s">
        <v>68</v>
      </c>
      <c r="D47" s="268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67" t="s">
        <v>68</v>
      </c>
      <c r="D48" s="268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67" t="s">
        <v>68</v>
      </c>
      <c r="D49" s="268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256" t="s">
        <v>73</v>
      </c>
      <c r="D50" s="256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256" t="s">
        <v>73</v>
      </c>
      <c r="D51" s="256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256" t="s">
        <v>73</v>
      </c>
      <c r="D52" s="256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256" t="s">
        <v>73</v>
      </c>
      <c r="D53" s="256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256" t="s">
        <v>75</v>
      </c>
      <c r="D54" s="256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256" t="s">
        <v>75</v>
      </c>
      <c r="D55" s="256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256" t="s">
        <v>75</v>
      </c>
      <c r="D56" s="256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256" t="s">
        <v>75</v>
      </c>
      <c r="D57" s="256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256" t="s">
        <v>77</v>
      </c>
      <c r="D58" s="256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256" t="s">
        <v>77</v>
      </c>
      <c r="D59" s="256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67" t="s">
        <v>301</v>
      </c>
      <c r="D60" s="268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67" t="s">
        <v>301</v>
      </c>
      <c r="D61" s="268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256" t="s">
        <v>81</v>
      </c>
      <c r="D62" s="256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256" t="s">
        <v>81</v>
      </c>
      <c r="D63" s="256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67" t="s">
        <v>83</v>
      </c>
      <c r="D64" s="268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67" t="s">
        <v>83</v>
      </c>
      <c r="D65" s="268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67" t="s">
        <v>83</v>
      </c>
      <c r="D66" s="268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67" t="s">
        <v>86</v>
      </c>
      <c r="D67" s="268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67" t="s">
        <v>86</v>
      </c>
      <c r="D68" s="268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67" t="s">
        <v>86</v>
      </c>
      <c r="D69" s="268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256" t="s">
        <v>88</v>
      </c>
      <c r="D70" s="256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256" t="s">
        <v>88</v>
      </c>
      <c r="D71" s="256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256" t="s">
        <v>88</v>
      </c>
      <c r="D72" s="256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256" t="s">
        <v>88</v>
      </c>
      <c r="D73" s="256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256" t="s">
        <v>316</v>
      </c>
      <c r="D74" s="256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256" t="s">
        <v>316</v>
      </c>
      <c r="D75" s="256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256" t="s">
        <v>317</v>
      </c>
      <c r="D76" s="256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256" t="s">
        <v>317</v>
      </c>
      <c r="D77" s="256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256" t="s">
        <v>317</v>
      </c>
      <c r="D78" s="256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256" t="s">
        <v>98</v>
      </c>
      <c r="D79" s="256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256" t="s">
        <v>98</v>
      </c>
      <c r="D80" s="256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256" t="s">
        <v>98</v>
      </c>
      <c r="D81" s="256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256" t="s">
        <v>98</v>
      </c>
      <c r="D82" s="256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256" t="s">
        <v>98</v>
      </c>
      <c r="D83" s="256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256" t="s">
        <v>100</v>
      </c>
      <c r="D84" s="256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256" t="s">
        <v>100</v>
      </c>
      <c r="D85" s="256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256" t="s">
        <v>100</v>
      </c>
      <c r="D86" s="256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256" t="s">
        <v>100</v>
      </c>
      <c r="D87" s="256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256" t="s">
        <v>106</v>
      </c>
      <c r="D88" s="256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256" t="s">
        <v>106</v>
      </c>
      <c r="D89" s="256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256" t="s">
        <v>106</v>
      </c>
      <c r="D90" s="256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256" t="s">
        <v>106</v>
      </c>
      <c r="D91" s="256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256" t="s">
        <v>107</v>
      </c>
      <c r="D92" s="256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256" t="s">
        <v>107</v>
      </c>
      <c r="D93" s="256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256" t="s">
        <v>107</v>
      </c>
      <c r="D94" s="256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256" t="s">
        <v>107</v>
      </c>
      <c r="D95" s="256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256" t="s">
        <v>107</v>
      </c>
      <c r="D96" s="256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67" t="s">
        <v>109</v>
      </c>
      <c r="D97" s="268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256" t="s">
        <v>318</v>
      </c>
      <c r="D98" s="256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256" t="s">
        <v>318</v>
      </c>
      <c r="D99" s="256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256" t="s">
        <v>112</v>
      </c>
      <c r="D100" s="256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256" t="s">
        <v>112</v>
      </c>
      <c r="D101" s="256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256" t="s">
        <v>112</v>
      </c>
      <c r="D102" s="256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0.79536299869602378</v>
      </c>
      <c r="P200" s="282"/>
      <c r="Q200" s="282"/>
      <c r="R200" s="283"/>
      <c r="S200" s="44"/>
      <c r="T200" s="45"/>
      <c r="U200" s="45"/>
      <c r="V200" s="45"/>
      <c r="W200" s="284">
        <f>SUM(W199:AC199)</f>
        <v>2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70</v>
      </c>
      <c r="F202" s="287"/>
      <c r="G202" s="287">
        <v>70</v>
      </c>
      <c r="H202" s="287"/>
      <c r="I202" s="287">
        <f>G202-E202</f>
        <v>0</v>
      </c>
      <c r="J202" s="287"/>
      <c r="K202" s="289">
        <f t="array" ref="K202">IF(ISERROR(I202/E202),"",I202/E202)</f>
        <v>0</v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2429</v>
      </c>
      <c r="F203" s="287"/>
      <c r="G203" s="287">
        <v>2429</v>
      </c>
      <c r="H203" s="287"/>
      <c r="I203" s="287">
        <f>G203-E203</f>
        <v>0</v>
      </c>
      <c r="J203" s="287"/>
      <c r="K203" s="289">
        <f t="array" ref="K203">IF(ISERROR(I203/E203),"",I203/E203)</f>
        <v>0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17</v>
      </c>
      <c r="T203" s="292"/>
      <c r="U203" s="292">
        <v>16</v>
      </c>
      <c r="V203" s="292"/>
      <c r="W203" s="291">
        <f t="shared" ref="W203:W210" si="28">S203*11</f>
        <v>187</v>
      </c>
      <c r="X203" s="291"/>
      <c r="Y203" s="291">
        <f t="shared" ref="Y203:Y210" si="29">U203*11</f>
        <v>176</v>
      </c>
      <c r="Z203" s="291"/>
      <c r="AA203" s="291">
        <f t="shared" ref="AA203:AA210" si="30">Y203-W203</f>
        <v>-11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>
        <v>738</v>
      </c>
      <c r="F204" s="287"/>
      <c r="G204" s="287">
        <v>738</v>
      </c>
      <c r="H204" s="287"/>
      <c r="I204" s="287">
        <f>G204-E204</f>
        <v>0</v>
      </c>
      <c r="J204" s="287"/>
      <c r="K204" s="289">
        <f t="array" ref="K204">IF(ISERROR(I204/E204),"",I204/E204)</f>
        <v>0</v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3</v>
      </c>
      <c r="T204" s="292"/>
      <c r="U204" s="292">
        <v>7</v>
      </c>
      <c r="V204" s="292"/>
      <c r="W204" s="291">
        <f t="shared" si="28"/>
        <v>33</v>
      </c>
      <c r="X204" s="291"/>
      <c r="Y204" s="291">
        <f t="shared" si="29"/>
        <v>77</v>
      </c>
      <c r="Z204" s="291"/>
      <c r="AA204" s="291">
        <f t="shared" si="30"/>
        <v>44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149309</v>
      </c>
      <c r="H206" s="294"/>
      <c r="I206" s="333">
        <v>149244</v>
      </c>
      <c r="J206" s="334"/>
      <c r="K206" s="297">
        <f>G206-I206</f>
        <v>65</v>
      </c>
      <c r="L206" s="297"/>
      <c r="M206" s="298">
        <f t="array" ref="M206">IF(ISERROR(K206/L199),"",K206/(L199/1000))</f>
        <v>4.5625564595471042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8"/>
        <v>8.25</v>
      </c>
      <c r="X206" s="291"/>
      <c r="Y206" s="291">
        <f t="shared" si="29"/>
        <v>0</v>
      </c>
      <c r="Z206" s="291"/>
      <c r="AA206" s="291">
        <f t="shared" si="30"/>
        <v>-8.25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28562.5*120+44854.9*60</f>
        <v>6118794</v>
      </c>
      <c r="H207" s="294"/>
      <c r="I207" s="333">
        <v>6117360</v>
      </c>
      <c r="J207" s="334"/>
      <c r="K207" s="297">
        <f>G207-I207</f>
        <v>1434</v>
      </c>
      <c r="L207" s="297"/>
      <c r="M207" s="298">
        <f t="array" ref="M207">IF(ISERROR(K207/L199),"",K207/(L199/1000))</f>
        <v>100.65701481523919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1</v>
      </c>
      <c r="V207" s="292"/>
      <c r="W207" s="291">
        <f t="shared" si="28"/>
        <v>16.5</v>
      </c>
      <c r="X207" s="291"/>
      <c r="Y207" s="291">
        <f t="shared" si="29"/>
        <v>11</v>
      </c>
      <c r="Z207" s="291"/>
      <c r="AA207" s="291">
        <f t="shared" si="30"/>
        <v>-5.5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+I208+11</f>
        <v>27819</v>
      </c>
      <c r="H208" s="294"/>
      <c r="I208" s="293">
        <v>27808</v>
      </c>
      <c r="J208" s="294"/>
      <c r="K208" s="297">
        <f>G208-I208</f>
        <v>11</v>
      </c>
      <c r="L208" s="297"/>
      <c r="M208" s="301">
        <f t="array" ref="M208">IF(ISERROR(K208/L199),"",K208/(L199/1000))</f>
        <v>0.77212493930797155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1</v>
      </c>
      <c r="V208" s="292"/>
      <c r="W208" s="291">
        <f t="shared" si="28"/>
        <v>11</v>
      </c>
      <c r="X208" s="291"/>
      <c r="Y208" s="291">
        <f t="shared" si="29"/>
        <v>11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f>1.76+1.6/2</f>
        <v>2.56</v>
      </c>
      <c r="L209" s="300"/>
      <c r="M209" s="302">
        <f t="array" ref="M209">IF(ISERROR((K209+K210)/L199),"",((K209+K210)*1000)/(L199/1000))</f>
        <v>179.69453132985518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8</v>
      </c>
      <c r="V209" s="292"/>
      <c r="W209" s="291">
        <f t="shared" si="28"/>
        <v>33</v>
      </c>
      <c r="X209" s="291"/>
      <c r="Y209" s="291">
        <f t="shared" si="29"/>
        <v>88</v>
      </c>
      <c r="Z209" s="291"/>
      <c r="AA209" s="291">
        <f t="shared" si="30"/>
        <v>55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27</v>
      </c>
      <c r="T210" s="292"/>
      <c r="U210" s="292">
        <f>SUM(U203:V209)</f>
        <v>33</v>
      </c>
      <c r="V210" s="292"/>
      <c r="W210" s="291">
        <f t="shared" si="28"/>
        <v>297</v>
      </c>
      <c r="X210" s="291"/>
      <c r="Y210" s="291">
        <f t="shared" si="29"/>
        <v>363</v>
      </c>
      <c r="Z210" s="291"/>
      <c r="AA210" s="291">
        <f t="shared" si="30"/>
        <v>66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4.296875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39.246278368096547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67" t="s">
        <v>313</v>
      </c>
      <c r="D223" s="268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67" t="s">
        <v>313</v>
      </c>
      <c r="D224" s="268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56" t="s">
        <v>77</v>
      </c>
      <c r="D268" s="256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256" t="s">
        <v>317</v>
      </c>
      <c r="D286" s="256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256" t="s">
        <v>112</v>
      </c>
      <c r="D310" s="256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>
        <f t="array" ref="O409">IF(ISERROR(P408/R408),"",P408/R408)</f>
        <v>1.0885210442230395</v>
      </c>
      <c r="P409" s="282"/>
      <c r="Q409" s="282"/>
      <c r="R409" s="283"/>
      <c r="S409" s="44"/>
      <c r="T409" s="45"/>
      <c r="U409" s="45"/>
      <c r="V409" s="45"/>
      <c r="W409" s="284">
        <f>SUM(W408:AC408)</f>
        <v>2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>
        <v>63</v>
      </c>
      <c r="F411" s="287"/>
      <c r="G411" s="287">
        <v>63</v>
      </c>
      <c r="H411" s="287"/>
      <c r="I411" s="287">
        <f>G411-E411</f>
        <v>0</v>
      </c>
      <c r="J411" s="287"/>
      <c r="K411" s="289">
        <f t="array" ref="K411">IF(ISERROR(I411/E411),"",I411/E411)</f>
        <v>0</v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>
        <v>2637</v>
      </c>
      <c r="F412" s="287"/>
      <c r="G412" s="287">
        <v>2637</v>
      </c>
      <c r="H412" s="287"/>
      <c r="I412" s="287">
        <f>G412-E412</f>
        <v>0</v>
      </c>
      <c r="J412" s="287"/>
      <c r="K412" s="289">
        <f t="array" ref="K412">IF(ISERROR(I412/E412),"",I412/E412)</f>
        <v>0</v>
      </c>
      <c r="L412" s="289"/>
      <c r="M412" s="274"/>
      <c r="N412" s="275"/>
      <c r="O412" s="329"/>
      <c r="P412" s="329"/>
      <c r="Q412" s="291" t="s">
        <v>193</v>
      </c>
      <c r="R412" s="291"/>
      <c r="S412" s="292">
        <v>16</v>
      </c>
      <c r="T412" s="292"/>
      <c r="U412" s="292">
        <v>16</v>
      </c>
      <c r="V412" s="292"/>
      <c r="W412" s="291">
        <f>S412*9</f>
        <v>144</v>
      </c>
      <c r="X412" s="291"/>
      <c r="Y412" s="291">
        <f>U412*9</f>
        <v>144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>
        <v>3</v>
      </c>
      <c r="T413" s="292"/>
      <c r="U413" s="292">
        <v>4</v>
      </c>
      <c r="V413" s="292"/>
      <c r="W413" s="291">
        <f t="shared" ref="W413:W419" si="60">S413*9</f>
        <v>27</v>
      </c>
      <c r="X413" s="291"/>
      <c r="Y413" s="291">
        <f t="shared" ref="Y413:Y419" si="61">U413*9</f>
        <v>36</v>
      </c>
      <c r="Z413" s="291"/>
      <c r="AA413" s="291">
        <f t="shared" si="59"/>
        <v>9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366">
        <v>0.75</v>
      </c>
      <c r="T414" s="367"/>
      <c r="U414" s="292">
        <v>0</v>
      </c>
      <c r="V414" s="292"/>
      <c r="W414" s="291">
        <f t="shared" si="60"/>
        <v>6.75</v>
      </c>
      <c r="X414" s="291"/>
      <c r="Y414" s="291">
        <f t="shared" si="61"/>
        <v>0</v>
      </c>
      <c r="Z414" s="291"/>
      <c r="AA414" s="291">
        <f t="shared" si="59"/>
        <v>-6.75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>
        <v>149362</v>
      </c>
      <c r="H415" s="332"/>
      <c r="I415" s="333">
        <v>149309</v>
      </c>
      <c r="J415" s="334"/>
      <c r="K415" s="297">
        <f>G415-I415</f>
        <v>53</v>
      </c>
      <c r="L415" s="297"/>
      <c r="M415" s="298">
        <f t="array" ref="M415">IF(ISERROR(K415/L408),"",K415/(L408/1000))</f>
        <v>3.0189477624389189</v>
      </c>
      <c r="N415" s="298"/>
      <c r="O415" s="329"/>
      <c r="P415" s="329"/>
      <c r="Q415" s="291" t="s">
        <v>205</v>
      </c>
      <c r="R415" s="291"/>
      <c r="S415" s="366">
        <v>0.75</v>
      </c>
      <c r="T415" s="367"/>
      <c r="U415" s="292">
        <v>0</v>
      </c>
      <c r="V415" s="292"/>
      <c r="W415" s="291">
        <f t="shared" si="60"/>
        <v>6.75</v>
      </c>
      <c r="X415" s="291"/>
      <c r="Y415" s="291">
        <f t="shared" si="61"/>
        <v>0</v>
      </c>
      <c r="Z415" s="291"/>
      <c r="AA415" s="291">
        <f t="shared" si="59"/>
        <v>-6.75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>
        <f>44861.5*60+28568.2*120</f>
        <v>6119874</v>
      </c>
      <c r="H416" s="331"/>
      <c r="I416" s="330">
        <v>6118794</v>
      </c>
      <c r="J416" s="331"/>
      <c r="K416" s="297">
        <f>G416-I416</f>
        <v>1080</v>
      </c>
      <c r="L416" s="297"/>
      <c r="M416" s="298">
        <f t="array" ref="M416">IF(ISERROR(K416/L408),"",K416/(L408/1000))</f>
        <v>61.51818081951005</v>
      </c>
      <c r="N416" s="298"/>
      <c r="O416" s="329"/>
      <c r="P416" s="329"/>
      <c r="Q416" s="291" t="s">
        <v>208</v>
      </c>
      <c r="R416" s="291"/>
      <c r="S416" s="366">
        <v>1.5</v>
      </c>
      <c r="T416" s="367"/>
      <c r="U416" s="292">
        <v>0</v>
      </c>
      <c r="V416" s="292"/>
      <c r="W416" s="291">
        <f t="shared" si="60"/>
        <v>13.5</v>
      </c>
      <c r="X416" s="291"/>
      <c r="Y416" s="291">
        <f t="shared" si="61"/>
        <v>0</v>
      </c>
      <c r="Z416" s="291"/>
      <c r="AA416" s="291">
        <f t="shared" si="59"/>
        <v>-13.5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>
        <f>+I417+11</f>
        <v>27830</v>
      </c>
      <c r="H417" s="332"/>
      <c r="I417" s="335">
        <v>27819</v>
      </c>
      <c r="J417" s="336"/>
      <c r="K417" s="297">
        <f>G417-I417</f>
        <v>11</v>
      </c>
      <c r="L417" s="297"/>
      <c r="M417" s="301">
        <f t="array" ref="M417">IF(ISERROR(K417/L408),"",K417/(L408/1000))</f>
        <v>0.62657406390241721</v>
      </c>
      <c r="N417" s="301"/>
      <c r="O417" s="329"/>
      <c r="P417" s="329"/>
      <c r="Q417" s="291" t="s">
        <v>211</v>
      </c>
      <c r="R417" s="291"/>
      <c r="S417" s="366">
        <v>1</v>
      </c>
      <c r="T417" s="367"/>
      <c r="U417" s="292">
        <v>1</v>
      </c>
      <c r="V417" s="292"/>
      <c r="W417" s="291">
        <f t="shared" si="60"/>
        <v>9</v>
      </c>
      <c r="X417" s="291"/>
      <c r="Y417" s="291">
        <f t="shared" si="61"/>
        <v>9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>
        <f>1.6+1.6/2</f>
        <v>2.4000000000000004</v>
      </c>
      <c r="L418" s="309"/>
      <c r="M418" s="302">
        <f t="array" ref="M418">IF(ISERROR((K418+K419)/L408),"",((K418+K419)*1000)/(L408/1000))</f>
        <v>136.70706848780014</v>
      </c>
      <c r="N418" s="303"/>
      <c r="O418" s="329"/>
      <c r="P418" s="329"/>
      <c r="Q418" s="291" t="s">
        <v>214</v>
      </c>
      <c r="R418" s="291"/>
      <c r="S418" s="366">
        <v>3</v>
      </c>
      <c r="T418" s="367"/>
      <c r="U418" s="292">
        <v>7</v>
      </c>
      <c r="V418" s="292"/>
      <c r="W418" s="291">
        <f t="shared" si="60"/>
        <v>27</v>
      </c>
      <c r="X418" s="291"/>
      <c r="Y418" s="291">
        <f t="shared" si="61"/>
        <v>63</v>
      </c>
      <c r="Z418" s="291"/>
      <c r="AA418" s="291">
        <f t="shared" si="59"/>
        <v>36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26</v>
      </c>
      <c r="T419" s="292"/>
      <c r="U419" s="292">
        <f>SUM(U412:V418)</f>
        <v>28</v>
      </c>
      <c r="V419" s="292"/>
      <c r="W419" s="291">
        <f t="shared" si="60"/>
        <v>234</v>
      </c>
      <c r="X419" s="291"/>
      <c r="Y419" s="291">
        <f t="shared" si="61"/>
        <v>252</v>
      </c>
      <c r="Z419" s="291"/>
      <c r="AA419" s="291">
        <f t="shared" si="59"/>
        <v>18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>
        <f>IF(ISERROR(K417/K418),"",K417/K418)</f>
        <v>4.583333333333333</v>
      </c>
      <c r="N420" s="311"/>
      <c r="O420" s="329"/>
      <c r="P420" s="329"/>
      <c r="Q420" s="288" t="s">
        <v>219</v>
      </c>
      <c r="R420" s="288"/>
      <c r="S420" s="338">
        <f t="array" ref="S420">IF(ISERROR(L408/Y419),"",L408/Y419)</f>
        <v>69.665816326530617</v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32171.879999999997</v>
      </c>
      <c r="D423" s="345"/>
      <c r="E423" s="341" t="s">
        <v>226</v>
      </c>
      <c r="F423" s="341"/>
      <c r="G423" s="341">
        <f>L199+L408</f>
        <v>31802.184761904762</v>
      </c>
      <c r="H423" s="341"/>
      <c r="I423" s="348" t="s">
        <v>227</v>
      </c>
      <c r="J423" s="348"/>
      <c r="K423" s="347">
        <f>IF(ISERROR(G423/C423),"",G423/C423)</f>
        <v>0.98850874620646245</v>
      </c>
      <c r="L423" s="347"/>
      <c r="M423" s="341" t="s">
        <v>228</v>
      </c>
      <c r="N423" s="341"/>
      <c r="O423" s="342">
        <f>IF(ISERROR(G423/G424),"",G423/G424)</f>
        <v>49.924936831875605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589.60995705351263</v>
      </c>
      <c r="D424" s="345"/>
      <c r="E424" s="346" t="s">
        <v>18</v>
      </c>
      <c r="F424" s="346"/>
      <c r="G424" s="341">
        <f>R199+R408</f>
        <v>637</v>
      </c>
      <c r="H424" s="341"/>
      <c r="I424" s="321" t="s">
        <v>176</v>
      </c>
      <c r="J424" s="321"/>
      <c r="K424" s="347">
        <f>IF(ISERROR(C424/G424),"",C424/G424)</f>
        <v>0.92560432818447824</v>
      </c>
      <c r="L424" s="347"/>
      <c r="M424" s="287" t="s">
        <v>230</v>
      </c>
      <c r="N424" s="287"/>
      <c r="O424" s="341">
        <f>W200+W409</f>
        <v>4</v>
      </c>
      <c r="P424" s="287"/>
      <c r="Q424" s="287" t="s">
        <v>231</v>
      </c>
      <c r="R424" s="287"/>
      <c r="S424" s="347">
        <f t="array" ref="S424">IF(ISERROR(O424/G424),"",O424/G424)</f>
        <v>6.2794348508634227E-3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118</v>
      </c>
      <c r="D426" s="345"/>
      <c r="E426" s="341" t="s">
        <v>234</v>
      </c>
      <c r="F426" s="341"/>
      <c r="G426" s="301">
        <f t="array" ref="G426">IF(ISERROR(C426/G423),"",C426/(G423/1000))</f>
        <v>3.7104369049937089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2514</v>
      </c>
      <c r="D427" s="345"/>
      <c r="E427" s="341" t="s">
        <v>236</v>
      </c>
      <c r="F427" s="341"/>
      <c r="G427" s="301">
        <f>IF(ISERROR(C427/G423),"",C427/(G423/1000))</f>
        <v>79.051172704696484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22</v>
      </c>
      <c r="D428" s="345"/>
      <c r="E428" s="341" t="s">
        <v>238</v>
      </c>
      <c r="F428" s="341"/>
      <c r="G428" s="301">
        <f>IF(ISERROR(C428/G423),"",C428/(G423/1000))</f>
        <v>0.69177637211747123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4.9600000000000009</v>
      </c>
      <c r="D429" s="345"/>
      <c r="E429" s="341" t="s">
        <v>240</v>
      </c>
      <c r="F429" s="341"/>
      <c r="G429" s="349">
        <f>IF(ISERROR(C429/G423),"",C429/(G423/1000))</f>
        <v>0.15596412753193897</v>
      </c>
      <c r="H429" s="349"/>
      <c r="I429" s="341" t="s">
        <v>241</v>
      </c>
      <c r="J429" s="341"/>
      <c r="K429" s="350">
        <f>IF(ISERROR(C428/C429),"",C428/C429)</f>
        <v>4.4354838709677411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133</v>
      </c>
      <c r="D432" s="354"/>
      <c r="E432" s="341" t="s">
        <v>247</v>
      </c>
      <c r="F432" s="359"/>
      <c r="G432" s="355">
        <f>+G411+G202</f>
        <v>133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>
        <f t="array" ref="O432">IF(ISERROR(K432/C432),"",K432/C432)</f>
        <v>0</v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5066</v>
      </c>
      <c r="D433" s="354"/>
      <c r="E433" s="341" t="s">
        <v>251</v>
      </c>
      <c r="F433" s="341"/>
      <c r="G433" s="355">
        <f>+G412+G203</f>
        <v>5066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>
        <f t="array" ref="O433">IF(ISERROR(K433/C433),"",K433/C433)</f>
        <v>0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738</v>
      </c>
      <c r="D434" s="354"/>
      <c r="E434" s="341" t="s">
        <v>255</v>
      </c>
      <c r="F434" s="359"/>
      <c r="G434" s="355">
        <f>+G413+G204</f>
        <v>738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>
        <f t="array" ref="O434">IF(ISERROR(K434/C434),"",K434/C434)</f>
        <v>0</v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3</v>
      </c>
      <c r="I450" s="69">
        <f t="shared" si="69"/>
        <v>7</v>
      </c>
      <c r="J450" s="85">
        <f t="shared" si="63"/>
        <v>32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67" t="s">
        <v>313</v>
      </c>
      <c r="D14" s="268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>
        <f>IF(ISERROR(P199/R199),"",P199/R199)</f>
        <v>6.5768307322929171</v>
      </c>
      <c r="P200" s="282"/>
      <c r="Q200" s="282"/>
      <c r="R200" s="283"/>
      <c r="S200" s="44"/>
      <c r="T200" s="45"/>
      <c r="U200" s="45"/>
      <c r="V200" s="45"/>
      <c r="W200" s="284">
        <f>SUM(W199:AC199)</f>
        <v>2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>
        <v>0</v>
      </c>
      <c r="F202" s="287"/>
      <c r="G202" s="287">
        <v>0</v>
      </c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>
        <v>11.8</v>
      </c>
      <c r="F203" s="287"/>
      <c r="G203" s="287">
        <v>11.8</v>
      </c>
      <c r="H203" s="287"/>
      <c r="I203" s="287">
        <f>G203-E203</f>
        <v>0</v>
      </c>
      <c r="J203" s="287"/>
      <c r="K203" s="289">
        <f t="array" ref="K203">IF(ISERROR(I203/E203),"",I203/E203)</f>
        <v>0</v>
      </c>
      <c r="L203" s="289"/>
      <c r="M203" s="274"/>
      <c r="N203" s="275"/>
      <c r="O203" s="290"/>
      <c r="P203" s="290"/>
      <c r="Q203" s="291" t="s">
        <v>193</v>
      </c>
      <c r="R203" s="291"/>
      <c r="S203" s="292">
        <v>3</v>
      </c>
      <c r="T203" s="292"/>
      <c r="U203" s="292">
        <v>2</v>
      </c>
      <c r="V203" s="292"/>
      <c r="W203" s="291">
        <f t="shared" ref="W203:W210" si="28">S203*11</f>
        <v>33</v>
      </c>
      <c r="X203" s="291"/>
      <c r="Y203" s="291">
        <f t="shared" ref="Y203:Y210" si="29">U203*11</f>
        <v>22</v>
      </c>
      <c r="Z203" s="291"/>
      <c r="AA203" s="291">
        <f t="shared" ref="AA203:AA210" si="30">Y203-W203</f>
        <v>-11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>
        <v>1</v>
      </c>
      <c r="T204" s="292"/>
      <c r="U204" s="292">
        <v>1</v>
      </c>
      <c r="V204" s="292"/>
      <c r="W204" s="291">
        <f t="shared" si="28"/>
        <v>11</v>
      </c>
      <c r="X204" s="291"/>
      <c r="Y204" s="291">
        <f t="shared" si="29"/>
        <v>11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366">
        <v>0.75</v>
      </c>
      <c r="T205" s="367"/>
      <c r="U205" s="292">
        <v>0</v>
      </c>
      <c r="V205" s="292"/>
      <c r="W205" s="291">
        <f t="shared" si="28"/>
        <v>8.25</v>
      </c>
      <c r="X205" s="291"/>
      <c r="Y205" s="291">
        <f t="shared" si="29"/>
        <v>0</v>
      </c>
      <c r="Z205" s="291"/>
      <c r="AA205" s="291">
        <f t="shared" si="30"/>
        <v>-8.25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>
        <v>149384</v>
      </c>
      <c r="H206" s="294"/>
      <c r="I206" s="333">
        <v>149362</v>
      </c>
      <c r="J206" s="334"/>
      <c r="K206" s="297">
        <f>G206-I206</f>
        <v>22</v>
      </c>
      <c r="L206" s="297"/>
      <c r="M206" s="298">
        <f t="array" ref="M206">IF(ISERROR(K206/L199),"",K206/(L199/1000))</f>
        <v>103.09278350515464</v>
      </c>
      <c r="N206" s="298"/>
      <c r="O206" s="290"/>
      <c r="P206" s="290"/>
      <c r="Q206" s="291" t="s">
        <v>205</v>
      </c>
      <c r="R206" s="291"/>
      <c r="S206" s="366">
        <v>0.75</v>
      </c>
      <c r="T206" s="367"/>
      <c r="U206" s="292">
        <v>0</v>
      </c>
      <c r="V206" s="292"/>
      <c r="W206" s="291">
        <f t="shared" si="28"/>
        <v>8.25</v>
      </c>
      <c r="X206" s="291"/>
      <c r="Y206" s="291">
        <f t="shared" si="29"/>
        <v>0</v>
      </c>
      <c r="Z206" s="291"/>
      <c r="AA206" s="291">
        <f t="shared" si="30"/>
        <v>-8.25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>
        <f>28569.7*120+44863.2*60</f>
        <v>6120156</v>
      </c>
      <c r="H207" s="294"/>
      <c r="I207" s="333">
        <v>6119874</v>
      </c>
      <c r="J207" s="334"/>
      <c r="K207" s="297">
        <f>G207-I207</f>
        <v>282</v>
      </c>
      <c r="L207" s="297"/>
      <c r="M207" s="298">
        <f t="array" ref="M207">IF(ISERROR(K207/L199),"",K207/(L199/1000))</f>
        <v>1321.4620431115277</v>
      </c>
      <c r="N207" s="298"/>
      <c r="O207" s="290"/>
      <c r="P207" s="290"/>
      <c r="Q207" s="291" t="s">
        <v>208</v>
      </c>
      <c r="R207" s="291"/>
      <c r="S207" s="366">
        <v>1.5</v>
      </c>
      <c r="T207" s="367"/>
      <c r="U207" s="292">
        <v>0</v>
      </c>
      <c r="V207" s="292"/>
      <c r="W207" s="291">
        <f t="shared" si="28"/>
        <v>16.5</v>
      </c>
      <c r="X207" s="291"/>
      <c r="Y207" s="291">
        <f t="shared" si="29"/>
        <v>0</v>
      </c>
      <c r="Z207" s="291"/>
      <c r="AA207" s="291">
        <f t="shared" si="30"/>
        <v>-16.5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>
        <f>+I208+3</f>
        <v>27833</v>
      </c>
      <c r="H208" s="294"/>
      <c r="I208" s="293">
        <v>27830</v>
      </c>
      <c r="J208" s="294"/>
      <c r="K208" s="297">
        <f>G208-I208</f>
        <v>3</v>
      </c>
      <c r="L208" s="297"/>
      <c r="M208" s="301">
        <f t="array" ref="M208">IF(ISERROR(K208/L199),"",K208/(L199/1000))</f>
        <v>14.058106841611997</v>
      </c>
      <c r="N208" s="301"/>
      <c r="O208" s="290"/>
      <c r="P208" s="290"/>
      <c r="Q208" s="291" t="s">
        <v>211</v>
      </c>
      <c r="R208" s="291"/>
      <c r="S208" s="366">
        <v>1</v>
      </c>
      <c r="T208" s="367"/>
      <c r="U208" s="292">
        <v>0</v>
      </c>
      <c r="V208" s="292"/>
      <c r="W208" s="291">
        <f t="shared" si="28"/>
        <v>11</v>
      </c>
      <c r="X208" s="291"/>
      <c r="Y208" s="291">
        <f t="shared" si="29"/>
        <v>0</v>
      </c>
      <c r="Z208" s="291"/>
      <c r="AA208" s="291">
        <f t="shared" si="30"/>
        <v>-11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>
        <v>0.2</v>
      </c>
      <c r="L209" s="300"/>
      <c r="M209" s="302">
        <f t="array" ref="M209">IF(ISERROR((K209+K210)/L199),"",((K209+K210)*1000)/(L199/1000))</f>
        <v>937.20712277413304</v>
      </c>
      <c r="N209" s="303"/>
      <c r="O209" s="290"/>
      <c r="P209" s="290"/>
      <c r="Q209" s="291" t="s">
        <v>214</v>
      </c>
      <c r="R209" s="291"/>
      <c r="S209" s="366">
        <v>3</v>
      </c>
      <c r="T209" s="367"/>
      <c r="U209" s="292">
        <v>0</v>
      </c>
      <c r="V209" s="292"/>
      <c r="W209" s="291">
        <f t="shared" si="28"/>
        <v>33</v>
      </c>
      <c r="X209" s="291"/>
      <c r="Y209" s="291">
        <f t="shared" si="29"/>
        <v>0</v>
      </c>
      <c r="Z209" s="291"/>
      <c r="AA209" s="291">
        <f t="shared" si="30"/>
        <v>-33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11</v>
      </c>
      <c r="T210" s="292"/>
      <c r="U210" s="292">
        <f>SUM(U203:V209)</f>
        <v>3</v>
      </c>
      <c r="V210" s="292"/>
      <c r="W210" s="291">
        <f t="shared" si="28"/>
        <v>121</v>
      </c>
      <c r="X210" s="291"/>
      <c r="Y210" s="291">
        <f t="shared" si="29"/>
        <v>33</v>
      </c>
      <c r="Z210" s="291"/>
      <c r="AA210" s="291">
        <f t="shared" si="30"/>
        <v>-88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>
        <f>IF(ISERROR(K208/K209),"",K208/K209)</f>
        <v>15</v>
      </c>
      <c r="N211" s="311"/>
      <c r="O211" s="290"/>
      <c r="P211" s="290"/>
      <c r="Q211" s="288" t="s">
        <v>219</v>
      </c>
      <c r="R211" s="288"/>
      <c r="S211" s="312">
        <f t="array" ref="S211">IF(ISERROR(L199/Y210),"",L199/Y210)</f>
        <v>6.4666666666666668</v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hidden="1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hidden="1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hidden="1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hidden="1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hidden="1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hidden="1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hidden="1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hidden="1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hidden="1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hidden="1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hidden="1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2987.6</v>
      </c>
      <c r="D423" s="345"/>
      <c r="E423" s="341" t="s">
        <v>226</v>
      </c>
      <c r="F423" s="341"/>
      <c r="G423" s="341">
        <f>L199+L408</f>
        <v>213.4</v>
      </c>
      <c r="H423" s="341"/>
      <c r="I423" s="348" t="s">
        <v>227</v>
      </c>
      <c r="J423" s="348"/>
      <c r="K423" s="347">
        <f>IF(ISERROR(G423/C423),"",G423/C423)</f>
        <v>7.1428571428571438E-2</v>
      </c>
      <c r="L423" s="347"/>
      <c r="M423" s="341" t="s">
        <v>228</v>
      </c>
      <c r="N423" s="341"/>
      <c r="O423" s="342">
        <f>IF(ISERROR(G423/G424),"",G423/G424)</f>
        <v>15.242857142857144</v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92.075630252100837</v>
      </c>
      <c r="D424" s="345"/>
      <c r="E424" s="346" t="s">
        <v>18</v>
      </c>
      <c r="F424" s="346"/>
      <c r="G424" s="341">
        <f>R199+R408</f>
        <v>14</v>
      </c>
      <c r="H424" s="341"/>
      <c r="I424" s="321" t="s">
        <v>176</v>
      </c>
      <c r="J424" s="321"/>
      <c r="K424" s="347">
        <f>IF(ISERROR(C424/G424),"",C424/G424)</f>
        <v>6.5768307322929171</v>
      </c>
      <c r="L424" s="347"/>
      <c r="M424" s="287" t="s">
        <v>230</v>
      </c>
      <c r="N424" s="287"/>
      <c r="O424" s="341">
        <f>W200+W409</f>
        <v>2</v>
      </c>
      <c r="P424" s="287"/>
      <c r="Q424" s="287" t="s">
        <v>231</v>
      </c>
      <c r="R424" s="287"/>
      <c r="S424" s="347">
        <f t="array" ref="S424">IF(ISERROR(O424/G424),"",O424/G424)</f>
        <v>0.14285714285714285</v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22</v>
      </c>
      <c r="D426" s="345"/>
      <c r="E426" s="341" t="s">
        <v>234</v>
      </c>
      <c r="F426" s="341"/>
      <c r="G426" s="301">
        <f t="array" ref="G426">IF(ISERROR(C426/G423),"",C426/(G423/1000))</f>
        <v>103.09278350515464</v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282</v>
      </c>
      <c r="D427" s="345"/>
      <c r="E427" s="341" t="s">
        <v>236</v>
      </c>
      <c r="F427" s="341"/>
      <c r="G427" s="301">
        <f>IF(ISERROR(C427/G423),"",C427/(G423/1000))</f>
        <v>1321.4620431115277</v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3</v>
      </c>
      <c r="D428" s="345"/>
      <c r="E428" s="341" t="s">
        <v>238</v>
      </c>
      <c r="F428" s="341"/>
      <c r="G428" s="301">
        <f>IF(ISERROR(C428/G423),"",C428/(G423/1000))</f>
        <v>14.058106841611997</v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0.2</v>
      </c>
      <c r="D429" s="345"/>
      <c r="E429" s="341" t="s">
        <v>240</v>
      </c>
      <c r="F429" s="341"/>
      <c r="G429" s="349">
        <f>IF(ISERROR(C429/G423),"",C429/(G423/1000))</f>
        <v>0.93720712277413309</v>
      </c>
      <c r="H429" s="349"/>
      <c r="I429" s="341" t="s">
        <v>241</v>
      </c>
      <c r="J429" s="341"/>
      <c r="K429" s="350">
        <f>IF(ISERROR(C428/C429),"",C428/C429)</f>
        <v>15</v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>
        <f>IF(ISERROR(C430/G423),"",C430/(G423/1000))</f>
        <v>0</v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11.8</v>
      </c>
      <c r="D433" s="354"/>
      <c r="E433" s="341" t="s">
        <v>251</v>
      </c>
      <c r="F433" s="341"/>
      <c r="G433" s="355">
        <f>+G412+G203</f>
        <v>11.8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>
        <f t="array" ref="O433">IF(ISERROR(K433/C433),"",K433/C433)</f>
        <v>0</v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42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54" t="s">
        <v>1</v>
      </c>
      <c r="B2" s="254"/>
      <c r="C2" s="254"/>
      <c r="D2" s="254"/>
      <c r="E2" s="254"/>
      <c r="F2" s="254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4"/>
      <c r="T2" s="254"/>
      <c r="U2" s="254"/>
      <c r="V2" s="254"/>
      <c r="W2" s="254"/>
      <c r="X2" s="254"/>
      <c r="Y2" s="255"/>
      <c r="Z2" s="254"/>
      <c r="AA2" s="254"/>
      <c r="AB2" s="254"/>
      <c r="AC2" s="25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56" t="s">
        <v>3</v>
      </c>
      <c r="B4" s="256" t="s">
        <v>4</v>
      </c>
      <c r="C4" s="256" t="s">
        <v>5</v>
      </c>
      <c r="D4" s="256"/>
      <c r="E4" s="256" t="s">
        <v>6</v>
      </c>
      <c r="F4" s="256" t="s">
        <v>7</v>
      </c>
      <c r="G4" s="257" t="s">
        <v>8</v>
      </c>
      <c r="H4" s="257" t="s">
        <v>9</v>
      </c>
      <c r="I4" s="257" t="s">
        <v>10</v>
      </c>
      <c r="J4" s="257" t="s">
        <v>11</v>
      </c>
      <c r="K4" s="257" t="s">
        <v>12</v>
      </c>
      <c r="L4" s="257" t="s">
        <v>13</v>
      </c>
      <c r="M4" s="257" t="s">
        <v>14</v>
      </c>
      <c r="N4" s="257" t="s">
        <v>15</v>
      </c>
      <c r="O4" s="265" t="s">
        <v>16</v>
      </c>
      <c r="P4" s="265" t="s">
        <v>17</v>
      </c>
      <c r="Q4" s="257" t="s">
        <v>18</v>
      </c>
      <c r="R4" s="257"/>
      <c r="S4" s="257" t="s">
        <v>19</v>
      </c>
      <c r="T4" s="258" t="s">
        <v>20</v>
      </c>
      <c r="U4" s="258" t="s">
        <v>21</v>
      </c>
      <c r="V4" s="260" t="s">
        <v>22</v>
      </c>
      <c r="W4" s="262" t="s">
        <v>23</v>
      </c>
      <c r="X4" s="263"/>
      <c r="Y4" s="263"/>
      <c r="Z4" s="263"/>
      <c r="AA4" s="263"/>
      <c r="AB4" s="263"/>
      <c r="AC4" s="264"/>
    </row>
    <row r="5" spans="1:29" ht="21.95" customHeight="1">
      <c r="A5" s="256"/>
      <c r="B5" s="256"/>
      <c r="C5" s="256"/>
      <c r="D5" s="256"/>
      <c r="E5" s="256"/>
      <c r="F5" s="256"/>
      <c r="G5" s="257"/>
      <c r="H5" s="257"/>
      <c r="I5" s="257"/>
      <c r="J5" s="257"/>
      <c r="K5" s="257"/>
      <c r="L5" s="257"/>
      <c r="M5" s="257"/>
      <c r="N5" s="257"/>
      <c r="O5" s="266"/>
      <c r="P5" s="266"/>
      <c r="Q5" s="17" t="s">
        <v>24</v>
      </c>
      <c r="R5" s="153" t="s">
        <v>25</v>
      </c>
      <c r="S5" s="257"/>
      <c r="T5" s="259"/>
      <c r="U5" s="259"/>
      <c r="V5" s="261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9" t="s">
        <v>34</v>
      </c>
      <c r="D6" s="269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9" t="s">
        <v>34</v>
      </c>
      <c r="D7" s="269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9" t="s">
        <v>34</v>
      </c>
      <c r="D8" s="269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9" t="s">
        <v>34</v>
      </c>
      <c r="D9" s="269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56" t="s">
        <v>34</v>
      </c>
      <c r="D10" s="256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56" t="s">
        <v>34</v>
      </c>
      <c r="D11" s="256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56" t="s">
        <v>34</v>
      </c>
      <c r="D12" s="256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56" t="s">
        <v>34</v>
      </c>
      <c r="D13" s="256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67" t="s">
        <v>313</v>
      </c>
      <c r="D14" s="268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67" t="s">
        <v>313</v>
      </c>
      <c r="D15" s="268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67" t="s">
        <v>44</v>
      </c>
      <c r="D16" s="268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67" t="s">
        <v>44</v>
      </c>
      <c r="D17" s="268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67" t="s">
        <v>44</v>
      </c>
      <c r="D18" s="268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56" t="s">
        <v>45</v>
      </c>
      <c r="D19" s="256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56" t="s">
        <v>46</v>
      </c>
      <c r="D20" s="256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56" t="s">
        <v>48</v>
      </c>
      <c r="D21" s="256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56" t="s">
        <v>50</v>
      </c>
      <c r="D22" s="256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56" t="s">
        <v>50</v>
      </c>
      <c r="D23" s="256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56" t="s">
        <v>50</v>
      </c>
      <c r="D24" s="256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56" t="s">
        <v>51</v>
      </c>
      <c r="D25" s="256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56" t="s">
        <v>51</v>
      </c>
      <c r="D26" s="256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56" t="s">
        <v>51</v>
      </c>
      <c r="D27" s="256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56" t="s">
        <v>51</v>
      </c>
      <c r="D28" s="256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9" t="s">
        <v>51</v>
      </c>
      <c r="D29" s="26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56" t="s">
        <v>53</v>
      </c>
      <c r="D30" s="256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56" t="s">
        <v>53</v>
      </c>
      <c r="D31" s="256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56" t="s">
        <v>53</v>
      </c>
      <c r="D32" s="256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56" t="s">
        <v>56</v>
      </c>
      <c r="D33" s="256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56" t="s">
        <v>56</v>
      </c>
      <c r="D34" s="256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56" t="s">
        <v>56</v>
      </c>
      <c r="D35" s="256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56" t="s">
        <v>56</v>
      </c>
      <c r="D36" s="256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56" t="s">
        <v>58</v>
      </c>
      <c r="D37" s="256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67" t="s">
        <v>304</v>
      </c>
      <c r="D38" s="268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67" t="s">
        <v>304</v>
      </c>
      <c r="D39" s="268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67" t="s">
        <v>304</v>
      </c>
      <c r="D40" s="268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56" t="s">
        <v>61</v>
      </c>
      <c r="D41" s="256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56" t="s">
        <v>61</v>
      </c>
      <c r="D42" s="256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56" t="s">
        <v>61</v>
      </c>
      <c r="D43" s="256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56" t="s">
        <v>64</v>
      </c>
      <c r="D44" s="256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56" t="s">
        <v>64</v>
      </c>
      <c r="D45" s="256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67" t="s">
        <v>68</v>
      </c>
      <c r="D46" s="268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67" t="s">
        <v>68</v>
      </c>
      <c r="D47" s="268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67" t="s">
        <v>68</v>
      </c>
      <c r="D48" s="268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67" t="s">
        <v>68</v>
      </c>
      <c r="D49" s="268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56" t="s">
        <v>73</v>
      </c>
      <c r="D50" s="256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56" t="s">
        <v>73</v>
      </c>
      <c r="D51" s="256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56" t="s">
        <v>73</v>
      </c>
      <c r="D52" s="256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56" t="s">
        <v>73</v>
      </c>
      <c r="D53" s="256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56" t="s">
        <v>75</v>
      </c>
      <c r="D54" s="256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56" t="s">
        <v>75</v>
      </c>
      <c r="D55" s="256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56" t="s">
        <v>75</v>
      </c>
      <c r="D56" s="256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9" t="s">
        <v>75</v>
      </c>
      <c r="D57" s="26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56" t="s">
        <v>77</v>
      </c>
      <c r="D58" s="256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56" t="s">
        <v>77</v>
      </c>
      <c r="D59" s="256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67" t="s">
        <v>301</v>
      </c>
      <c r="D60" s="268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67" t="s">
        <v>301</v>
      </c>
      <c r="D61" s="268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56" t="s">
        <v>81</v>
      </c>
      <c r="D62" s="256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56" t="s">
        <v>81</v>
      </c>
      <c r="D63" s="256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67" t="s">
        <v>83</v>
      </c>
      <c r="D64" s="268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67" t="s">
        <v>83</v>
      </c>
      <c r="D65" s="268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67" t="s">
        <v>83</v>
      </c>
      <c r="D66" s="268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67" t="s">
        <v>86</v>
      </c>
      <c r="D67" s="268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67" t="s">
        <v>86</v>
      </c>
      <c r="D68" s="268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67" t="s">
        <v>86</v>
      </c>
      <c r="D69" s="268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56" t="s">
        <v>88</v>
      </c>
      <c r="D70" s="256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56" t="s">
        <v>88</v>
      </c>
      <c r="D71" s="256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56" t="s">
        <v>88</v>
      </c>
      <c r="D72" s="256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56" t="s">
        <v>88</v>
      </c>
      <c r="D73" s="256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56" t="s">
        <v>316</v>
      </c>
      <c r="D74" s="256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56" t="s">
        <v>316</v>
      </c>
      <c r="D75" s="256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56" t="s">
        <v>317</v>
      </c>
      <c r="D76" s="256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56" t="s">
        <v>317</v>
      </c>
      <c r="D77" s="256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56" t="s">
        <v>317</v>
      </c>
      <c r="D78" s="256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56" t="s">
        <v>98</v>
      </c>
      <c r="D79" s="256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56" t="s">
        <v>98</v>
      </c>
      <c r="D80" s="256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56" t="s">
        <v>98</v>
      </c>
      <c r="D81" s="256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56" t="s">
        <v>98</v>
      </c>
      <c r="D82" s="256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9" t="s">
        <v>98</v>
      </c>
      <c r="D83" s="26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56" t="s">
        <v>100</v>
      </c>
      <c r="D84" s="256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56" t="s">
        <v>100</v>
      </c>
      <c r="D85" s="256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56" t="s">
        <v>100</v>
      </c>
      <c r="D86" s="256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56" t="s">
        <v>100</v>
      </c>
      <c r="D87" s="256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56" t="s">
        <v>106</v>
      </c>
      <c r="D88" s="256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56" t="s">
        <v>106</v>
      </c>
      <c r="D89" s="256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56" t="s">
        <v>106</v>
      </c>
      <c r="D90" s="256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56" t="s">
        <v>106</v>
      </c>
      <c r="D91" s="256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56" t="s">
        <v>107</v>
      </c>
      <c r="D92" s="256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56" t="s">
        <v>107</v>
      </c>
      <c r="D93" s="256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56" t="s">
        <v>107</v>
      </c>
      <c r="D94" s="256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56" t="s">
        <v>107</v>
      </c>
      <c r="D95" s="256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56" t="s">
        <v>107</v>
      </c>
      <c r="D96" s="256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70" t="s">
        <v>109</v>
      </c>
      <c r="D97" s="27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56" t="s">
        <v>318</v>
      </c>
      <c r="D98" s="256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56" t="s">
        <v>318</v>
      </c>
      <c r="D99" s="256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56" t="s">
        <v>112</v>
      </c>
      <c r="D100" s="256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56" t="s">
        <v>112</v>
      </c>
      <c r="D101" s="256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56" t="s">
        <v>112</v>
      </c>
      <c r="D102" s="256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67" t="s">
        <v>296</v>
      </c>
      <c r="D103" s="268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67" t="s">
        <v>296</v>
      </c>
      <c r="D104" s="268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67" t="s">
        <v>296</v>
      </c>
      <c r="D105" s="268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70" t="s">
        <v>114</v>
      </c>
      <c r="D106" s="27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70" t="s">
        <v>114</v>
      </c>
      <c r="D107" s="27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70" t="s">
        <v>305</v>
      </c>
      <c r="D108" s="27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70" t="s">
        <v>305</v>
      </c>
      <c r="D109" s="27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70" t="s">
        <v>305</v>
      </c>
      <c r="D110" s="27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56" t="s">
        <v>119</v>
      </c>
      <c r="D111" s="256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56" t="s">
        <v>119</v>
      </c>
      <c r="D112" s="256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56" t="s">
        <v>121</v>
      </c>
      <c r="D113" s="256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56" t="s">
        <v>121</v>
      </c>
      <c r="D114" s="256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56" t="s">
        <v>121</v>
      </c>
      <c r="D115" s="256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56" t="s">
        <v>123</v>
      </c>
      <c r="D116" s="256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56" t="s">
        <v>125</v>
      </c>
      <c r="D117" s="256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56" t="s">
        <v>123</v>
      </c>
      <c r="D118" s="256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56" t="s">
        <v>123</v>
      </c>
      <c r="D119" s="256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56" t="s">
        <v>123</v>
      </c>
      <c r="D120" s="256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56" t="s">
        <v>127</v>
      </c>
      <c r="D121" s="256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56" t="s">
        <v>127</v>
      </c>
      <c r="D122" s="256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56" t="s">
        <v>127</v>
      </c>
      <c r="D123" s="256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56" t="s">
        <v>127</v>
      </c>
      <c r="D124" s="256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56" t="s">
        <v>127</v>
      </c>
      <c r="D125" s="256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56" t="s">
        <v>128</v>
      </c>
      <c r="D126" s="256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56" t="s">
        <v>128</v>
      </c>
      <c r="D127" s="256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56" t="s">
        <v>128</v>
      </c>
      <c r="D128" s="256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56" t="s">
        <v>128</v>
      </c>
      <c r="D129" s="256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67" t="s">
        <v>129</v>
      </c>
      <c r="D130" s="268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67" t="s">
        <v>129</v>
      </c>
      <c r="D131" s="268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56" t="s">
        <v>130</v>
      </c>
      <c r="D132" s="256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56" t="s">
        <v>130</v>
      </c>
      <c r="D133" s="256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56" t="s">
        <v>130</v>
      </c>
      <c r="D134" s="256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56" t="s">
        <v>130</v>
      </c>
      <c r="D135" s="256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56" t="s">
        <v>130</v>
      </c>
      <c r="D136" s="256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56" t="s">
        <v>134</v>
      </c>
      <c r="D137" s="256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56" t="s">
        <v>134</v>
      </c>
      <c r="D138" s="256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67" t="s">
        <v>137</v>
      </c>
      <c r="D139" s="268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67" t="s">
        <v>137</v>
      </c>
      <c r="D140" s="268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56" t="s">
        <v>139</v>
      </c>
      <c r="D141" s="256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56" t="s">
        <v>141</v>
      </c>
      <c r="D142" s="256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56" t="s">
        <v>143</v>
      </c>
      <c r="D143" s="256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56" t="s">
        <v>143</v>
      </c>
      <c r="D144" s="256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56" t="s">
        <v>143</v>
      </c>
      <c r="D145" s="256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56" t="s">
        <v>145</v>
      </c>
      <c r="D146" s="256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56" t="s">
        <v>145</v>
      </c>
      <c r="D147" s="256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56" t="s">
        <v>145</v>
      </c>
      <c r="D148" s="256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67" t="s">
        <v>145</v>
      </c>
      <c r="D149" s="268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72" t="s">
        <v>148</v>
      </c>
      <c r="D150" s="273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72" t="s">
        <v>148</v>
      </c>
      <c r="D151" s="273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72" t="s">
        <v>148</v>
      </c>
      <c r="D152" s="273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72" t="s">
        <v>150</v>
      </c>
      <c r="D153" s="273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72" t="s">
        <v>150</v>
      </c>
      <c r="D154" s="273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72" t="s">
        <v>150</v>
      </c>
      <c r="D155" s="273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72" t="s">
        <v>150</v>
      </c>
      <c r="D156" s="273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67" t="s">
        <v>153</v>
      </c>
      <c r="D157" s="268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67" t="s">
        <v>153</v>
      </c>
      <c r="D158" s="268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67" t="s">
        <v>153</v>
      </c>
      <c r="D159" s="268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67" t="s">
        <v>153</v>
      </c>
      <c r="D160" s="268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74" t="s">
        <v>154</v>
      </c>
      <c r="D161" s="275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74" t="s">
        <v>154</v>
      </c>
      <c r="D162" s="275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74" t="s">
        <v>154</v>
      </c>
      <c r="D163" s="275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74" t="s">
        <v>154</v>
      </c>
      <c r="D164" s="275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76" t="s">
        <v>155</v>
      </c>
      <c r="D165" s="277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76" t="s">
        <v>155</v>
      </c>
      <c r="D166" s="277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76" t="s">
        <v>155</v>
      </c>
      <c r="D167" s="277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56" t="s">
        <v>156</v>
      </c>
      <c r="D168" s="256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56" t="s">
        <v>157</v>
      </c>
      <c r="D169" s="256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56" t="s">
        <v>157</v>
      </c>
      <c r="D170" s="256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56" t="s">
        <v>159</v>
      </c>
      <c r="D171" s="256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56" t="s">
        <v>159</v>
      </c>
      <c r="D172" s="256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56" t="s">
        <v>159</v>
      </c>
      <c r="D173" s="256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56" t="s">
        <v>159</v>
      </c>
      <c r="D174" s="256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56" t="s">
        <v>161</v>
      </c>
      <c r="D175" s="256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56" t="s">
        <v>161</v>
      </c>
      <c r="D176" s="256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56" t="s">
        <v>162</v>
      </c>
      <c r="D177" s="256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56" t="s">
        <v>162</v>
      </c>
      <c r="D178" s="256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56" t="s">
        <v>162</v>
      </c>
      <c r="D179" s="256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56" t="s">
        <v>162</v>
      </c>
      <c r="D180" s="256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56" t="s">
        <v>165</v>
      </c>
      <c r="D181" s="256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56" t="s">
        <v>165</v>
      </c>
      <c r="D182" s="256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56" t="s">
        <v>165</v>
      </c>
      <c r="D183" s="256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56" t="s">
        <v>165</v>
      </c>
      <c r="D184" s="256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56" t="s">
        <v>165</v>
      </c>
      <c r="D185" s="256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56" t="s">
        <v>165</v>
      </c>
      <c r="D186" s="256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67" t="s">
        <v>168</v>
      </c>
      <c r="D187" s="268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67" t="s">
        <v>168</v>
      </c>
      <c r="D188" s="268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67" t="s">
        <v>168</v>
      </c>
      <c r="D189" s="268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67" t="s">
        <v>168</v>
      </c>
      <c r="D190" s="268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56" t="s">
        <v>312</v>
      </c>
      <c r="D191" s="256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56" t="s">
        <v>312</v>
      </c>
      <c r="D192" s="256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56" t="s">
        <v>312</v>
      </c>
      <c r="D193" s="256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56" t="s">
        <v>312</v>
      </c>
      <c r="D194" s="256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67" t="s">
        <v>172</v>
      </c>
      <c r="D195" s="268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67" t="s">
        <v>172</v>
      </c>
      <c r="D196" s="268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67" t="s">
        <v>172</v>
      </c>
      <c r="D197" s="268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67" t="s">
        <v>172</v>
      </c>
      <c r="D198" s="268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57" t="s">
        <v>175</v>
      </c>
      <c r="B199" s="257"/>
      <c r="C199" s="257"/>
      <c r="D199" s="257"/>
      <c r="E199" s="257"/>
      <c r="F199" s="257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8" t="s">
        <v>176</v>
      </c>
      <c r="L200" s="279"/>
      <c r="M200" s="279"/>
      <c r="N200" s="280"/>
      <c r="O200" s="281" t="str">
        <f>IF(ISERROR(P199/R199),"",P199/R199)</f>
        <v/>
      </c>
      <c r="P200" s="282"/>
      <c r="Q200" s="282"/>
      <c r="R200" s="283"/>
      <c r="S200" s="44"/>
      <c r="T200" s="45"/>
      <c r="U200" s="45"/>
      <c r="V200" s="45"/>
      <c r="W200" s="284">
        <f>SUM(W199:AC199)</f>
        <v>0</v>
      </c>
      <c r="X200" s="285"/>
      <c r="Y200" s="285"/>
      <c r="Z200" s="285"/>
      <c r="AA200" s="285"/>
      <c r="AB200" s="285"/>
      <c r="AC200" s="286"/>
    </row>
    <row r="201" spans="1:29" ht="21.95" customHeight="1">
      <c r="A201" s="287" t="s">
        <v>177</v>
      </c>
      <c r="B201" s="287"/>
      <c r="C201" s="287" t="s">
        <v>178</v>
      </c>
      <c r="D201" s="287"/>
      <c r="E201" s="287" t="s">
        <v>179</v>
      </c>
      <c r="F201" s="287"/>
      <c r="G201" s="287" t="s">
        <v>180</v>
      </c>
      <c r="H201" s="287"/>
      <c r="I201" s="287" t="s">
        <v>181</v>
      </c>
      <c r="J201" s="287"/>
      <c r="K201" s="287" t="s">
        <v>182</v>
      </c>
      <c r="L201" s="287"/>
      <c r="M201" s="274" t="s">
        <v>183</v>
      </c>
      <c r="N201" s="275"/>
      <c r="O201" s="290" t="s">
        <v>184</v>
      </c>
      <c r="P201" s="290"/>
      <c r="Q201" s="288" t="s">
        <v>185</v>
      </c>
      <c r="R201" s="288"/>
      <c r="S201" s="288" t="s">
        <v>186</v>
      </c>
      <c r="T201" s="288"/>
      <c r="U201" s="288" t="s">
        <v>187</v>
      </c>
      <c r="V201" s="288"/>
      <c r="W201" s="288" t="s">
        <v>188</v>
      </c>
      <c r="X201" s="288"/>
      <c r="Y201" s="288" t="s">
        <v>189</v>
      </c>
      <c r="Z201" s="288"/>
      <c r="AA201" s="288" t="s">
        <v>190</v>
      </c>
      <c r="AB201" s="288"/>
      <c r="AC201" s="288"/>
    </row>
    <row r="202" spans="1:29" ht="21.95" customHeight="1">
      <c r="A202" s="287"/>
      <c r="B202" s="287"/>
      <c r="C202" s="287" t="s">
        <v>191</v>
      </c>
      <c r="D202" s="287"/>
      <c r="E202" s="287"/>
      <c r="F202" s="287"/>
      <c r="G202" s="287"/>
      <c r="H202" s="287"/>
      <c r="I202" s="287">
        <f>G202-E202</f>
        <v>0</v>
      </c>
      <c r="J202" s="287"/>
      <c r="K202" s="289" t="str">
        <f t="array" ref="K202">IF(ISERROR(I202/E202),"",I202/E202)</f>
        <v/>
      </c>
      <c r="L202" s="289"/>
      <c r="M202" s="274"/>
      <c r="N202" s="275"/>
      <c r="O202" s="290"/>
      <c r="P202" s="290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8"/>
      <c r="AB202" s="288"/>
      <c r="AC202" s="288"/>
    </row>
    <row r="203" spans="1:29" ht="21.95" customHeight="1">
      <c r="A203" s="287"/>
      <c r="B203" s="287"/>
      <c r="C203" s="287" t="s">
        <v>192</v>
      </c>
      <c r="D203" s="287"/>
      <c r="E203" s="287"/>
      <c r="F203" s="287"/>
      <c r="G203" s="287"/>
      <c r="H203" s="287"/>
      <c r="I203" s="287">
        <f>G203-E203</f>
        <v>0</v>
      </c>
      <c r="J203" s="287"/>
      <c r="K203" s="289" t="str">
        <f t="array" ref="K203">IF(ISERROR(I203/E203),"",I203/E203)</f>
        <v/>
      </c>
      <c r="L203" s="289"/>
      <c r="M203" s="274"/>
      <c r="N203" s="275"/>
      <c r="O203" s="290"/>
      <c r="P203" s="290"/>
      <c r="Q203" s="291" t="s">
        <v>193</v>
      </c>
      <c r="R203" s="291"/>
      <c r="S203" s="292"/>
      <c r="T203" s="292"/>
      <c r="U203" s="292"/>
      <c r="V203" s="292"/>
      <c r="W203" s="291">
        <f t="shared" ref="W203:W210" si="28">S203*11</f>
        <v>0</v>
      </c>
      <c r="X203" s="291"/>
      <c r="Y203" s="291">
        <f t="shared" ref="Y203:Y210" si="29">U203*11</f>
        <v>0</v>
      </c>
      <c r="Z203" s="291"/>
      <c r="AA203" s="291">
        <f t="shared" ref="AA203:AA210" si="30">Y203-W203</f>
        <v>0</v>
      </c>
      <c r="AB203" s="291"/>
      <c r="AC203" s="291"/>
    </row>
    <row r="204" spans="1:29" ht="21.95" customHeight="1">
      <c r="A204" s="287"/>
      <c r="B204" s="287"/>
      <c r="C204" s="287" t="s">
        <v>194</v>
      </c>
      <c r="D204" s="287"/>
      <c r="E204" s="287"/>
      <c r="F204" s="287"/>
      <c r="G204" s="287"/>
      <c r="H204" s="287"/>
      <c r="I204" s="287">
        <f>G204-E204</f>
        <v>0</v>
      </c>
      <c r="J204" s="287"/>
      <c r="K204" s="289" t="str">
        <f t="array" ref="K204">IF(ISERROR(I204/E204),"",I204/E204)</f>
        <v/>
      </c>
      <c r="L204" s="289"/>
      <c r="M204" s="274"/>
      <c r="N204" s="275"/>
      <c r="O204" s="290"/>
      <c r="P204" s="290"/>
      <c r="Q204" s="291" t="s">
        <v>195</v>
      </c>
      <c r="R204" s="291"/>
      <c r="S204" s="292"/>
      <c r="T204" s="292"/>
      <c r="U204" s="292"/>
      <c r="V204" s="292"/>
      <c r="W204" s="291">
        <f t="shared" si="28"/>
        <v>0</v>
      </c>
      <c r="X204" s="291"/>
      <c r="Y204" s="291">
        <f t="shared" si="29"/>
        <v>0</v>
      </c>
      <c r="Z204" s="291"/>
      <c r="AA204" s="291">
        <f t="shared" si="30"/>
        <v>0</v>
      </c>
      <c r="AB204" s="291"/>
      <c r="AC204" s="291"/>
    </row>
    <row r="205" spans="1:29" ht="21.95" customHeight="1">
      <c r="A205" s="315" t="s">
        <v>196</v>
      </c>
      <c r="B205" s="316"/>
      <c r="C205" s="306" t="s">
        <v>197</v>
      </c>
      <c r="D205" s="307"/>
      <c r="E205" s="307"/>
      <c r="F205" s="308"/>
      <c r="G205" s="321" t="s">
        <v>198</v>
      </c>
      <c r="H205" s="321"/>
      <c r="I205" s="299" t="s">
        <v>199</v>
      </c>
      <c r="J205" s="300"/>
      <c r="K205" s="299" t="s">
        <v>200</v>
      </c>
      <c r="L205" s="300"/>
      <c r="M205" s="299" t="s">
        <v>201</v>
      </c>
      <c r="N205" s="300"/>
      <c r="O205" s="290"/>
      <c r="P205" s="290"/>
      <c r="Q205" s="291" t="s">
        <v>202</v>
      </c>
      <c r="R205" s="291"/>
      <c r="S205" s="292"/>
      <c r="T205" s="292"/>
      <c r="U205" s="292"/>
      <c r="V205" s="292"/>
      <c r="W205" s="291">
        <f t="shared" si="28"/>
        <v>0</v>
      </c>
      <c r="X205" s="291"/>
      <c r="Y205" s="291">
        <f t="shared" si="29"/>
        <v>0</v>
      </c>
      <c r="Z205" s="291"/>
      <c r="AA205" s="291">
        <f t="shared" si="30"/>
        <v>0</v>
      </c>
      <c r="AB205" s="291"/>
      <c r="AC205" s="291"/>
    </row>
    <row r="206" spans="1:29" ht="21.95" customHeight="1">
      <c r="A206" s="317"/>
      <c r="B206" s="318"/>
      <c r="C206" s="36" t="s">
        <v>203</v>
      </c>
      <c r="D206" s="37" t="s">
        <v>204</v>
      </c>
      <c r="E206" s="38"/>
      <c r="F206" s="162">
        <v>5</v>
      </c>
      <c r="G206" s="293"/>
      <c r="H206" s="294"/>
      <c r="I206" s="295"/>
      <c r="J206" s="296"/>
      <c r="K206" s="297">
        <f>G206-I206</f>
        <v>0</v>
      </c>
      <c r="L206" s="297"/>
      <c r="M206" s="298" t="str">
        <f t="array" ref="M206">IF(ISERROR(K206/L199),"",K206/(L199/1000))</f>
        <v/>
      </c>
      <c r="N206" s="298"/>
      <c r="O206" s="290"/>
      <c r="P206" s="290"/>
      <c r="Q206" s="291" t="s">
        <v>205</v>
      </c>
      <c r="R206" s="291"/>
      <c r="S206" s="292"/>
      <c r="T206" s="292"/>
      <c r="U206" s="292"/>
      <c r="V206" s="292"/>
      <c r="W206" s="291">
        <f t="shared" si="28"/>
        <v>0</v>
      </c>
      <c r="X206" s="291"/>
      <c r="Y206" s="291">
        <f t="shared" si="29"/>
        <v>0</v>
      </c>
      <c r="Z206" s="291"/>
      <c r="AA206" s="291">
        <f t="shared" si="30"/>
        <v>0</v>
      </c>
      <c r="AB206" s="291"/>
      <c r="AC206" s="291"/>
    </row>
    <row r="207" spans="1:29" ht="21.95" customHeight="1">
      <c r="A207" s="317"/>
      <c r="B207" s="318"/>
      <c r="C207" s="36" t="s">
        <v>206</v>
      </c>
      <c r="D207" s="37" t="s">
        <v>207</v>
      </c>
      <c r="E207" s="38"/>
      <c r="F207" s="162">
        <v>105</v>
      </c>
      <c r="G207" s="293"/>
      <c r="H207" s="294"/>
      <c r="I207" s="295"/>
      <c r="J207" s="296"/>
      <c r="K207" s="297">
        <f>G207-I207</f>
        <v>0</v>
      </c>
      <c r="L207" s="297"/>
      <c r="M207" s="298" t="str">
        <f t="array" ref="M207">IF(ISERROR(K207/L199),"",K207/(L199/1000))</f>
        <v/>
      </c>
      <c r="N207" s="298"/>
      <c r="O207" s="290"/>
      <c r="P207" s="290"/>
      <c r="Q207" s="291" t="s">
        <v>208</v>
      </c>
      <c r="R207" s="291"/>
      <c r="S207" s="292"/>
      <c r="T207" s="292"/>
      <c r="U207" s="292"/>
      <c r="V207" s="292"/>
      <c r="W207" s="291">
        <f t="shared" si="28"/>
        <v>0</v>
      </c>
      <c r="X207" s="291"/>
      <c r="Y207" s="291">
        <f t="shared" si="29"/>
        <v>0</v>
      </c>
      <c r="Z207" s="291"/>
      <c r="AA207" s="291">
        <f t="shared" si="30"/>
        <v>0</v>
      </c>
      <c r="AB207" s="291"/>
      <c r="AC207" s="291"/>
    </row>
    <row r="208" spans="1:29" ht="21.95" customHeight="1">
      <c r="A208" s="317"/>
      <c r="B208" s="318"/>
      <c r="C208" s="36" t="s">
        <v>209</v>
      </c>
      <c r="D208" s="37" t="s">
        <v>210</v>
      </c>
      <c r="E208" s="38"/>
      <c r="F208" s="162">
        <v>0.55000000000000004</v>
      </c>
      <c r="G208" s="293"/>
      <c r="H208" s="294"/>
      <c r="I208" s="299"/>
      <c r="J208" s="300"/>
      <c r="K208" s="297">
        <f>G208-I208</f>
        <v>0</v>
      </c>
      <c r="L208" s="297"/>
      <c r="M208" s="301" t="str">
        <f t="array" ref="M208">IF(ISERROR(K208/L199),"",K208/(L199/1000))</f>
        <v/>
      </c>
      <c r="N208" s="301"/>
      <c r="O208" s="290"/>
      <c r="P208" s="290"/>
      <c r="Q208" s="291" t="s">
        <v>211</v>
      </c>
      <c r="R208" s="291"/>
      <c r="S208" s="292"/>
      <c r="T208" s="292"/>
      <c r="U208" s="292"/>
      <c r="V208" s="292"/>
      <c r="W208" s="291">
        <f t="shared" si="28"/>
        <v>0</v>
      </c>
      <c r="X208" s="291"/>
      <c r="Y208" s="291">
        <f t="shared" si="29"/>
        <v>0</v>
      </c>
      <c r="Z208" s="291"/>
      <c r="AA208" s="291">
        <f t="shared" si="30"/>
        <v>0</v>
      </c>
      <c r="AB208" s="291"/>
      <c r="AC208" s="291"/>
    </row>
    <row r="209" spans="1:29" ht="21.95" customHeight="1">
      <c r="A209" s="317"/>
      <c r="B209" s="318"/>
      <c r="C209" s="39" t="s">
        <v>212</v>
      </c>
      <c r="D209" s="306" t="s">
        <v>213</v>
      </c>
      <c r="E209" s="307"/>
      <c r="F209" s="307"/>
      <c r="G209" s="307"/>
      <c r="H209" s="307"/>
      <c r="I209" s="307"/>
      <c r="J209" s="308"/>
      <c r="K209" s="299"/>
      <c r="L209" s="300"/>
      <c r="M209" s="302" t="str">
        <f t="array" ref="M209">IF(ISERROR((K209+K210)/L199),"",((K209+K210)*1000)/(L199/1000))</f>
        <v/>
      </c>
      <c r="N209" s="303"/>
      <c r="O209" s="290"/>
      <c r="P209" s="290"/>
      <c r="Q209" s="291" t="s">
        <v>214</v>
      </c>
      <c r="R209" s="291"/>
      <c r="S209" s="292"/>
      <c r="T209" s="292"/>
      <c r="U209" s="292"/>
      <c r="V209" s="292"/>
      <c r="W209" s="291">
        <f t="shared" si="28"/>
        <v>0</v>
      </c>
      <c r="X209" s="291"/>
      <c r="Y209" s="291">
        <f t="shared" si="29"/>
        <v>0</v>
      </c>
      <c r="Z209" s="291"/>
      <c r="AA209" s="291">
        <f t="shared" si="30"/>
        <v>0</v>
      </c>
      <c r="AB209" s="291"/>
      <c r="AC209" s="291"/>
    </row>
    <row r="210" spans="1:29" ht="21.95" customHeight="1">
      <c r="A210" s="317"/>
      <c r="B210" s="318"/>
      <c r="C210" s="39" t="s">
        <v>212</v>
      </c>
      <c r="D210" s="306" t="s">
        <v>215</v>
      </c>
      <c r="E210" s="307"/>
      <c r="F210" s="307"/>
      <c r="G210" s="307"/>
      <c r="H210" s="307"/>
      <c r="I210" s="307"/>
      <c r="J210" s="308"/>
      <c r="K210" s="299"/>
      <c r="L210" s="300"/>
      <c r="M210" s="304"/>
      <c r="N210" s="305"/>
      <c r="O210" s="290"/>
      <c r="P210" s="290"/>
      <c r="Q210" s="291" t="s">
        <v>216</v>
      </c>
      <c r="R210" s="291"/>
      <c r="S210" s="292">
        <f>SUM(S203:T209)</f>
        <v>0</v>
      </c>
      <c r="T210" s="292"/>
      <c r="U210" s="292">
        <f>SUM(U203:V209)</f>
        <v>0</v>
      </c>
      <c r="V210" s="292"/>
      <c r="W210" s="291">
        <f t="shared" si="28"/>
        <v>0</v>
      </c>
      <c r="X210" s="291"/>
      <c r="Y210" s="291">
        <f t="shared" si="29"/>
        <v>0</v>
      </c>
      <c r="Z210" s="291"/>
      <c r="AA210" s="291">
        <f t="shared" si="30"/>
        <v>0</v>
      </c>
      <c r="AB210" s="291"/>
      <c r="AC210" s="291"/>
    </row>
    <row r="211" spans="1:29" ht="21.95" customHeight="1">
      <c r="A211" s="319"/>
      <c r="B211" s="320"/>
      <c r="C211" s="309" t="s">
        <v>217</v>
      </c>
      <c r="D211" s="309"/>
      <c r="E211" s="309"/>
      <c r="F211" s="309"/>
      <c r="G211" s="310" t="str">
        <f>IF(ISERROR(K208/K210),"",K208/K210)</f>
        <v/>
      </c>
      <c r="H211" s="311"/>
      <c r="I211" s="309" t="s">
        <v>218</v>
      </c>
      <c r="J211" s="309"/>
      <c r="K211" s="309"/>
      <c r="L211" s="309"/>
      <c r="M211" s="310" t="str">
        <f>IF(ISERROR(K208/K209),"",K208/K209)</f>
        <v/>
      </c>
      <c r="N211" s="311"/>
      <c r="O211" s="290"/>
      <c r="P211" s="290"/>
      <c r="Q211" s="288" t="s">
        <v>219</v>
      </c>
      <c r="R211" s="288"/>
      <c r="S211" s="312" t="str">
        <f t="array" ref="S211">IF(ISERROR(L199/Y210),"",L199/Y210)</f>
        <v/>
      </c>
      <c r="T211" s="313"/>
      <c r="U211" s="313"/>
      <c r="V211" s="313"/>
      <c r="W211" s="313"/>
      <c r="X211" s="313"/>
      <c r="Y211" s="313"/>
      <c r="Z211" s="313"/>
      <c r="AA211" s="313"/>
      <c r="AB211" s="313"/>
      <c r="AC211" s="31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56" t="s">
        <v>3</v>
      </c>
      <c r="B213" s="256" t="s">
        <v>4</v>
      </c>
      <c r="C213" s="256" t="s">
        <v>5</v>
      </c>
      <c r="D213" s="256"/>
      <c r="E213" s="256" t="s">
        <v>6</v>
      </c>
      <c r="F213" s="256" t="s">
        <v>7</v>
      </c>
      <c r="G213" s="257" t="s">
        <v>8</v>
      </c>
      <c r="H213" s="257" t="s">
        <v>9</v>
      </c>
      <c r="I213" s="257" t="s">
        <v>10</v>
      </c>
      <c r="J213" s="257" t="s">
        <v>11</v>
      </c>
      <c r="K213" s="257" t="s">
        <v>12</v>
      </c>
      <c r="L213" s="257" t="s">
        <v>13</v>
      </c>
      <c r="M213" s="257" t="s">
        <v>14</v>
      </c>
      <c r="N213" s="257" t="s">
        <v>15</v>
      </c>
      <c r="O213" s="265" t="s">
        <v>16</v>
      </c>
      <c r="P213" s="265" t="s">
        <v>17</v>
      </c>
      <c r="Q213" s="257" t="s">
        <v>18</v>
      </c>
      <c r="R213" s="257"/>
      <c r="S213" s="257" t="s">
        <v>19</v>
      </c>
      <c r="T213" s="258" t="s">
        <v>20</v>
      </c>
      <c r="U213" s="258" t="s">
        <v>21</v>
      </c>
      <c r="V213" s="260" t="s">
        <v>22</v>
      </c>
      <c r="W213" s="262" t="s">
        <v>23</v>
      </c>
      <c r="X213" s="263"/>
      <c r="Y213" s="263"/>
      <c r="Z213" s="263"/>
      <c r="AA213" s="263"/>
      <c r="AB213" s="263"/>
      <c r="AC213" s="264"/>
    </row>
    <row r="214" spans="1:29" ht="21.95" customHeight="1">
      <c r="A214" s="256"/>
      <c r="B214" s="256"/>
      <c r="C214" s="256"/>
      <c r="D214" s="256"/>
      <c r="E214" s="256"/>
      <c r="F214" s="256"/>
      <c r="G214" s="257"/>
      <c r="H214" s="257"/>
      <c r="I214" s="257"/>
      <c r="J214" s="257"/>
      <c r="K214" s="257"/>
      <c r="L214" s="257"/>
      <c r="M214" s="257"/>
      <c r="N214" s="257"/>
      <c r="O214" s="266"/>
      <c r="P214" s="266"/>
      <c r="Q214" s="17" t="s">
        <v>24</v>
      </c>
      <c r="R214" s="153" t="s">
        <v>25</v>
      </c>
      <c r="S214" s="257"/>
      <c r="T214" s="259"/>
      <c r="U214" s="259"/>
      <c r="V214" s="261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9" t="s">
        <v>34</v>
      </c>
      <c r="D215" s="269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22" t="s">
        <v>34</v>
      </c>
      <c r="D216" s="322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22" t="s">
        <v>34</v>
      </c>
      <c r="D217" s="322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22" t="s">
        <v>34</v>
      </c>
      <c r="D218" s="322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22" t="s">
        <v>34</v>
      </c>
      <c r="D219" s="322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22" t="s">
        <v>34</v>
      </c>
      <c r="D220" s="322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22" t="s">
        <v>34</v>
      </c>
      <c r="D221" s="322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22" t="s">
        <v>34</v>
      </c>
      <c r="D222" s="322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67" t="s">
        <v>313</v>
      </c>
      <c r="D223" s="268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67" t="s">
        <v>313</v>
      </c>
      <c r="D224" s="268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67" t="s">
        <v>44</v>
      </c>
      <c r="D225" s="268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67" t="s">
        <v>44</v>
      </c>
      <c r="D226" s="268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67" t="s">
        <v>44</v>
      </c>
      <c r="D227" s="268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56" t="s">
        <v>45</v>
      </c>
      <c r="D228" s="256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56" t="s">
        <v>46</v>
      </c>
      <c r="D229" s="256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56" t="s">
        <v>48</v>
      </c>
      <c r="D230" s="256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56" t="s">
        <v>50</v>
      </c>
      <c r="D231" s="256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56" t="s">
        <v>50</v>
      </c>
      <c r="D232" s="256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56" t="s">
        <v>50</v>
      </c>
      <c r="D233" s="256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56" t="s">
        <v>51</v>
      </c>
      <c r="D234" s="256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56" t="s">
        <v>51</v>
      </c>
      <c r="D235" s="256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56" t="s">
        <v>51</v>
      </c>
      <c r="D236" s="256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56" t="s">
        <v>51</v>
      </c>
      <c r="D237" s="256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9" t="s">
        <v>51</v>
      </c>
      <c r="D238" s="26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56" t="s">
        <v>53</v>
      </c>
      <c r="D239" s="256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56" t="s">
        <v>53</v>
      </c>
      <c r="D240" s="256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56" t="s">
        <v>53</v>
      </c>
      <c r="D241" s="256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56" t="s">
        <v>56</v>
      </c>
      <c r="D242" s="256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56" t="s">
        <v>56</v>
      </c>
      <c r="D243" s="256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56" t="s">
        <v>56</v>
      </c>
      <c r="D244" s="256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56" t="s">
        <v>56</v>
      </c>
      <c r="D245" s="256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56" t="s">
        <v>58</v>
      </c>
      <c r="D246" s="256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67" t="s">
        <v>304</v>
      </c>
      <c r="D247" s="268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67" t="s">
        <v>304</v>
      </c>
      <c r="D248" s="268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67" t="s">
        <v>304</v>
      </c>
      <c r="D249" s="268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56" t="s">
        <v>61</v>
      </c>
      <c r="D250" s="256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56" t="s">
        <v>61</v>
      </c>
      <c r="D251" s="256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56" t="s">
        <v>61</v>
      </c>
      <c r="D252" s="256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56" t="s">
        <v>64</v>
      </c>
      <c r="D253" s="256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56" t="s">
        <v>64</v>
      </c>
      <c r="D254" s="256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67" t="s">
        <v>68</v>
      </c>
      <c r="D255" s="268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67" t="s">
        <v>68</v>
      </c>
      <c r="D256" s="268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67" t="s">
        <v>68</v>
      </c>
      <c r="D257" s="268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67" t="s">
        <v>68</v>
      </c>
      <c r="D258" s="268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56" t="s">
        <v>73</v>
      </c>
      <c r="D259" s="256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56" t="s">
        <v>73</v>
      </c>
      <c r="D260" s="256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56" t="s">
        <v>73</v>
      </c>
      <c r="D261" s="256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56" t="s">
        <v>73</v>
      </c>
      <c r="D262" s="256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56" t="s">
        <v>75</v>
      </c>
      <c r="D263" s="256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56" t="s">
        <v>75</v>
      </c>
      <c r="D264" s="256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56" t="s">
        <v>75</v>
      </c>
      <c r="D265" s="256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9" t="s">
        <v>75</v>
      </c>
      <c r="D266" s="26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56" t="s">
        <v>77</v>
      </c>
      <c r="D267" s="256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56" t="s">
        <v>77</v>
      </c>
      <c r="D268" s="256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67" t="s">
        <v>301</v>
      </c>
      <c r="D269" s="268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67" t="s">
        <v>301</v>
      </c>
      <c r="D270" s="268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56" t="s">
        <v>81</v>
      </c>
      <c r="D271" s="256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56" t="s">
        <v>81</v>
      </c>
      <c r="D272" s="256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67" t="s">
        <v>83</v>
      </c>
      <c r="D273" s="268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67" t="s">
        <v>83</v>
      </c>
      <c r="D274" s="268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67" t="s">
        <v>83</v>
      </c>
      <c r="D275" s="268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67" t="s">
        <v>86</v>
      </c>
      <c r="D276" s="268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67" t="s">
        <v>86</v>
      </c>
      <c r="D277" s="268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67" t="s">
        <v>86</v>
      </c>
      <c r="D278" s="268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56" t="s">
        <v>88</v>
      </c>
      <c r="D279" s="256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56" t="s">
        <v>88</v>
      </c>
      <c r="D280" s="256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56" t="s">
        <v>88</v>
      </c>
      <c r="D281" s="256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56" t="s">
        <v>88</v>
      </c>
      <c r="D282" s="256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56" t="s">
        <v>316</v>
      </c>
      <c r="D283" s="256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56" t="s">
        <v>316</v>
      </c>
      <c r="D284" s="256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56" t="s">
        <v>317</v>
      </c>
      <c r="D285" s="256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56" t="s">
        <v>317</v>
      </c>
      <c r="D286" s="256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56" t="s">
        <v>317</v>
      </c>
      <c r="D287" s="256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56" t="s">
        <v>98</v>
      </c>
      <c r="D288" s="256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56" t="s">
        <v>98</v>
      </c>
      <c r="D289" s="256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56" t="s">
        <v>98</v>
      </c>
      <c r="D290" s="256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56" t="s">
        <v>98</v>
      </c>
      <c r="D291" s="256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9" t="s">
        <v>98</v>
      </c>
      <c r="D292" s="26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56" t="s">
        <v>100</v>
      </c>
      <c r="D293" s="256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56" t="s">
        <v>100</v>
      </c>
      <c r="D294" s="256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56" t="s">
        <v>100</v>
      </c>
      <c r="D295" s="256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56" t="s">
        <v>100</v>
      </c>
      <c r="D296" s="256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56" t="s">
        <v>106</v>
      </c>
      <c r="D297" s="256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56" t="s">
        <v>106</v>
      </c>
      <c r="D298" s="256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56" t="s">
        <v>106</v>
      </c>
      <c r="D299" s="256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56" t="s">
        <v>106</v>
      </c>
      <c r="D300" s="256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56" t="s">
        <v>107</v>
      </c>
      <c r="D301" s="256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56" t="s">
        <v>107</v>
      </c>
      <c r="D302" s="256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56" t="s">
        <v>107</v>
      </c>
      <c r="D303" s="256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56" t="s">
        <v>107</v>
      </c>
      <c r="D304" s="256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56" t="s">
        <v>107</v>
      </c>
      <c r="D305" s="256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67" t="s">
        <v>109</v>
      </c>
      <c r="D306" s="268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56" t="s">
        <v>318</v>
      </c>
      <c r="D307" s="256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56" t="s">
        <v>318</v>
      </c>
      <c r="D308" s="256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56" t="s">
        <v>112</v>
      </c>
      <c r="D309" s="256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56" t="s">
        <v>112</v>
      </c>
      <c r="D310" s="256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56" t="s">
        <v>112</v>
      </c>
      <c r="D311" s="256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67" t="s">
        <v>296</v>
      </c>
      <c r="D312" s="268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67" t="s">
        <v>296</v>
      </c>
      <c r="D313" s="268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67" t="s">
        <v>296</v>
      </c>
      <c r="D314" s="268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67" t="s">
        <v>114</v>
      </c>
      <c r="D315" s="268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67" t="s">
        <v>114</v>
      </c>
      <c r="D316" s="268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70" t="s">
        <v>305</v>
      </c>
      <c r="D317" s="27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70" t="s">
        <v>305</v>
      </c>
      <c r="D318" s="27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70" t="s">
        <v>305</v>
      </c>
      <c r="D319" s="27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56" t="s">
        <v>119</v>
      </c>
      <c r="D320" s="256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56" t="s">
        <v>119</v>
      </c>
      <c r="D321" s="256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9" t="s">
        <v>121</v>
      </c>
      <c r="D322" s="269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9" t="s">
        <v>121</v>
      </c>
      <c r="D323" s="269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9" t="s">
        <v>121</v>
      </c>
      <c r="D324" s="269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56" t="s">
        <v>123</v>
      </c>
      <c r="D325" s="256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56" t="s">
        <v>125</v>
      </c>
      <c r="D326" s="256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56" t="s">
        <v>123</v>
      </c>
      <c r="D327" s="256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56" t="s">
        <v>123</v>
      </c>
      <c r="D328" s="256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56" t="s">
        <v>123</v>
      </c>
      <c r="D329" s="256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56" t="s">
        <v>127</v>
      </c>
      <c r="D330" s="256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56" t="s">
        <v>127</v>
      </c>
      <c r="D331" s="256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56" t="s">
        <v>127</v>
      </c>
      <c r="D332" s="256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56" t="s">
        <v>127</v>
      </c>
      <c r="D333" s="256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56" t="s">
        <v>127</v>
      </c>
      <c r="D334" s="256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56" t="s">
        <v>128</v>
      </c>
      <c r="D335" s="256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56" t="s">
        <v>128</v>
      </c>
      <c r="D336" s="256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56" t="s">
        <v>128</v>
      </c>
      <c r="D337" s="256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56" t="s">
        <v>128</v>
      </c>
      <c r="D338" s="256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67" t="s">
        <v>129</v>
      </c>
      <c r="D339" s="268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67" t="s">
        <v>129</v>
      </c>
      <c r="D340" s="268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56" t="s">
        <v>130</v>
      </c>
      <c r="D341" s="256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56" t="s">
        <v>130</v>
      </c>
      <c r="D342" s="256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56" t="s">
        <v>130</v>
      </c>
      <c r="D343" s="256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56" t="s">
        <v>130</v>
      </c>
      <c r="D344" s="256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56" t="s">
        <v>130</v>
      </c>
      <c r="D345" s="256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56" t="s">
        <v>134</v>
      </c>
      <c r="D346" s="256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56" t="s">
        <v>134</v>
      </c>
      <c r="D347" s="256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67" t="s">
        <v>137</v>
      </c>
      <c r="D348" s="268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67" t="s">
        <v>137</v>
      </c>
      <c r="D349" s="268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56" t="s">
        <v>139</v>
      </c>
      <c r="D350" s="256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56" t="s">
        <v>141</v>
      </c>
      <c r="D351" s="256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56" t="s">
        <v>143</v>
      </c>
      <c r="D352" s="256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56" t="s">
        <v>143</v>
      </c>
      <c r="D353" s="256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56" t="s">
        <v>143</v>
      </c>
      <c r="D354" s="256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56" t="s">
        <v>145</v>
      </c>
      <c r="D355" s="256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56" t="s">
        <v>145</v>
      </c>
      <c r="D356" s="256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56" t="s">
        <v>145</v>
      </c>
      <c r="D357" s="256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56" t="s">
        <v>145</v>
      </c>
      <c r="D358" s="256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67" t="s">
        <v>148</v>
      </c>
      <c r="D359" s="268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67" t="s">
        <v>148</v>
      </c>
      <c r="D360" s="268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67" t="s">
        <v>148</v>
      </c>
      <c r="D361" s="268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67" t="s">
        <v>150</v>
      </c>
      <c r="D362" s="268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67" t="s">
        <v>150</v>
      </c>
      <c r="D363" s="268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67" t="s">
        <v>150</v>
      </c>
      <c r="D364" s="268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67" t="s">
        <v>150</v>
      </c>
      <c r="D365" s="268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67" t="s">
        <v>153</v>
      </c>
      <c r="D366" s="268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67" t="s">
        <v>153</v>
      </c>
      <c r="D367" s="268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67" t="s">
        <v>153</v>
      </c>
      <c r="D368" s="268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67" t="s">
        <v>153</v>
      </c>
      <c r="D369" s="268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74" t="s">
        <v>154</v>
      </c>
      <c r="D370" s="275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74" t="s">
        <v>154</v>
      </c>
      <c r="D371" s="275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74" t="s">
        <v>154</v>
      </c>
      <c r="D372" s="275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74" t="s">
        <v>154</v>
      </c>
      <c r="D373" s="275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74" t="s">
        <v>155</v>
      </c>
      <c r="D374" s="275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74" t="s">
        <v>155</v>
      </c>
      <c r="D375" s="275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74" t="s">
        <v>155</v>
      </c>
      <c r="D376" s="275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56" t="s">
        <v>156</v>
      </c>
      <c r="D377" s="256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56" t="s">
        <v>157</v>
      </c>
      <c r="D378" s="256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56" t="s">
        <v>157</v>
      </c>
      <c r="D379" s="256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56" t="s">
        <v>159</v>
      </c>
      <c r="D380" s="256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56" t="s">
        <v>159</v>
      </c>
      <c r="D381" s="256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56" t="s">
        <v>159</v>
      </c>
      <c r="D382" s="256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56" t="s">
        <v>159</v>
      </c>
      <c r="D383" s="256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56" t="s">
        <v>161</v>
      </c>
      <c r="D384" s="256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56" t="s">
        <v>161</v>
      </c>
      <c r="D385" s="256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56" t="s">
        <v>162</v>
      </c>
      <c r="D386" s="256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56" t="s">
        <v>162</v>
      </c>
      <c r="D387" s="256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56" t="s">
        <v>162</v>
      </c>
      <c r="D388" s="256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56" t="s">
        <v>162</v>
      </c>
      <c r="D389" s="256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56" t="s">
        <v>165</v>
      </c>
      <c r="D390" s="256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56" t="s">
        <v>165</v>
      </c>
      <c r="D391" s="256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56" t="s">
        <v>165</v>
      </c>
      <c r="D392" s="256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56" t="s">
        <v>165</v>
      </c>
      <c r="D393" s="256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56" t="s">
        <v>165</v>
      </c>
      <c r="D394" s="256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56" t="s">
        <v>165</v>
      </c>
      <c r="D395" s="256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70" t="s">
        <v>168</v>
      </c>
      <c r="D396" s="271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70" t="s">
        <v>168</v>
      </c>
      <c r="D397" s="271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67" t="s">
        <v>168</v>
      </c>
      <c r="D398" s="268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67" t="s">
        <v>168</v>
      </c>
      <c r="D399" s="268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56" t="s">
        <v>312</v>
      </c>
      <c r="D400" s="256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56" t="s">
        <v>312</v>
      </c>
      <c r="D401" s="256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56" t="s">
        <v>312</v>
      </c>
      <c r="D402" s="256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56" t="s">
        <v>312</v>
      </c>
      <c r="D403" s="256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67" t="s">
        <v>172</v>
      </c>
      <c r="D404" s="268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67" t="s">
        <v>172</v>
      </c>
      <c r="D405" s="268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67" t="s">
        <v>172</v>
      </c>
      <c r="D406" s="268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67" t="s">
        <v>172</v>
      </c>
      <c r="D407" s="268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84" t="s">
        <v>175</v>
      </c>
      <c r="B408" s="285"/>
      <c r="C408" s="285"/>
      <c r="D408" s="285"/>
      <c r="E408" s="285"/>
      <c r="F408" s="286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23"/>
      <c r="B409" s="324"/>
      <c r="C409" s="324"/>
      <c r="D409" s="324"/>
      <c r="E409" s="324"/>
      <c r="F409" s="325"/>
      <c r="G409" s="55" t="s">
        <v>222</v>
      </c>
      <c r="H409" s="55"/>
      <c r="I409" s="55"/>
      <c r="J409" s="55"/>
      <c r="K409" s="326" t="s">
        <v>176</v>
      </c>
      <c r="L409" s="327"/>
      <c r="M409" s="327"/>
      <c r="N409" s="328"/>
      <c r="O409" s="281" t="str">
        <f t="array" ref="O409">IF(ISERROR(P408/R408),"",P408/R408)</f>
        <v/>
      </c>
      <c r="P409" s="282"/>
      <c r="Q409" s="282"/>
      <c r="R409" s="283"/>
      <c r="S409" s="44"/>
      <c r="T409" s="45"/>
      <c r="U409" s="45"/>
      <c r="V409" s="45"/>
      <c r="W409" s="284">
        <f>SUM(W408:AC408)</f>
        <v>0</v>
      </c>
      <c r="X409" s="285"/>
      <c r="Y409" s="285"/>
      <c r="Z409" s="285"/>
      <c r="AA409" s="285"/>
      <c r="AB409" s="285"/>
      <c r="AC409" s="286"/>
    </row>
    <row r="410" spans="1:29" ht="21.95" customHeight="1">
      <c r="A410" s="287" t="s">
        <v>177</v>
      </c>
      <c r="B410" s="287"/>
      <c r="C410" s="287" t="s">
        <v>178</v>
      </c>
      <c r="D410" s="287"/>
      <c r="E410" s="287" t="s">
        <v>179</v>
      </c>
      <c r="F410" s="287"/>
      <c r="G410" s="287" t="s">
        <v>180</v>
      </c>
      <c r="H410" s="287"/>
      <c r="I410" s="287" t="s">
        <v>181</v>
      </c>
      <c r="J410" s="287"/>
      <c r="K410" s="287" t="s">
        <v>182</v>
      </c>
      <c r="L410" s="287"/>
      <c r="M410" s="274" t="s">
        <v>183</v>
      </c>
      <c r="N410" s="275"/>
      <c r="O410" s="329" t="s">
        <v>184</v>
      </c>
      <c r="P410" s="329"/>
      <c r="Q410" s="288" t="s">
        <v>185</v>
      </c>
      <c r="R410" s="288"/>
      <c r="S410" s="288" t="s">
        <v>186</v>
      </c>
      <c r="T410" s="288"/>
      <c r="U410" s="288" t="s">
        <v>187</v>
      </c>
      <c r="V410" s="288"/>
      <c r="W410" s="288" t="s">
        <v>188</v>
      </c>
      <c r="X410" s="288"/>
      <c r="Y410" s="288" t="s">
        <v>189</v>
      </c>
      <c r="Z410" s="288"/>
      <c r="AA410" s="288" t="s">
        <v>190</v>
      </c>
      <c r="AB410" s="288"/>
      <c r="AC410" s="288"/>
    </row>
    <row r="411" spans="1:29" ht="21.95" customHeight="1">
      <c r="A411" s="287"/>
      <c r="B411" s="287"/>
      <c r="C411" s="287" t="s">
        <v>191</v>
      </c>
      <c r="D411" s="287"/>
      <c r="E411" s="287"/>
      <c r="F411" s="287"/>
      <c r="G411" s="287"/>
      <c r="H411" s="287"/>
      <c r="I411" s="287">
        <f>G411-E411</f>
        <v>0</v>
      </c>
      <c r="J411" s="287"/>
      <c r="K411" s="289" t="str">
        <f t="array" ref="K411">IF(ISERROR(I411/E411),"",I411/E411)</f>
        <v/>
      </c>
      <c r="L411" s="289"/>
      <c r="M411" s="274"/>
      <c r="N411" s="275"/>
      <c r="O411" s="329"/>
      <c r="P411" s="329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8"/>
      <c r="AB411" s="288"/>
      <c r="AC411" s="288"/>
    </row>
    <row r="412" spans="1:29" ht="21.95" customHeight="1">
      <c r="A412" s="287"/>
      <c r="B412" s="287"/>
      <c r="C412" s="287" t="s">
        <v>192</v>
      </c>
      <c r="D412" s="287"/>
      <c r="E412" s="287"/>
      <c r="F412" s="287"/>
      <c r="G412" s="287"/>
      <c r="H412" s="287"/>
      <c r="I412" s="287">
        <f>G412-E412</f>
        <v>0</v>
      </c>
      <c r="J412" s="287"/>
      <c r="K412" s="289" t="str">
        <f t="array" ref="K412">IF(ISERROR(I412/E412),"",I412/E412)</f>
        <v/>
      </c>
      <c r="L412" s="289"/>
      <c r="M412" s="274"/>
      <c r="N412" s="275"/>
      <c r="O412" s="329"/>
      <c r="P412" s="329"/>
      <c r="Q412" s="291" t="s">
        <v>193</v>
      </c>
      <c r="R412" s="291"/>
      <c r="S412" s="292"/>
      <c r="T412" s="292"/>
      <c r="U412" s="292"/>
      <c r="V412" s="292"/>
      <c r="W412" s="291">
        <f>S412*9</f>
        <v>0</v>
      </c>
      <c r="X412" s="291"/>
      <c r="Y412" s="291">
        <f>U412*9</f>
        <v>0</v>
      </c>
      <c r="Z412" s="291"/>
      <c r="AA412" s="291">
        <f t="shared" ref="AA412:AA419" si="59">Y412-W412</f>
        <v>0</v>
      </c>
      <c r="AB412" s="291"/>
      <c r="AC412" s="291"/>
    </row>
    <row r="413" spans="1:29" ht="21.95" customHeight="1">
      <c r="A413" s="287"/>
      <c r="B413" s="287"/>
      <c r="C413" s="287" t="s">
        <v>194</v>
      </c>
      <c r="D413" s="287"/>
      <c r="E413" s="287"/>
      <c r="F413" s="287"/>
      <c r="G413" s="287"/>
      <c r="H413" s="287"/>
      <c r="I413" s="287">
        <f>G413-E413</f>
        <v>0</v>
      </c>
      <c r="J413" s="287"/>
      <c r="K413" s="289" t="str">
        <f t="array" ref="K413">IF(ISERROR(I413/E413),"",I413/E413)</f>
        <v/>
      </c>
      <c r="L413" s="289"/>
      <c r="M413" s="274"/>
      <c r="N413" s="275"/>
      <c r="O413" s="329"/>
      <c r="P413" s="329"/>
      <c r="Q413" s="291" t="s">
        <v>195</v>
      </c>
      <c r="R413" s="291"/>
      <c r="S413" s="292"/>
      <c r="T413" s="292"/>
      <c r="U413" s="292"/>
      <c r="V413" s="292"/>
      <c r="W413" s="291">
        <f t="shared" ref="W413:W419" si="60">S413*9</f>
        <v>0</v>
      </c>
      <c r="X413" s="291"/>
      <c r="Y413" s="291">
        <f t="shared" ref="Y413:Y419" si="61">U413*9</f>
        <v>0</v>
      </c>
      <c r="Z413" s="291"/>
      <c r="AA413" s="291">
        <f t="shared" si="59"/>
        <v>0</v>
      </c>
      <c r="AB413" s="291"/>
      <c r="AC413" s="291"/>
    </row>
    <row r="414" spans="1:29" ht="21.95" customHeight="1">
      <c r="A414" s="315" t="s">
        <v>196</v>
      </c>
      <c r="B414" s="316"/>
      <c r="C414" s="306" t="s">
        <v>197</v>
      </c>
      <c r="D414" s="307"/>
      <c r="E414" s="307"/>
      <c r="F414" s="308"/>
      <c r="G414" s="321" t="s">
        <v>198</v>
      </c>
      <c r="H414" s="321"/>
      <c r="I414" s="299" t="s">
        <v>199</v>
      </c>
      <c r="J414" s="300"/>
      <c r="K414" s="299" t="s">
        <v>200</v>
      </c>
      <c r="L414" s="300"/>
      <c r="M414" s="299" t="s">
        <v>201</v>
      </c>
      <c r="N414" s="300"/>
      <c r="O414" s="329"/>
      <c r="P414" s="329"/>
      <c r="Q414" s="291" t="s">
        <v>202</v>
      </c>
      <c r="R414" s="291"/>
      <c r="S414" s="291"/>
      <c r="T414" s="291"/>
      <c r="U414" s="292"/>
      <c r="V414" s="292"/>
      <c r="W414" s="291">
        <f t="shared" si="60"/>
        <v>0</v>
      </c>
      <c r="X414" s="291"/>
      <c r="Y414" s="291">
        <f t="shared" si="61"/>
        <v>0</v>
      </c>
      <c r="Z414" s="291"/>
      <c r="AA414" s="291">
        <f t="shared" si="59"/>
        <v>0</v>
      </c>
      <c r="AB414" s="291"/>
      <c r="AC414" s="291"/>
    </row>
    <row r="415" spans="1:29" ht="21.95" customHeight="1">
      <c r="A415" s="317"/>
      <c r="B415" s="318"/>
      <c r="C415" s="36" t="s">
        <v>203</v>
      </c>
      <c r="D415" s="37" t="s">
        <v>204</v>
      </c>
      <c r="E415" s="38"/>
      <c r="F415" s="162">
        <v>5</v>
      </c>
      <c r="G415" s="332"/>
      <c r="H415" s="332"/>
      <c r="I415" s="333"/>
      <c r="J415" s="334"/>
      <c r="K415" s="297">
        <f>G415-I415</f>
        <v>0</v>
      </c>
      <c r="L415" s="297"/>
      <c r="M415" s="298" t="str">
        <f t="array" ref="M415">IF(ISERROR(K415/L408),"",K415/(L408/1000))</f>
        <v/>
      </c>
      <c r="N415" s="298"/>
      <c r="O415" s="329"/>
      <c r="P415" s="329"/>
      <c r="Q415" s="291" t="s">
        <v>205</v>
      </c>
      <c r="R415" s="291"/>
      <c r="S415" s="291"/>
      <c r="T415" s="291"/>
      <c r="U415" s="292"/>
      <c r="V415" s="292"/>
      <c r="W415" s="291">
        <f t="shared" si="60"/>
        <v>0</v>
      </c>
      <c r="X415" s="291"/>
      <c r="Y415" s="291">
        <f t="shared" si="61"/>
        <v>0</v>
      </c>
      <c r="Z415" s="291"/>
      <c r="AA415" s="291">
        <f t="shared" si="59"/>
        <v>0</v>
      </c>
      <c r="AB415" s="291"/>
      <c r="AC415" s="291"/>
    </row>
    <row r="416" spans="1:29" ht="21.95" customHeight="1">
      <c r="A416" s="317"/>
      <c r="B416" s="318"/>
      <c r="C416" s="36" t="s">
        <v>206</v>
      </c>
      <c r="D416" s="37" t="s">
        <v>207</v>
      </c>
      <c r="E416" s="38"/>
      <c r="F416" s="162">
        <v>105</v>
      </c>
      <c r="G416" s="330"/>
      <c r="H416" s="331"/>
      <c r="I416" s="330"/>
      <c r="J416" s="331"/>
      <c r="K416" s="297">
        <f>G416-I416</f>
        <v>0</v>
      </c>
      <c r="L416" s="297"/>
      <c r="M416" s="298" t="str">
        <f t="array" ref="M416">IF(ISERROR(K416/L408),"",K416/(L408/1000))</f>
        <v/>
      </c>
      <c r="N416" s="298"/>
      <c r="O416" s="329"/>
      <c r="P416" s="329"/>
      <c r="Q416" s="291" t="s">
        <v>208</v>
      </c>
      <c r="R416" s="291"/>
      <c r="S416" s="291"/>
      <c r="T416" s="291"/>
      <c r="U416" s="292"/>
      <c r="V416" s="292"/>
      <c r="W416" s="291">
        <f t="shared" si="60"/>
        <v>0</v>
      </c>
      <c r="X416" s="291"/>
      <c r="Y416" s="291">
        <f t="shared" si="61"/>
        <v>0</v>
      </c>
      <c r="Z416" s="291"/>
      <c r="AA416" s="291">
        <f t="shared" si="59"/>
        <v>0</v>
      </c>
      <c r="AB416" s="291"/>
      <c r="AC416" s="291"/>
    </row>
    <row r="417" spans="1:29" ht="21.95" customHeight="1">
      <c r="A417" s="317"/>
      <c r="B417" s="318"/>
      <c r="C417" s="36" t="s">
        <v>209</v>
      </c>
      <c r="D417" s="37" t="s">
        <v>210</v>
      </c>
      <c r="E417" s="38"/>
      <c r="F417" s="162">
        <v>0.55000000000000004</v>
      </c>
      <c r="G417" s="332"/>
      <c r="H417" s="332"/>
      <c r="I417" s="335"/>
      <c r="J417" s="336"/>
      <c r="K417" s="297">
        <f>G417-I417</f>
        <v>0</v>
      </c>
      <c r="L417" s="297"/>
      <c r="M417" s="301" t="str">
        <f t="array" ref="M417">IF(ISERROR(K417/L408),"",K417/(L408/1000))</f>
        <v/>
      </c>
      <c r="N417" s="301"/>
      <c r="O417" s="329"/>
      <c r="P417" s="329"/>
      <c r="Q417" s="291" t="s">
        <v>211</v>
      </c>
      <c r="R417" s="291"/>
      <c r="S417" s="291"/>
      <c r="T417" s="291"/>
      <c r="U417" s="292"/>
      <c r="V417" s="292"/>
      <c r="W417" s="291">
        <f t="shared" si="60"/>
        <v>0</v>
      </c>
      <c r="X417" s="291"/>
      <c r="Y417" s="291">
        <f t="shared" si="61"/>
        <v>0</v>
      </c>
      <c r="Z417" s="291"/>
      <c r="AA417" s="291">
        <f t="shared" si="59"/>
        <v>0</v>
      </c>
      <c r="AB417" s="291"/>
      <c r="AC417" s="291"/>
    </row>
    <row r="418" spans="1:29" ht="21.95" customHeight="1">
      <c r="A418" s="317"/>
      <c r="B418" s="318"/>
      <c r="C418" s="39" t="s">
        <v>212</v>
      </c>
      <c r="D418" s="306" t="s">
        <v>213</v>
      </c>
      <c r="E418" s="307"/>
      <c r="F418" s="307"/>
      <c r="G418" s="307"/>
      <c r="H418" s="307"/>
      <c r="I418" s="307"/>
      <c r="J418" s="308"/>
      <c r="K418" s="309"/>
      <c r="L418" s="309"/>
      <c r="M418" s="302" t="str">
        <f t="array" ref="M418">IF(ISERROR((K418+K419)/L408),"",((K418+K419)*1000)/(L408/1000))</f>
        <v/>
      </c>
      <c r="N418" s="303"/>
      <c r="O418" s="329"/>
      <c r="P418" s="329"/>
      <c r="Q418" s="291" t="s">
        <v>214</v>
      </c>
      <c r="R418" s="291"/>
      <c r="S418" s="337"/>
      <c r="T418" s="337"/>
      <c r="U418" s="292"/>
      <c r="V418" s="292"/>
      <c r="W418" s="291">
        <f t="shared" si="60"/>
        <v>0</v>
      </c>
      <c r="X418" s="291"/>
      <c r="Y418" s="291">
        <f t="shared" si="61"/>
        <v>0</v>
      </c>
      <c r="Z418" s="291"/>
      <c r="AA418" s="291">
        <f t="shared" si="59"/>
        <v>0</v>
      </c>
      <c r="AB418" s="291"/>
      <c r="AC418" s="291"/>
    </row>
    <row r="419" spans="1:29" ht="21.95" customHeight="1">
      <c r="A419" s="317"/>
      <c r="B419" s="318"/>
      <c r="C419" s="39" t="s">
        <v>212</v>
      </c>
      <c r="D419" s="306" t="s">
        <v>215</v>
      </c>
      <c r="E419" s="307"/>
      <c r="F419" s="307"/>
      <c r="G419" s="307"/>
      <c r="H419" s="307"/>
      <c r="I419" s="307"/>
      <c r="J419" s="308"/>
      <c r="K419" s="309"/>
      <c r="L419" s="309"/>
      <c r="M419" s="304"/>
      <c r="N419" s="305"/>
      <c r="O419" s="329"/>
      <c r="P419" s="329"/>
      <c r="Q419" s="291" t="s">
        <v>216</v>
      </c>
      <c r="R419" s="291"/>
      <c r="S419" s="292">
        <f>SUM(S412:T418)</f>
        <v>0</v>
      </c>
      <c r="T419" s="292"/>
      <c r="U419" s="292">
        <f>SUM(U412:V418)</f>
        <v>0</v>
      </c>
      <c r="V419" s="292"/>
      <c r="W419" s="291">
        <f t="shared" si="60"/>
        <v>0</v>
      </c>
      <c r="X419" s="291"/>
      <c r="Y419" s="291">
        <f t="shared" si="61"/>
        <v>0</v>
      </c>
      <c r="Z419" s="291"/>
      <c r="AA419" s="291">
        <f t="shared" si="59"/>
        <v>0</v>
      </c>
      <c r="AB419" s="291"/>
      <c r="AC419" s="291"/>
    </row>
    <row r="420" spans="1:29" ht="21.95" customHeight="1">
      <c r="A420" s="319"/>
      <c r="B420" s="320"/>
      <c r="C420" s="309" t="s">
        <v>217</v>
      </c>
      <c r="D420" s="309"/>
      <c r="E420" s="309"/>
      <c r="F420" s="309"/>
      <c r="G420" s="310" t="str">
        <f>IF(ISERROR(K417/K419),"",K417/K419)</f>
        <v/>
      </c>
      <c r="H420" s="311"/>
      <c r="I420" s="309" t="s">
        <v>218</v>
      </c>
      <c r="J420" s="309"/>
      <c r="K420" s="309"/>
      <c r="L420" s="309"/>
      <c r="M420" s="310" t="str">
        <f>IF(ISERROR(K417/K418),"",K417/K418)</f>
        <v/>
      </c>
      <c r="N420" s="311"/>
      <c r="O420" s="329"/>
      <c r="P420" s="329"/>
      <c r="Q420" s="288" t="s">
        <v>219</v>
      </c>
      <c r="R420" s="288"/>
      <c r="S420" s="338" t="str">
        <f t="array" ref="S420">IF(ISERROR(L408/Y419),"",L408/Y419)</f>
        <v/>
      </c>
      <c r="T420" s="339"/>
      <c r="U420" s="339"/>
      <c r="V420" s="339"/>
      <c r="W420" s="339"/>
      <c r="X420" s="339"/>
      <c r="Y420" s="339"/>
      <c r="Z420" s="339"/>
      <c r="AA420" s="339"/>
      <c r="AB420" s="339"/>
      <c r="AC420" s="34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87" t="s">
        <v>225</v>
      </c>
      <c r="B423" s="287"/>
      <c r="C423" s="345">
        <f>K199+K408</f>
        <v>0</v>
      </c>
      <c r="D423" s="345"/>
      <c r="E423" s="341" t="s">
        <v>226</v>
      </c>
      <c r="F423" s="341"/>
      <c r="G423" s="341">
        <f>L199+L408</f>
        <v>0</v>
      </c>
      <c r="H423" s="341"/>
      <c r="I423" s="348" t="s">
        <v>227</v>
      </c>
      <c r="J423" s="348"/>
      <c r="K423" s="347" t="str">
        <f>IF(ISERROR(G423/C423),"",G423/C423)</f>
        <v/>
      </c>
      <c r="L423" s="347"/>
      <c r="M423" s="341" t="s">
        <v>228</v>
      </c>
      <c r="N423" s="341"/>
      <c r="O423" s="342" t="str">
        <f>IF(ISERROR(G423/G424),"",G423/G424)</f>
        <v/>
      </c>
      <c r="P423" s="342"/>
      <c r="Q423" s="343"/>
      <c r="R423" s="34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44" t="s">
        <v>229</v>
      </c>
      <c r="B424" s="344"/>
      <c r="C424" s="345">
        <f>P199+P408</f>
        <v>0</v>
      </c>
      <c r="D424" s="345"/>
      <c r="E424" s="346" t="s">
        <v>18</v>
      </c>
      <c r="F424" s="346"/>
      <c r="G424" s="341">
        <f>R199+R408</f>
        <v>0</v>
      </c>
      <c r="H424" s="341"/>
      <c r="I424" s="321" t="s">
        <v>176</v>
      </c>
      <c r="J424" s="321"/>
      <c r="K424" s="347" t="str">
        <f>IF(ISERROR(C424/G424),"",C424/G424)</f>
        <v/>
      </c>
      <c r="L424" s="347"/>
      <c r="M424" s="287" t="s">
        <v>230</v>
      </c>
      <c r="N424" s="287"/>
      <c r="O424" s="341">
        <f>W200+W409</f>
        <v>0</v>
      </c>
      <c r="P424" s="287"/>
      <c r="Q424" s="287" t="s">
        <v>231</v>
      </c>
      <c r="R424" s="287"/>
      <c r="S424" s="347" t="str">
        <f t="array" ref="S424">IF(ISERROR(O424/G424),"",O424/G424)</f>
        <v/>
      </c>
      <c r="T424" s="34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45">
        <f>K206+K415</f>
        <v>0</v>
      </c>
      <c r="D426" s="345"/>
      <c r="E426" s="341" t="s">
        <v>234</v>
      </c>
      <c r="F426" s="341"/>
      <c r="G426" s="301" t="str">
        <f t="array" ref="G426">IF(ISERROR(C426/G423),"",C426/(G423/1000))</f>
        <v/>
      </c>
      <c r="H426" s="30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45">
        <f>K207+K416</f>
        <v>0</v>
      </c>
      <c r="D427" s="345"/>
      <c r="E427" s="341" t="s">
        <v>236</v>
      </c>
      <c r="F427" s="341"/>
      <c r="G427" s="301" t="str">
        <f>IF(ISERROR(C427/G423),"",C427/(G423/1000))</f>
        <v/>
      </c>
      <c r="H427" s="30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45">
        <f>K208+K417</f>
        <v>0</v>
      </c>
      <c r="D428" s="345"/>
      <c r="E428" s="341" t="s">
        <v>238</v>
      </c>
      <c r="F428" s="341"/>
      <c r="G428" s="301" t="str">
        <f>IF(ISERROR(C428/G423),"",C428/(G423/1000))</f>
        <v/>
      </c>
      <c r="H428" s="30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45">
        <f>K209+K418</f>
        <v>0</v>
      </c>
      <c r="D429" s="345"/>
      <c r="E429" s="341" t="s">
        <v>240</v>
      </c>
      <c r="F429" s="341"/>
      <c r="G429" s="349" t="str">
        <f>IF(ISERROR(C429/G423),"",C429/(G423/1000))</f>
        <v/>
      </c>
      <c r="H429" s="349"/>
      <c r="I429" s="341" t="s">
        <v>241</v>
      </c>
      <c r="J429" s="341"/>
      <c r="K429" s="350" t="str">
        <f>IF(ISERROR(C428/C429),"",C428/C429)</f>
        <v/>
      </c>
      <c r="L429" s="35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45">
        <f>K210+K419</f>
        <v>0</v>
      </c>
      <c r="D430" s="345"/>
      <c r="E430" s="341" t="s">
        <v>243</v>
      </c>
      <c r="F430" s="341"/>
      <c r="G430" s="349" t="str">
        <f>IF(ISERROR(C430/G423),"",C430/(G423/1000))</f>
        <v/>
      </c>
      <c r="H430" s="349"/>
      <c r="I430" s="341" t="s">
        <v>244</v>
      </c>
      <c r="J430" s="341"/>
      <c r="K430" s="350" t="str">
        <f>IF(ISERROR(C428/C430),"",C428/C430)</f>
        <v/>
      </c>
      <c r="L430" s="35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53">
        <f>+E411+E202</f>
        <v>0</v>
      </c>
      <c r="D432" s="354"/>
      <c r="E432" s="341" t="s">
        <v>247</v>
      </c>
      <c r="F432" s="359"/>
      <c r="G432" s="355">
        <f>+G411+G202</f>
        <v>0</v>
      </c>
      <c r="H432" s="356"/>
      <c r="I432" s="341" t="s">
        <v>248</v>
      </c>
      <c r="J432" s="359"/>
      <c r="K432" s="323">
        <f>G432-C432</f>
        <v>0</v>
      </c>
      <c r="L432" s="325"/>
      <c r="M432" s="360" t="s">
        <v>249</v>
      </c>
      <c r="N432" s="360"/>
      <c r="O432" s="351" t="str">
        <f t="array" ref="O432">IF(ISERROR(K432/C432),"",K432/C432)</f>
        <v/>
      </c>
      <c r="P432" s="35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53">
        <f>+E412+E203</f>
        <v>0</v>
      </c>
      <c r="D433" s="354"/>
      <c r="E433" s="341" t="s">
        <v>251</v>
      </c>
      <c r="F433" s="341"/>
      <c r="G433" s="355">
        <f>+G412+G203</f>
        <v>0</v>
      </c>
      <c r="H433" s="356"/>
      <c r="I433" s="341" t="s">
        <v>252</v>
      </c>
      <c r="J433" s="341"/>
      <c r="K433" s="323">
        <f>G433-C433</f>
        <v>0</v>
      </c>
      <c r="L433" s="325"/>
      <c r="M433" s="357" t="s">
        <v>253</v>
      </c>
      <c r="N433" s="358"/>
      <c r="O433" s="351" t="str">
        <f t="array" ref="O433">IF(ISERROR(K433/C433),"",K433/C433)</f>
        <v/>
      </c>
      <c r="P433" s="35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53">
        <f>+E413+E204</f>
        <v>0</v>
      </c>
      <c r="D434" s="354"/>
      <c r="E434" s="341" t="s">
        <v>255</v>
      </c>
      <c r="F434" s="359"/>
      <c r="G434" s="355">
        <f>+G413+G204</f>
        <v>0</v>
      </c>
      <c r="H434" s="356"/>
      <c r="I434" s="341" t="s">
        <v>256</v>
      </c>
      <c r="J434" s="359"/>
      <c r="K434" s="323">
        <f>G434-C434</f>
        <v>0</v>
      </c>
      <c r="L434" s="325"/>
      <c r="M434" s="357" t="s">
        <v>257</v>
      </c>
      <c r="N434" s="358"/>
      <c r="O434" s="351" t="str">
        <f t="array" ref="O434">IF(ISERROR(K434/C434),"",K434/C434)</f>
        <v/>
      </c>
      <c r="P434" s="35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56" t="s">
        <v>259</v>
      </c>
      <c r="B436" s="256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91" t="s">
        <v>278</v>
      </c>
      <c r="B437" s="291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91" t="s">
        <v>279</v>
      </c>
      <c r="B438" s="291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91" t="s">
        <v>280</v>
      </c>
      <c r="B439" s="291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91" t="s">
        <v>281</v>
      </c>
      <c r="B440" s="291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91" t="s">
        <v>282</v>
      </c>
      <c r="B441" s="291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91" t="s">
        <v>283</v>
      </c>
      <c r="B442" s="29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64" t="s">
        <v>284</v>
      </c>
      <c r="B443" s="36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91" t="s">
        <v>285</v>
      </c>
      <c r="B444" s="29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91" t="s">
        <v>286</v>
      </c>
      <c r="B445" s="29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91" t="s">
        <v>287</v>
      </c>
      <c r="B446" s="29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91" t="s">
        <v>288</v>
      </c>
      <c r="B447" s="29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91" t="s">
        <v>289</v>
      </c>
      <c r="B448" s="29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91" t="s">
        <v>290</v>
      </c>
      <c r="B449" s="29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61" t="s">
        <v>284</v>
      </c>
      <c r="B450" s="36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91" t="s">
        <v>291</v>
      </c>
      <c r="B451" s="291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63" t="s">
        <v>292</v>
      </c>
      <c r="B452" s="36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2016-12-20T06:34:22Z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