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comments29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26.xml" ContentType="application/vnd.openxmlformats-officedocument.drawing+xml"/>
  <Override PartName="/xl/comments27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comments25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rels" ContentType="application/vnd.openxmlformats-package.relationship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21720" windowHeight="13125" tabRatio="598" firstSheet="5" activeTab="16"/>
  </bookViews>
  <sheets>
    <sheet name="1" sheetId="491" r:id="rId1"/>
    <sheet name="2" sheetId="490" r:id="rId2"/>
    <sheet name="3" sheetId="489" r:id="rId3"/>
    <sheet name="4" sheetId="488" r:id="rId4"/>
    <sheet name="5" sheetId="487" r:id="rId5"/>
    <sheet name="6" sheetId="520" r:id="rId6"/>
    <sheet name="7" sheetId="521" r:id="rId7"/>
    <sheet name="8" sheetId="523" r:id="rId8"/>
    <sheet name="9" sheetId="522" r:id="rId9"/>
    <sheet name="10" sheetId="524" r:id="rId10"/>
    <sheet name="11" sheetId="525" r:id="rId11"/>
    <sheet name="12" sheetId="527" r:id="rId12"/>
    <sheet name="13" sheetId="526" r:id="rId13"/>
    <sheet name="14" sheetId="517" r:id="rId14"/>
    <sheet name="15" sheetId="519" r:id="rId15"/>
    <sheet name="16" sheetId="518" r:id="rId16"/>
    <sheet name="17" sheetId="516" r:id="rId17"/>
    <sheet name="18" sheetId="513" r:id="rId18"/>
    <sheet name="19" sheetId="512" r:id="rId19"/>
    <sheet name="20" sheetId="514" r:id="rId20"/>
    <sheet name="21" sheetId="506" r:id="rId21"/>
    <sheet name="22" sheetId="511" r:id="rId22"/>
    <sheet name="23" sheetId="510" r:id="rId23"/>
    <sheet name="24" sheetId="509" r:id="rId24"/>
    <sheet name="25" sheetId="508" r:id="rId25"/>
    <sheet name="27" sheetId="502" r:id="rId26"/>
    <sheet name="26" sheetId="507" r:id="rId27"/>
    <sheet name="28" sheetId="505" r:id="rId28"/>
    <sheet name="29" sheetId="504" r:id="rId29"/>
    <sheet name="30" sheetId="503" r:id="rId30"/>
    <sheet name="汇总" sheetId="486" r:id="rId31"/>
    <sheet name="Sheet33" sheetId="33" r:id="rId32"/>
    <sheet name="Sheet30" sheetId="34" r:id="rId33"/>
    <sheet name="Sheet1" sheetId="35" r:id="rId34"/>
  </sheets>
  <calcPr calcId="124519"/>
</workbook>
</file>

<file path=xl/calcChain.xml><?xml version="1.0" encoding="utf-8"?>
<calcChain xmlns="http://schemas.openxmlformats.org/spreadsheetml/2006/main">
  <c r="G416" i="516"/>
  <c r="W412"/>
  <c r="X56" l="1"/>
  <c r="G417"/>
  <c r="G208"/>
  <c r="G207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I285" l="1"/>
  <c r="I265"/>
  <c r="I251"/>
  <c r="I76"/>
  <c r="I56"/>
  <c r="I43"/>
  <c r="I42"/>
  <c r="I29"/>
  <c r="X285" i="518"/>
  <c r="X265"/>
  <c r="X98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6" a="1"/>
  <c r="V286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56" a="1"/>
  <c r="V56" s="1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6" a="1"/>
  <c r="V116"/>
  <c r="V117" a="1"/>
  <c r="V117"/>
  <c r="V118" a="1"/>
  <c r="V118"/>
  <c r="V119" a="1"/>
  <c r="V119"/>
  <c r="V120" a="1"/>
  <c r="V120"/>
  <c r="V121" a="1"/>
  <c r="V121"/>
  <c r="V122" a="1"/>
  <c r="V122"/>
  <c r="V123" a="1"/>
  <c r="V123"/>
  <c r="V124" a="1"/>
  <c r="V124"/>
  <c r="V125" a="1"/>
  <c r="V125"/>
  <c r="V126" a="1"/>
  <c r="V126"/>
  <c r="V127" a="1"/>
  <c r="V127"/>
  <c r="V128" a="1"/>
  <c r="V128"/>
  <c r="V129" a="1"/>
  <c r="V129"/>
  <c r="V130" a="1"/>
  <c r="V130"/>
  <c r="V131" a="1"/>
  <c r="V131"/>
  <c r="V132" a="1"/>
  <c r="V132"/>
  <c r="V133" a="1"/>
  <c r="V133"/>
  <c r="V134" a="1"/>
  <c r="V134"/>
  <c r="V135" a="1"/>
  <c r="V135"/>
  <c r="V136" a="1"/>
  <c r="V136"/>
  <c r="V137" a="1"/>
  <c r="V137"/>
  <c r="V138" a="1"/>
  <c r="V138"/>
  <c r="V139" a="1"/>
  <c r="V139"/>
  <c r="V140" a="1"/>
  <c r="V140"/>
  <c r="V141" a="1"/>
  <c r="V141"/>
  <c r="V142" a="1"/>
  <c r="V142"/>
  <c r="V143" a="1"/>
  <c r="V143"/>
  <c r="V144" a="1"/>
  <c r="V144"/>
  <c r="V145" a="1"/>
  <c r="V145"/>
  <c r="V146" a="1"/>
  <c r="V146"/>
  <c r="V147" a="1"/>
  <c r="V147"/>
  <c r="V148" a="1"/>
  <c r="V148"/>
  <c r="V149" a="1"/>
  <c r="V149"/>
  <c r="V150" a="1"/>
  <c r="V150"/>
  <c r="V151" a="1"/>
  <c r="V151"/>
  <c r="V152" a="1"/>
  <c r="V152"/>
  <c r="V153" a="1"/>
  <c r="V153"/>
  <c r="V154" a="1"/>
  <c r="V154"/>
  <c r="V155" a="1"/>
  <c r="V155"/>
  <c r="V156" a="1"/>
  <c r="V156"/>
  <c r="V157" a="1"/>
  <c r="V157"/>
  <c r="V158" a="1"/>
  <c r="V158"/>
  <c r="V159" a="1"/>
  <c r="V159"/>
  <c r="V160" a="1"/>
  <c r="V160"/>
  <c r="V161" a="1"/>
  <c r="V161"/>
  <c r="V162" a="1"/>
  <c r="V162"/>
  <c r="V163" a="1"/>
  <c r="V163"/>
  <c r="V164" a="1"/>
  <c r="V164"/>
  <c r="V165" a="1"/>
  <c r="V165"/>
  <c r="V166" a="1"/>
  <c r="V166"/>
  <c r="V167" a="1"/>
  <c r="V167"/>
  <c r="V168" a="1"/>
  <c r="V168"/>
  <c r="V169" a="1"/>
  <c r="V169"/>
  <c r="V170" a="1"/>
  <c r="V170"/>
  <c r="V171" a="1"/>
  <c r="V171"/>
  <c r="V172" a="1"/>
  <c r="V172"/>
  <c r="V173" a="1"/>
  <c r="V173"/>
  <c r="V174" a="1"/>
  <c r="V174"/>
  <c r="V175" a="1"/>
  <c r="V175"/>
  <c r="V176" a="1"/>
  <c r="V176"/>
  <c r="V177" a="1"/>
  <c r="V177"/>
  <c r="V178" a="1"/>
  <c r="V178"/>
  <c r="V179" a="1"/>
  <c r="V179"/>
  <c r="V180" a="1"/>
  <c r="V180"/>
  <c r="V181" a="1"/>
  <c r="V181"/>
  <c r="V182" a="1"/>
  <c r="V182"/>
  <c r="V183" a="1"/>
  <c r="V183"/>
  <c r="V184" a="1"/>
  <c r="V184"/>
  <c r="V185" a="1"/>
  <c r="V185"/>
  <c r="V186" a="1"/>
  <c r="V186"/>
  <c r="V187" a="1"/>
  <c r="V187"/>
  <c r="V188" a="1"/>
  <c r="V188"/>
  <c r="V189" a="1"/>
  <c r="V189"/>
  <c r="V190" a="1"/>
  <c r="V190"/>
  <c r="V192" a="1"/>
  <c r="V192"/>
  <c r="V193" a="1"/>
  <c r="V193"/>
  <c r="V194" a="1"/>
  <c r="V194"/>
  <c r="V195" a="1"/>
  <c r="V195"/>
  <c r="V196" a="1"/>
  <c r="V196"/>
  <c r="V197" a="1"/>
  <c r="V197"/>
  <c r="V198" a="1"/>
  <c r="V198"/>
  <c r="L199"/>
  <c r="L408"/>
  <c r="I399" l="1"/>
  <c r="I285"/>
  <c r="I287"/>
  <c r="I266"/>
  <c r="I265"/>
  <c r="I252"/>
  <c r="I238"/>
  <c r="I237"/>
  <c r="I191"/>
  <c r="I190"/>
  <c r="I115"/>
  <c r="I78"/>
  <c r="I57"/>
  <c r="I55"/>
  <c r="I28"/>
  <c r="K418" i="519"/>
  <c r="G417"/>
  <c r="G416"/>
  <c r="K209"/>
  <c r="G208"/>
  <c r="G207"/>
  <c r="W27"/>
  <c r="W413"/>
  <c r="Y413"/>
  <c r="W414"/>
  <c r="Y414"/>
  <c r="W415"/>
  <c r="Y415"/>
  <c r="W416"/>
  <c r="Y416"/>
  <c r="W417"/>
  <c r="Y417"/>
  <c r="W418"/>
  <c r="Y418"/>
  <c r="W419"/>
  <c r="Y419"/>
  <c r="Y412"/>
  <c r="W412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4" a="1"/>
  <c r="V194" s="1"/>
  <c r="V195" a="1"/>
  <c r="V195" s="1"/>
  <c r="V196" a="1"/>
  <c r="V196" s="1"/>
  <c r="V197" a="1"/>
  <c r="V197" s="1"/>
  <c r="V198" a="1"/>
  <c r="V198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I199" a="1"/>
  <c r="I199" s="1"/>
  <c r="L408"/>
  <c r="I400"/>
  <c r="I324"/>
  <c r="I307"/>
  <c r="I264"/>
  <c r="I263"/>
  <c r="I236"/>
  <c r="I193"/>
  <c r="I191"/>
  <c r="I170"/>
  <c r="I115"/>
  <c r="I113"/>
  <c r="I98"/>
  <c r="I54"/>
  <c r="I49"/>
  <c r="I27"/>
  <c r="X403" i="517"/>
  <c r="X379"/>
  <c r="X322"/>
  <c r="X308"/>
  <c r="X257"/>
  <c r="X234"/>
  <c r="W403"/>
  <c r="K199" a="1"/>
  <c r="K199" s="1"/>
  <c r="L199"/>
  <c r="L408"/>
  <c r="K408" a="1"/>
  <c r="K408" s="1"/>
  <c r="K418"/>
  <c r="G417"/>
  <c r="G207"/>
  <c r="K209"/>
  <c r="G208"/>
  <c r="W413"/>
  <c r="Y413"/>
  <c r="W414"/>
  <c r="Y414"/>
  <c r="W415"/>
  <c r="Y415"/>
  <c r="W416"/>
  <c r="Y416"/>
  <c r="W417"/>
  <c r="Y417"/>
  <c r="W418"/>
  <c r="Y418"/>
  <c r="W419"/>
  <c r="Y412"/>
  <c r="W412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U209"/>
  <c r="V37" a="1"/>
  <c r="V37" s="1"/>
  <c r="V38" a="1"/>
  <c r="V38"/>
  <c r="V39" a="1"/>
  <c r="V39"/>
  <c r="V40" a="1"/>
  <c r="V40"/>
  <c r="V41" a="1"/>
  <c r="V41"/>
  <c r="V42" a="1"/>
  <c r="V42"/>
  <c r="V43" a="1"/>
  <c r="V43"/>
  <c r="V44" a="1"/>
  <c r="V44"/>
  <c r="V45" a="1"/>
  <c r="V45"/>
  <c r="V46" a="1"/>
  <c r="V46"/>
  <c r="V47" a="1"/>
  <c r="V47"/>
  <c r="V48" a="1"/>
  <c r="V48"/>
  <c r="V49" a="1"/>
  <c r="V49"/>
  <c r="V50" a="1"/>
  <c r="V50"/>
  <c r="V51" a="1"/>
  <c r="V51"/>
  <c r="V52" a="1"/>
  <c r="V52"/>
  <c r="V53" a="1"/>
  <c r="V53"/>
  <c r="V54" a="1"/>
  <c r="V54"/>
  <c r="V55" a="1"/>
  <c r="V55"/>
  <c r="V56" a="1"/>
  <c r="V56"/>
  <c r="V57" a="1"/>
  <c r="V57"/>
  <c r="V58" a="1"/>
  <c r="V58"/>
  <c r="V59" a="1"/>
  <c r="V59"/>
  <c r="V60" a="1"/>
  <c r="V60"/>
  <c r="V61" a="1"/>
  <c r="V61"/>
  <c r="V62" a="1"/>
  <c r="V62"/>
  <c r="V63" a="1"/>
  <c r="V63"/>
  <c r="V64" a="1"/>
  <c r="V64"/>
  <c r="V65" a="1"/>
  <c r="V65"/>
  <c r="V66" a="1"/>
  <c r="V66"/>
  <c r="V67" a="1"/>
  <c r="V67"/>
  <c r="V68" a="1"/>
  <c r="V68"/>
  <c r="V69" a="1"/>
  <c r="V69"/>
  <c r="V70" a="1"/>
  <c r="V70"/>
  <c r="V71" a="1"/>
  <c r="V71"/>
  <c r="V72" a="1"/>
  <c r="V72"/>
  <c r="V73" a="1"/>
  <c r="V73"/>
  <c r="V74" a="1"/>
  <c r="V74"/>
  <c r="V75" a="1"/>
  <c r="V75"/>
  <c r="V76" a="1"/>
  <c r="V76"/>
  <c r="V77" a="1"/>
  <c r="V77"/>
  <c r="V78" a="1"/>
  <c r="V78"/>
  <c r="V79" a="1"/>
  <c r="V79"/>
  <c r="V80" a="1"/>
  <c r="V80"/>
  <c r="V81" a="1"/>
  <c r="V81"/>
  <c r="V82" a="1"/>
  <c r="V82"/>
  <c r="V83" a="1"/>
  <c r="V83"/>
  <c r="V84" a="1"/>
  <c r="V84"/>
  <c r="V85" a="1"/>
  <c r="V85"/>
  <c r="V86" a="1"/>
  <c r="V86"/>
  <c r="V87" a="1"/>
  <c r="V87"/>
  <c r="V88" a="1"/>
  <c r="V88"/>
  <c r="V89" a="1"/>
  <c r="V89"/>
  <c r="V90" a="1"/>
  <c r="V90"/>
  <c r="V91" a="1"/>
  <c r="V91"/>
  <c r="V92" a="1"/>
  <c r="V92"/>
  <c r="V93" a="1"/>
  <c r="V93"/>
  <c r="V94" a="1"/>
  <c r="V94"/>
  <c r="V95" a="1"/>
  <c r="V95"/>
  <c r="V96" a="1"/>
  <c r="V96"/>
  <c r="V97" a="1"/>
  <c r="V97"/>
  <c r="V98" a="1"/>
  <c r="V98"/>
  <c r="V99" a="1"/>
  <c r="V99"/>
  <c r="V100" a="1"/>
  <c r="V100"/>
  <c r="V101" a="1"/>
  <c r="V101"/>
  <c r="V102" a="1"/>
  <c r="V102"/>
  <c r="V103" a="1"/>
  <c r="V103"/>
  <c r="V104" a="1"/>
  <c r="V104"/>
  <c r="V105" a="1"/>
  <c r="V105"/>
  <c r="V106" a="1"/>
  <c r="V106"/>
  <c r="V107" a="1"/>
  <c r="V107"/>
  <c r="V108" a="1"/>
  <c r="V108"/>
  <c r="V109" a="1"/>
  <c r="V109"/>
  <c r="V110" a="1"/>
  <c r="V110"/>
  <c r="V111" a="1"/>
  <c r="V111"/>
  <c r="V112" a="1"/>
  <c r="V112"/>
  <c r="V113" a="1"/>
  <c r="V113"/>
  <c r="V114" a="1"/>
  <c r="V114"/>
  <c r="V115" a="1"/>
  <c r="V115"/>
  <c r="V116" a="1"/>
  <c r="V116"/>
  <c r="V117" a="1"/>
  <c r="V117"/>
  <c r="V118" a="1"/>
  <c r="V118"/>
  <c r="V119" a="1"/>
  <c r="V119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I403"/>
  <c r="I402"/>
  <c r="I379"/>
  <c r="I322"/>
  <c r="I258"/>
  <c r="I257"/>
  <c r="I234"/>
  <c r="I194"/>
  <c r="I137"/>
  <c r="I113"/>
  <c r="I36"/>
  <c r="I25"/>
  <c r="G416" i="526"/>
  <c r="K408" l="1" a="1"/>
  <c r="K408" s="1"/>
  <c r="L408"/>
  <c r="K418"/>
  <c r="G417"/>
  <c r="K209"/>
  <c r="G208"/>
  <c r="G207"/>
  <c r="W413"/>
  <c r="Y413"/>
  <c r="W414"/>
  <c r="Y414"/>
  <c r="W415"/>
  <c r="Y415"/>
  <c r="W416"/>
  <c r="Y416"/>
  <c r="W417"/>
  <c r="Y417"/>
  <c r="W418"/>
  <c r="Y418"/>
  <c r="Y419"/>
  <c r="Y412"/>
  <c r="W412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V396" a="1"/>
  <c r="V396" s="1"/>
  <c r="V397" a="1"/>
  <c r="V397" s="1"/>
  <c r="V398" a="1"/>
  <c r="V398" s="1"/>
  <c r="V399" a="1"/>
  <c r="V399" s="1"/>
  <c r="V400" a="1"/>
  <c r="V400" s="1"/>
  <c r="V401" a="1"/>
  <c r="V401" s="1"/>
  <c r="V402" a="1"/>
  <c r="V402" s="1"/>
  <c r="V403" a="1"/>
  <c r="V403" s="1"/>
  <c r="V404" a="1"/>
  <c r="V404" s="1"/>
  <c r="V405" a="1"/>
  <c r="V405" s="1"/>
  <c r="V406" a="1"/>
  <c r="V406" s="1"/>
  <c r="V407" a="1"/>
  <c r="V407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7" a="1"/>
  <c r="V187" s="1"/>
  <c r="V188" a="1"/>
  <c r="V188" s="1"/>
  <c r="V189" a="1"/>
  <c r="V189" s="1"/>
  <c r="V190" a="1"/>
  <c r="V190" s="1"/>
  <c r="V191" a="1"/>
  <c r="V191" s="1"/>
  <c r="V192" a="1"/>
  <c r="V192" s="1"/>
  <c r="V193" a="1"/>
  <c r="V193" s="1"/>
  <c r="V195" a="1"/>
  <c r="V195" s="1"/>
  <c r="V196" a="1"/>
  <c r="V196" s="1"/>
  <c r="V197" a="1"/>
  <c r="V197" s="1"/>
  <c r="V198" a="1"/>
  <c r="V198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408" l="1"/>
  <c r="I403" l="1"/>
  <c r="I350"/>
  <c r="I283"/>
  <c r="I256"/>
  <c r="I245"/>
  <c r="I194"/>
  <c r="I169"/>
  <c r="I141"/>
  <c r="I74"/>
  <c r="I61"/>
  <c r="I35"/>
  <c r="X243" i="527"/>
  <c r="K418"/>
  <c r="G417"/>
  <c r="G416"/>
  <c r="K209"/>
  <c r="G208"/>
  <c r="G207"/>
  <c r="W413"/>
  <c r="Y413"/>
  <c r="W414"/>
  <c r="Y414"/>
  <c r="W415"/>
  <c r="Y415"/>
  <c r="W416"/>
  <c r="Y416"/>
  <c r="W417"/>
  <c r="Y417"/>
  <c r="W418"/>
  <c r="Y418"/>
  <c r="W419"/>
  <c r="Y419"/>
  <c r="Y412"/>
  <c r="W412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1" a="1"/>
  <c r="V271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U210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I378" l="1"/>
  <c r="I350"/>
  <c r="I321"/>
  <c r="I270"/>
  <c r="I244"/>
  <c r="I243"/>
  <c r="I141"/>
  <c r="I112"/>
  <c r="I105"/>
  <c r="I62"/>
  <c r="I34"/>
  <c r="I31"/>
  <c r="W413" i="525"/>
  <c r="Y413"/>
  <c r="W414"/>
  <c r="Y414"/>
  <c r="W415"/>
  <c r="Y415"/>
  <c r="W416"/>
  <c r="Y416"/>
  <c r="W417"/>
  <c r="Y417"/>
  <c r="W418"/>
  <c r="Y418"/>
  <c r="W419"/>
  <c r="Y419"/>
  <c r="Y412"/>
  <c r="W412"/>
  <c r="W204" i="524"/>
  <c r="Y204"/>
  <c r="W205"/>
  <c r="Y205"/>
  <c r="W206"/>
  <c r="Y206"/>
  <c r="W207"/>
  <c r="Y207"/>
  <c r="W208"/>
  <c r="Y208"/>
  <c r="W209"/>
  <c r="Y209"/>
  <c r="W210"/>
  <c r="Y210"/>
  <c r="W203"/>
  <c r="Y203"/>
  <c r="X247" i="525" l="1"/>
  <c r="W111" i="524"/>
  <c r="X111"/>
  <c r="X63"/>
  <c r="K418" i="525"/>
  <c r="G417"/>
  <c r="G416"/>
  <c r="K209"/>
  <c r="G208"/>
  <c r="G207"/>
  <c r="K418" i="524"/>
  <c r="G417"/>
  <c r="G416"/>
  <c r="K209"/>
  <c r="G208"/>
  <c r="G207"/>
  <c r="K207"/>
  <c r="I207"/>
  <c r="V241" i="525" l="1" a="1"/>
  <c r="V241" s="1"/>
  <c r="V242" a="1"/>
  <c r="V242" s="1"/>
  <c r="V243" a="1"/>
  <c r="V243" s="1"/>
  <c r="V244" a="1"/>
  <c r="V244" s="1"/>
  <c r="V245" a="1"/>
  <c r="V245" s="1"/>
  <c r="V246" a="1"/>
  <c r="V246" s="1"/>
  <c r="V247" a="1"/>
  <c r="V247" s="1"/>
  <c r="V248" a="1"/>
  <c r="V248" s="1"/>
  <c r="V249" a="1"/>
  <c r="V249" s="1"/>
  <c r="V250" a="1"/>
  <c r="V250" s="1"/>
  <c r="V251" a="1"/>
  <c r="V251" s="1"/>
  <c r="V252" a="1"/>
  <c r="V252" s="1"/>
  <c r="V253" a="1"/>
  <c r="V253" s="1"/>
  <c r="V254" a="1"/>
  <c r="V254" s="1"/>
  <c r="V255" a="1"/>
  <c r="V255" s="1"/>
  <c r="V256" a="1"/>
  <c r="V256" s="1"/>
  <c r="V257" a="1"/>
  <c r="V257" s="1"/>
  <c r="V258" a="1"/>
  <c r="V258" s="1"/>
  <c r="V259" a="1"/>
  <c r="V259" s="1"/>
  <c r="V260" a="1"/>
  <c r="V260" s="1"/>
  <c r="V261" a="1"/>
  <c r="V261" s="1"/>
  <c r="V262" a="1"/>
  <c r="V262" s="1"/>
  <c r="V263" a="1"/>
  <c r="V263" s="1"/>
  <c r="V264" a="1"/>
  <c r="V264" s="1"/>
  <c r="V265" a="1"/>
  <c r="V265" s="1"/>
  <c r="V266" a="1"/>
  <c r="V266" s="1"/>
  <c r="V267" a="1"/>
  <c r="V267" s="1"/>
  <c r="V268" a="1"/>
  <c r="V268" s="1"/>
  <c r="V269" a="1"/>
  <c r="V269" s="1"/>
  <c r="V270" a="1"/>
  <c r="V270" s="1"/>
  <c r="V272" a="1"/>
  <c r="V272" s="1"/>
  <c r="V273" a="1"/>
  <c r="V273" s="1"/>
  <c r="V274" a="1"/>
  <c r="V274" s="1"/>
  <c r="V275" a="1"/>
  <c r="V275" s="1"/>
  <c r="V276" a="1"/>
  <c r="V276" s="1"/>
  <c r="V277" a="1"/>
  <c r="V277" s="1"/>
  <c r="V278" a="1"/>
  <c r="V278" s="1"/>
  <c r="V279" a="1"/>
  <c r="V279" s="1"/>
  <c r="V280" a="1"/>
  <c r="V280" s="1"/>
  <c r="V281" a="1"/>
  <c r="V281" s="1"/>
  <c r="V282" a="1"/>
  <c r="V282" s="1"/>
  <c r="V283" a="1"/>
  <c r="V283" s="1"/>
  <c r="V284" a="1"/>
  <c r="V284" s="1"/>
  <c r="V285" a="1"/>
  <c r="V285" s="1"/>
  <c r="V286" a="1"/>
  <c r="V286" s="1"/>
  <c r="V287" a="1"/>
  <c r="V287" s="1"/>
  <c r="V288" a="1"/>
  <c r="V288" s="1"/>
  <c r="V289" a="1"/>
  <c r="V289" s="1"/>
  <c r="V290" a="1"/>
  <c r="V290" s="1"/>
  <c r="V291" a="1"/>
  <c r="V291" s="1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5" a="1"/>
  <c r="V315" s="1"/>
  <c r="V316" a="1"/>
  <c r="V316" s="1"/>
  <c r="V317" a="1"/>
  <c r="V317" s="1"/>
  <c r="V318" a="1"/>
  <c r="V318" s="1"/>
  <c r="V319" a="1"/>
  <c r="V319" s="1"/>
  <c r="V320" a="1"/>
  <c r="V320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5" a="1"/>
  <c r="V105" s="1"/>
  <c r="V106" a="1"/>
  <c r="V106" s="1"/>
  <c r="V107" a="1"/>
  <c r="V107" s="1"/>
  <c r="V108" a="1"/>
  <c r="V108" s="1"/>
  <c r="V109" a="1"/>
  <c r="V109" s="1"/>
  <c r="V110" a="1"/>
  <c r="V110" s="1"/>
  <c r="V111" a="1"/>
  <c r="V111" s="1"/>
  <c r="W413" i="524"/>
  <c r="W414"/>
  <c r="W415"/>
  <c r="W416"/>
  <c r="W417"/>
  <c r="W418"/>
  <c r="W419"/>
  <c r="W412"/>
  <c r="Y413"/>
  <c r="Y414"/>
  <c r="Y415"/>
  <c r="Y416"/>
  <c r="Y417"/>
  <c r="Y418"/>
  <c r="Y419"/>
  <c r="Y412"/>
  <c r="V292" a="1"/>
  <c r="V292" s="1"/>
  <c r="V293" a="1"/>
  <c r="V293" s="1"/>
  <c r="V294" a="1"/>
  <c r="V294" s="1"/>
  <c r="V295" a="1"/>
  <c r="V295" s="1"/>
  <c r="V296" a="1"/>
  <c r="V296" s="1"/>
  <c r="V297" a="1"/>
  <c r="V297" s="1"/>
  <c r="V298" a="1"/>
  <c r="V298" s="1"/>
  <c r="V299" a="1"/>
  <c r="V299" s="1"/>
  <c r="V300" a="1"/>
  <c r="V300" s="1"/>
  <c r="V301" a="1"/>
  <c r="V301" s="1"/>
  <c r="V302" a="1"/>
  <c r="V302" s="1"/>
  <c r="V303" a="1"/>
  <c r="V303" s="1"/>
  <c r="V304" a="1"/>
  <c r="V304" s="1"/>
  <c r="V305" a="1"/>
  <c r="V305" s="1"/>
  <c r="V306" a="1"/>
  <c r="V306" s="1"/>
  <c r="V307" a="1"/>
  <c r="V307" s="1"/>
  <c r="V308" a="1"/>
  <c r="V308" s="1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7" a="1"/>
  <c r="V317" s="1"/>
  <c r="V318" a="1"/>
  <c r="V318" s="1"/>
  <c r="V319" a="1"/>
  <c r="V319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I350" i="525" l="1"/>
  <c r="I321"/>
  <c r="I320"/>
  <c r="I314"/>
  <c r="I313"/>
  <c r="I271"/>
  <c r="I240"/>
  <c r="I239"/>
  <c r="I141"/>
  <c r="I137"/>
  <c r="I111"/>
  <c r="I104"/>
  <c r="I63"/>
  <c r="I62"/>
  <c r="I32"/>
  <c r="I30"/>
  <c r="I347" i="524"/>
  <c r="H408" a="1"/>
  <c r="H408" s="1"/>
  <c r="I346"/>
  <c r="I320"/>
  <c r="I291"/>
  <c r="I272"/>
  <c r="I241"/>
  <c r="I223"/>
  <c r="I138"/>
  <c r="K138"/>
  <c r="I111"/>
  <c r="I82"/>
  <c r="I63"/>
  <c r="I14"/>
  <c r="G208" i="523"/>
  <c r="G207" l="1"/>
  <c r="V15" i="521" a="1"/>
  <c r="V15" s="1"/>
  <c r="V9" a="1"/>
  <c r="V9" s="1"/>
  <c r="V224" a="1"/>
  <c r="V224" s="1"/>
  <c r="V223" a="1"/>
  <c r="V223" s="1"/>
  <c r="K418"/>
  <c r="G208" i="520"/>
  <c r="G416" i="521"/>
  <c r="K209"/>
  <c r="G207"/>
  <c r="I268" l="1"/>
  <c r="I59" l="1"/>
  <c r="I15"/>
  <c r="I9"/>
  <c r="X311" i="520"/>
  <c r="X268"/>
  <c r="X218"/>
  <c r="K418"/>
  <c r="G416"/>
  <c r="K209"/>
  <c r="G207"/>
  <c r="V221" a="1"/>
  <c r="V221" s="1"/>
  <c r="V222" a="1"/>
  <c r="V222" s="1"/>
  <c r="V223" a="1"/>
  <c r="V223" s="1"/>
  <c r="V225" a="1"/>
  <c r="V225" s="1"/>
  <c r="V226" a="1"/>
  <c r="V226" s="1"/>
  <c r="V227" a="1"/>
  <c r="V227" s="1"/>
  <c r="V228" a="1"/>
  <c r="V228" s="1"/>
  <c r="V229" a="1"/>
  <c r="V229" s="1"/>
  <c r="V230" a="1"/>
  <c r="V230" s="1"/>
  <c r="V231" a="1"/>
  <c r="V231" s="1"/>
  <c r="V232" a="1"/>
  <c r="V232" s="1"/>
  <c r="V233" a="1"/>
  <c r="V233" s="1"/>
  <c r="V234" a="1"/>
  <c r="V234" s="1"/>
  <c r="V235" a="1"/>
  <c r="V235" s="1"/>
  <c r="V236" a="1"/>
  <c r="V236" s="1"/>
  <c r="V237" a="1"/>
  <c r="V237" s="1"/>
  <c r="V238" a="1"/>
  <c r="V238" s="1"/>
  <c r="V239" a="1"/>
  <c r="V239" s="1"/>
  <c r="V240" a="1"/>
  <c r="V240" s="1"/>
  <c r="V241" a="1"/>
  <c r="V241" s="1"/>
  <c r="V242" a="1"/>
  <c r="V242" s="1"/>
  <c r="V243" a="1"/>
  <c r="V243" s="1"/>
  <c r="V244" a="1"/>
  <c r="V244" s="1"/>
  <c r="V245" a="1"/>
  <c r="V245" s="1"/>
  <c r="U209"/>
  <c r="I100" l="1"/>
  <c r="I408" a="1"/>
  <c r="I408" s="1"/>
  <c r="I268"/>
  <c r="I246"/>
  <c r="I224"/>
  <c r="I220"/>
  <c r="I218"/>
  <c r="I59"/>
  <c r="I58"/>
  <c r="I37"/>
  <c r="I11"/>
  <c r="S413" i="486"/>
  <c r="U413"/>
  <c r="S414"/>
  <c r="U414"/>
  <c r="S415"/>
  <c r="U415"/>
  <c r="S416"/>
  <c r="U416"/>
  <c r="S417"/>
  <c r="U417"/>
  <c r="S418"/>
  <c r="U418"/>
  <c r="U412"/>
  <c r="S412"/>
  <c r="K419"/>
  <c r="K418"/>
  <c r="G416"/>
  <c r="I416"/>
  <c r="I415"/>
  <c r="G415"/>
  <c r="E412"/>
  <c r="G412"/>
  <c r="E413"/>
  <c r="G413"/>
  <c r="G411"/>
  <c r="E411"/>
  <c r="W216"/>
  <c r="X216"/>
  <c r="Y216"/>
  <c r="Z216"/>
  <c r="AA216"/>
  <c r="AB216"/>
  <c r="AC216"/>
  <c r="W217"/>
  <c r="X217"/>
  <c r="Y217"/>
  <c r="Z217"/>
  <c r="AA217"/>
  <c r="AB217"/>
  <c r="AC217"/>
  <c r="W218"/>
  <c r="X218"/>
  <c r="Y218"/>
  <c r="Z218"/>
  <c r="AA218"/>
  <c r="AB218"/>
  <c r="AC218"/>
  <c r="W219"/>
  <c r="X219"/>
  <c r="Y219"/>
  <c r="Z219"/>
  <c r="AA219"/>
  <c r="AB219"/>
  <c r="AC219"/>
  <c r="W220"/>
  <c r="X220"/>
  <c r="Y220"/>
  <c r="Z220"/>
  <c r="AA220"/>
  <c r="AB220"/>
  <c r="AC220"/>
  <c r="W221"/>
  <c r="X221"/>
  <c r="Y221"/>
  <c r="Z221"/>
  <c r="AA221"/>
  <c r="AB221"/>
  <c r="AC221"/>
  <c r="W222"/>
  <c r="X222"/>
  <c r="Y222"/>
  <c r="Z222"/>
  <c r="AA222"/>
  <c r="AB222"/>
  <c r="AC222"/>
  <c r="W223"/>
  <c r="X223"/>
  <c r="Y223"/>
  <c r="Z223"/>
  <c r="AA223"/>
  <c r="AB223"/>
  <c r="AC223"/>
  <c r="W224"/>
  <c r="X224"/>
  <c r="Y224"/>
  <c r="Z224"/>
  <c r="AA224"/>
  <c r="AB224"/>
  <c r="AC224"/>
  <c r="W225"/>
  <c r="X225"/>
  <c r="Y225"/>
  <c r="Z225"/>
  <c r="AA225"/>
  <c r="AB225"/>
  <c r="AC225"/>
  <c r="W226"/>
  <c r="X226"/>
  <c r="Y226"/>
  <c r="Z226"/>
  <c r="AA226"/>
  <c r="AB226"/>
  <c r="AC226"/>
  <c r="W227"/>
  <c r="X227"/>
  <c r="Y227"/>
  <c r="Z227"/>
  <c r="AA227"/>
  <c r="AB227"/>
  <c r="AC227"/>
  <c r="W228"/>
  <c r="X228"/>
  <c r="Y228"/>
  <c r="Z228"/>
  <c r="AA228"/>
  <c r="AB228"/>
  <c r="AC228"/>
  <c r="W229"/>
  <c r="X229"/>
  <c r="Y229"/>
  <c r="Z229"/>
  <c r="AA229"/>
  <c r="AB229"/>
  <c r="AC229"/>
  <c r="W230"/>
  <c r="X230"/>
  <c r="Y230"/>
  <c r="Z230"/>
  <c r="AA230"/>
  <c r="AB230"/>
  <c r="AC230"/>
  <c r="W231"/>
  <c r="X231"/>
  <c r="Y231"/>
  <c r="Z231"/>
  <c r="AA231"/>
  <c r="AB231"/>
  <c r="AC231"/>
  <c r="W232"/>
  <c r="X232"/>
  <c r="Y232"/>
  <c r="Z232"/>
  <c r="AA232"/>
  <c r="AB232"/>
  <c r="AC232"/>
  <c r="W233"/>
  <c r="X233"/>
  <c r="Y233"/>
  <c r="Z233"/>
  <c r="AA233"/>
  <c r="AB233"/>
  <c r="AC233"/>
  <c r="W234"/>
  <c r="X234"/>
  <c r="Y234"/>
  <c r="Z234"/>
  <c r="AA234"/>
  <c r="AB234"/>
  <c r="AC234"/>
  <c r="W235"/>
  <c r="X235"/>
  <c r="Y235"/>
  <c r="Z235"/>
  <c r="AA235"/>
  <c r="AB235"/>
  <c r="AC235"/>
  <c r="W236"/>
  <c r="X236"/>
  <c r="Y236"/>
  <c r="Z236"/>
  <c r="AA236"/>
  <c r="AB236"/>
  <c r="AC236"/>
  <c r="W237"/>
  <c r="X237"/>
  <c r="Y237"/>
  <c r="Z237"/>
  <c r="AA237"/>
  <c r="AB237"/>
  <c r="AC237"/>
  <c r="W238"/>
  <c r="X238"/>
  <c r="Y238"/>
  <c r="Z238"/>
  <c r="AA238"/>
  <c r="AB238"/>
  <c r="AC238"/>
  <c r="W239"/>
  <c r="X239"/>
  <c r="Y239"/>
  <c r="Z239"/>
  <c r="AA239"/>
  <c r="AB239"/>
  <c r="AC239"/>
  <c r="W240"/>
  <c r="X240"/>
  <c r="Y240"/>
  <c r="Z240"/>
  <c r="AA240"/>
  <c r="AB240"/>
  <c r="AC240"/>
  <c r="W241"/>
  <c r="X241"/>
  <c r="Y241"/>
  <c r="Z241"/>
  <c r="AA241"/>
  <c r="AB241"/>
  <c r="AC241"/>
  <c r="W242"/>
  <c r="X242"/>
  <c r="Y242"/>
  <c r="Z242"/>
  <c r="AA242"/>
  <c r="AB242"/>
  <c r="AC242"/>
  <c r="W243"/>
  <c r="X243"/>
  <c r="Y243"/>
  <c r="Z243"/>
  <c r="AA243"/>
  <c r="AB243"/>
  <c r="AC243"/>
  <c r="W244"/>
  <c r="X244"/>
  <c r="Y244"/>
  <c r="Z244"/>
  <c r="AA244"/>
  <c r="AB244"/>
  <c r="AC244"/>
  <c r="W245"/>
  <c r="X245"/>
  <c r="Y245"/>
  <c r="Z245"/>
  <c r="AA245"/>
  <c r="AB245"/>
  <c r="AC245"/>
  <c r="W246"/>
  <c r="X246"/>
  <c r="Y246"/>
  <c r="Z246"/>
  <c r="AA246"/>
  <c r="AB246"/>
  <c r="AC246"/>
  <c r="W247"/>
  <c r="X247"/>
  <c r="Y247"/>
  <c r="Z247"/>
  <c r="AA247"/>
  <c r="AB247"/>
  <c r="AC247"/>
  <c r="W248"/>
  <c r="X248"/>
  <c r="Y248"/>
  <c r="Z248"/>
  <c r="AA248"/>
  <c r="AB248"/>
  <c r="AC248"/>
  <c r="W249"/>
  <c r="X249"/>
  <c r="Y249"/>
  <c r="Z249"/>
  <c r="AA249"/>
  <c r="AB249"/>
  <c r="AC249"/>
  <c r="W250"/>
  <c r="X250"/>
  <c r="Y250"/>
  <c r="Z250"/>
  <c r="AA250"/>
  <c r="AB250"/>
  <c r="AC250"/>
  <c r="W251"/>
  <c r="X251"/>
  <c r="Y251"/>
  <c r="Z251"/>
  <c r="AA251"/>
  <c r="AB251"/>
  <c r="AC251"/>
  <c r="W252"/>
  <c r="X252"/>
  <c r="Y252"/>
  <c r="Z252"/>
  <c r="AA252"/>
  <c r="AB252"/>
  <c r="AC252"/>
  <c r="W253"/>
  <c r="X253"/>
  <c r="Y253"/>
  <c r="Z253"/>
  <c r="AA253"/>
  <c r="AB253"/>
  <c r="AC253"/>
  <c r="W254"/>
  <c r="X254"/>
  <c r="Y254"/>
  <c r="Z254"/>
  <c r="AA254"/>
  <c r="AB254"/>
  <c r="AC254"/>
  <c r="W255"/>
  <c r="X255"/>
  <c r="Y255"/>
  <c r="Z255"/>
  <c r="AA255"/>
  <c r="AB255"/>
  <c r="AC255"/>
  <c r="W256"/>
  <c r="X256"/>
  <c r="Y256"/>
  <c r="Z256"/>
  <c r="AA256"/>
  <c r="AB256"/>
  <c r="AC256"/>
  <c r="W257"/>
  <c r="X257"/>
  <c r="Y257"/>
  <c r="Z257"/>
  <c r="AA257"/>
  <c r="AB257"/>
  <c r="AC257"/>
  <c r="W258"/>
  <c r="X258"/>
  <c r="Y258"/>
  <c r="Z258"/>
  <c r="AA258"/>
  <c r="AB258"/>
  <c r="AC258"/>
  <c r="W259"/>
  <c r="X259"/>
  <c r="Y259"/>
  <c r="Z259"/>
  <c r="AA259"/>
  <c r="AB259"/>
  <c r="AC259"/>
  <c r="W260"/>
  <c r="X260"/>
  <c r="Y260"/>
  <c r="Z260"/>
  <c r="AA260"/>
  <c r="AB260"/>
  <c r="AC260"/>
  <c r="W261"/>
  <c r="X261"/>
  <c r="Y261"/>
  <c r="Z261"/>
  <c r="AA261"/>
  <c r="AB261"/>
  <c r="AC261"/>
  <c r="W262"/>
  <c r="X262"/>
  <c r="Y262"/>
  <c r="Z262"/>
  <c r="AA262"/>
  <c r="AB262"/>
  <c r="AC262"/>
  <c r="W263"/>
  <c r="X263"/>
  <c r="Y263"/>
  <c r="Z263"/>
  <c r="AA263"/>
  <c r="AB263"/>
  <c r="AC263"/>
  <c r="W264"/>
  <c r="X264"/>
  <c r="Y264"/>
  <c r="Z264"/>
  <c r="AA264"/>
  <c r="AB264"/>
  <c r="AC264"/>
  <c r="W265"/>
  <c r="X265"/>
  <c r="Y265"/>
  <c r="Z265"/>
  <c r="AA265"/>
  <c r="AB265"/>
  <c r="AC265"/>
  <c r="W266"/>
  <c r="X266"/>
  <c r="Y266"/>
  <c r="Z266"/>
  <c r="AA266"/>
  <c r="AB266"/>
  <c r="AC266"/>
  <c r="W267"/>
  <c r="X267"/>
  <c r="Y267"/>
  <c r="Z267"/>
  <c r="AA267"/>
  <c r="AB267"/>
  <c r="AC267"/>
  <c r="W268"/>
  <c r="X268"/>
  <c r="Y268"/>
  <c r="Z268"/>
  <c r="AA268"/>
  <c r="AB268"/>
  <c r="AC268"/>
  <c r="W269"/>
  <c r="X269"/>
  <c r="Y269"/>
  <c r="Z269"/>
  <c r="AA269"/>
  <c r="AB269"/>
  <c r="AC269"/>
  <c r="W270"/>
  <c r="X270"/>
  <c r="Y270"/>
  <c r="Z270"/>
  <c r="AA270"/>
  <c r="AB270"/>
  <c r="AC270"/>
  <c r="W271"/>
  <c r="X271"/>
  <c r="Y271"/>
  <c r="Z271"/>
  <c r="AA271"/>
  <c r="AB271"/>
  <c r="AC271"/>
  <c r="W272"/>
  <c r="X272"/>
  <c r="Y272"/>
  <c r="Z272"/>
  <c r="AA272"/>
  <c r="AB272"/>
  <c r="AC272"/>
  <c r="W273"/>
  <c r="X273"/>
  <c r="Y273"/>
  <c r="Z273"/>
  <c r="AA273"/>
  <c r="AB273"/>
  <c r="AC273"/>
  <c r="W274"/>
  <c r="X274"/>
  <c r="Y274"/>
  <c r="Z274"/>
  <c r="AA274"/>
  <c r="AB274"/>
  <c r="AC274"/>
  <c r="W275"/>
  <c r="X275"/>
  <c r="Y275"/>
  <c r="Z275"/>
  <c r="AA275"/>
  <c r="AB275"/>
  <c r="AC275"/>
  <c r="W276"/>
  <c r="X276"/>
  <c r="Y276"/>
  <c r="Z276"/>
  <c r="AA276"/>
  <c r="AB276"/>
  <c r="AC276"/>
  <c r="W277"/>
  <c r="X277"/>
  <c r="Y277"/>
  <c r="Z277"/>
  <c r="AA277"/>
  <c r="AB277"/>
  <c r="AC277"/>
  <c r="W278"/>
  <c r="X278"/>
  <c r="Y278"/>
  <c r="Z278"/>
  <c r="AA278"/>
  <c r="AB278"/>
  <c r="AC278"/>
  <c r="W279"/>
  <c r="X279"/>
  <c r="Y279"/>
  <c r="Z279"/>
  <c r="AA279"/>
  <c r="AB279"/>
  <c r="AC279"/>
  <c r="W280"/>
  <c r="X280"/>
  <c r="Y280"/>
  <c r="Z280"/>
  <c r="AA280"/>
  <c r="AB280"/>
  <c r="AC280"/>
  <c r="W281"/>
  <c r="X281"/>
  <c r="Y281"/>
  <c r="Z281"/>
  <c r="AA281"/>
  <c r="AB281"/>
  <c r="AC281"/>
  <c r="W282"/>
  <c r="X282"/>
  <c r="Y282"/>
  <c r="Z282"/>
  <c r="AA282"/>
  <c r="AB282"/>
  <c r="AC282"/>
  <c r="W283"/>
  <c r="X283"/>
  <c r="Y283"/>
  <c r="Z283"/>
  <c r="AA283"/>
  <c r="AB283"/>
  <c r="AC283"/>
  <c r="W284"/>
  <c r="X284"/>
  <c r="Y284"/>
  <c r="Z284"/>
  <c r="AA284"/>
  <c r="AB284"/>
  <c r="AC284"/>
  <c r="W285"/>
  <c r="X285"/>
  <c r="Y285"/>
  <c r="Z285"/>
  <c r="AA285"/>
  <c r="AB285"/>
  <c r="AC285"/>
  <c r="W286"/>
  <c r="X286"/>
  <c r="Y286"/>
  <c r="Z286"/>
  <c r="AA286"/>
  <c r="AB286"/>
  <c r="AC286"/>
  <c r="W287"/>
  <c r="X287"/>
  <c r="Y287"/>
  <c r="Z287"/>
  <c r="AA287"/>
  <c r="AB287"/>
  <c r="AC287"/>
  <c r="W288"/>
  <c r="X288"/>
  <c r="Y288"/>
  <c r="Z288"/>
  <c r="AA288"/>
  <c r="AB288"/>
  <c r="AC288"/>
  <c r="W289"/>
  <c r="X289"/>
  <c r="Y289"/>
  <c r="Z289"/>
  <c r="AA289"/>
  <c r="AB289"/>
  <c r="AC289"/>
  <c r="W290"/>
  <c r="X290"/>
  <c r="Y290"/>
  <c r="Z290"/>
  <c r="AA290"/>
  <c r="AB290"/>
  <c r="AC290"/>
  <c r="W291"/>
  <c r="X291"/>
  <c r="Y291"/>
  <c r="Z291"/>
  <c r="AA291"/>
  <c r="AB291"/>
  <c r="AC291"/>
  <c r="W292"/>
  <c r="X292"/>
  <c r="Y292"/>
  <c r="Z292"/>
  <c r="AA292"/>
  <c r="AB292"/>
  <c r="AC292"/>
  <c r="W293"/>
  <c r="X293"/>
  <c r="Y293"/>
  <c r="Z293"/>
  <c r="AA293"/>
  <c r="AB293"/>
  <c r="AC293"/>
  <c r="W294"/>
  <c r="X294"/>
  <c r="Y294"/>
  <c r="Z294"/>
  <c r="AA294"/>
  <c r="AB294"/>
  <c r="AC294"/>
  <c r="W295"/>
  <c r="X295"/>
  <c r="Y295"/>
  <c r="Z295"/>
  <c r="AA295"/>
  <c r="AB295"/>
  <c r="AC295"/>
  <c r="W296"/>
  <c r="X296"/>
  <c r="Y296"/>
  <c r="Z296"/>
  <c r="AA296"/>
  <c r="AB296"/>
  <c r="AC296"/>
  <c r="W297"/>
  <c r="X297"/>
  <c r="Y297"/>
  <c r="Z297"/>
  <c r="AA297"/>
  <c r="AB297"/>
  <c r="AC297"/>
  <c r="W298"/>
  <c r="X298"/>
  <c r="Y298"/>
  <c r="Z298"/>
  <c r="AA298"/>
  <c r="AB298"/>
  <c r="AC298"/>
  <c r="W299"/>
  <c r="X299"/>
  <c r="Y299"/>
  <c r="Z299"/>
  <c r="AA299"/>
  <c r="AB299"/>
  <c r="AC299"/>
  <c r="W300"/>
  <c r="X300"/>
  <c r="Y300"/>
  <c r="Z300"/>
  <c r="AA300"/>
  <c r="AB300"/>
  <c r="AC300"/>
  <c r="W301"/>
  <c r="X301"/>
  <c r="Y301"/>
  <c r="Z301"/>
  <c r="AA301"/>
  <c r="AB301"/>
  <c r="AC301"/>
  <c r="W302"/>
  <c r="X302"/>
  <c r="Y302"/>
  <c r="Z302"/>
  <c r="AA302"/>
  <c r="AB302"/>
  <c r="AC302"/>
  <c r="W303"/>
  <c r="X303"/>
  <c r="Y303"/>
  <c r="Z303"/>
  <c r="AA303"/>
  <c r="AB303"/>
  <c r="AC303"/>
  <c r="W304"/>
  <c r="X304"/>
  <c r="Y304"/>
  <c r="Z304"/>
  <c r="AA304"/>
  <c r="AB304"/>
  <c r="AC304"/>
  <c r="W305"/>
  <c r="X305"/>
  <c r="Y305"/>
  <c r="Z305"/>
  <c r="AA305"/>
  <c r="AB305"/>
  <c r="AC305"/>
  <c r="W306"/>
  <c r="X306"/>
  <c r="Y306"/>
  <c r="Z306"/>
  <c r="AA306"/>
  <c r="AB306"/>
  <c r="AC306"/>
  <c r="W307"/>
  <c r="X307"/>
  <c r="Y307"/>
  <c r="Z307"/>
  <c r="AA307"/>
  <c r="AB307"/>
  <c r="AC307"/>
  <c r="W308"/>
  <c r="X308"/>
  <c r="Y308"/>
  <c r="Z308"/>
  <c r="AA308"/>
  <c r="AB308"/>
  <c r="AC308"/>
  <c r="W309"/>
  <c r="X309"/>
  <c r="Y309"/>
  <c r="Z309"/>
  <c r="AA309"/>
  <c r="AB309"/>
  <c r="AC309"/>
  <c r="W310"/>
  <c r="X310"/>
  <c r="Y310"/>
  <c r="Z310"/>
  <c r="AA310"/>
  <c r="AB310"/>
  <c r="AC310"/>
  <c r="W311"/>
  <c r="X311"/>
  <c r="Y311"/>
  <c r="Z311"/>
  <c r="AA311"/>
  <c r="AB311"/>
  <c r="AC311"/>
  <c r="W312"/>
  <c r="X312"/>
  <c r="Y312"/>
  <c r="Z312"/>
  <c r="AA312"/>
  <c r="AB312"/>
  <c r="AC312"/>
  <c r="W313"/>
  <c r="X313"/>
  <c r="Y313"/>
  <c r="Z313"/>
  <c r="AA313"/>
  <c r="AB313"/>
  <c r="AC313"/>
  <c r="W314"/>
  <c r="X314"/>
  <c r="Y314"/>
  <c r="Z314"/>
  <c r="AA314"/>
  <c r="AB314"/>
  <c r="AC314"/>
  <c r="W315"/>
  <c r="X315"/>
  <c r="Y315"/>
  <c r="Z315"/>
  <c r="AA315"/>
  <c r="AB315"/>
  <c r="AC315"/>
  <c r="W316"/>
  <c r="X316"/>
  <c r="Y316"/>
  <c r="Z316"/>
  <c r="AA316"/>
  <c r="AB316"/>
  <c r="AC316"/>
  <c r="W317"/>
  <c r="X317"/>
  <c r="Y317"/>
  <c r="Z317"/>
  <c r="AA317"/>
  <c r="AB317"/>
  <c r="AC317"/>
  <c r="W318"/>
  <c r="X318"/>
  <c r="Y318"/>
  <c r="Z318"/>
  <c r="AA318"/>
  <c r="AB318"/>
  <c r="AC318"/>
  <c r="W319"/>
  <c r="X319"/>
  <c r="Y319"/>
  <c r="Z319"/>
  <c r="AA319"/>
  <c r="AB319"/>
  <c r="AC319"/>
  <c r="W320"/>
  <c r="X320"/>
  <c r="Y320"/>
  <c r="Z320"/>
  <c r="AA320"/>
  <c r="AB320"/>
  <c r="AC320"/>
  <c r="W321"/>
  <c r="X321"/>
  <c r="Y321"/>
  <c r="Z321"/>
  <c r="AA321"/>
  <c r="AB321"/>
  <c r="AC321"/>
  <c r="W322"/>
  <c r="X322"/>
  <c r="Y322"/>
  <c r="Z322"/>
  <c r="AA322"/>
  <c r="AB322"/>
  <c r="AC322"/>
  <c r="W323"/>
  <c r="X323"/>
  <c r="Y323"/>
  <c r="Z323"/>
  <c r="AA323"/>
  <c r="AB323"/>
  <c r="AC323"/>
  <c r="W324"/>
  <c r="X324"/>
  <c r="Y324"/>
  <c r="Z324"/>
  <c r="AA324"/>
  <c r="AB324"/>
  <c r="AC324"/>
  <c r="W325"/>
  <c r="X325"/>
  <c r="Y325"/>
  <c r="Z325"/>
  <c r="AA325"/>
  <c r="AB325"/>
  <c r="AC325"/>
  <c r="W326"/>
  <c r="X326"/>
  <c r="Y326"/>
  <c r="Z326"/>
  <c r="AA326"/>
  <c r="AB326"/>
  <c r="AC326"/>
  <c r="W327"/>
  <c r="X327"/>
  <c r="Y327"/>
  <c r="Z327"/>
  <c r="AA327"/>
  <c r="AB327"/>
  <c r="AC327"/>
  <c r="W328"/>
  <c r="X328"/>
  <c r="Y328"/>
  <c r="Z328"/>
  <c r="AA328"/>
  <c r="AB328"/>
  <c r="AC328"/>
  <c r="W329"/>
  <c r="X329"/>
  <c r="Y329"/>
  <c r="Z329"/>
  <c r="AA329"/>
  <c r="AB329"/>
  <c r="AC329"/>
  <c r="W330"/>
  <c r="X330"/>
  <c r="Y330"/>
  <c r="Z330"/>
  <c r="AA330"/>
  <c r="AB330"/>
  <c r="AC330"/>
  <c r="W331"/>
  <c r="X331"/>
  <c r="Y331"/>
  <c r="Z331"/>
  <c r="AA331"/>
  <c r="AB331"/>
  <c r="AC331"/>
  <c r="W332"/>
  <c r="X332"/>
  <c r="Y332"/>
  <c r="Z332"/>
  <c r="AA332"/>
  <c r="AB332"/>
  <c r="AC332"/>
  <c r="W333"/>
  <c r="X333"/>
  <c r="Y333"/>
  <c r="Z333"/>
  <c r="AA333"/>
  <c r="AB333"/>
  <c r="AC333"/>
  <c r="W334"/>
  <c r="X334"/>
  <c r="Y334"/>
  <c r="Z334"/>
  <c r="AA334"/>
  <c r="AB334"/>
  <c r="AC334"/>
  <c r="W335"/>
  <c r="X335"/>
  <c r="Y335"/>
  <c r="Z335"/>
  <c r="AA335"/>
  <c r="AB335"/>
  <c r="AC335"/>
  <c r="W336"/>
  <c r="X336"/>
  <c r="Y336"/>
  <c r="Z336"/>
  <c r="AA336"/>
  <c r="AB336"/>
  <c r="AC336"/>
  <c r="W337"/>
  <c r="X337"/>
  <c r="Y337"/>
  <c r="Z337"/>
  <c r="AA337"/>
  <c r="AB337"/>
  <c r="AC337"/>
  <c r="W338"/>
  <c r="X338"/>
  <c r="Y338"/>
  <c r="Z338"/>
  <c r="AA338"/>
  <c r="AB338"/>
  <c r="AC338"/>
  <c r="W339"/>
  <c r="X339"/>
  <c r="Y339"/>
  <c r="Z339"/>
  <c r="AA339"/>
  <c r="AB339"/>
  <c r="AC339"/>
  <c r="W340"/>
  <c r="X340"/>
  <c r="Y340"/>
  <c r="Z340"/>
  <c r="AA340"/>
  <c r="AB340"/>
  <c r="AC340"/>
  <c r="W341"/>
  <c r="X341"/>
  <c r="Y341"/>
  <c r="Z341"/>
  <c r="AA341"/>
  <c r="AB341"/>
  <c r="AC341"/>
  <c r="W342"/>
  <c r="X342"/>
  <c r="Y342"/>
  <c r="Z342"/>
  <c r="AA342"/>
  <c r="AB342"/>
  <c r="AC342"/>
  <c r="W343"/>
  <c r="X343"/>
  <c r="Y343"/>
  <c r="Z343"/>
  <c r="AA343"/>
  <c r="AB343"/>
  <c r="AC343"/>
  <c r="W344"/>
  <c r="X344"/>
  <c r="Y344"/>
  <c r="Z344"/>
  <c r="AA344"/>
  <c r="AB344"/>
  <c r="AC344"/>
  <c r="W345"/>
  <c r="X345"/>
  <c r="Y345"/>
  <c r="Z345"/>
  <c r="AA345"/>
  <c r="AB345"/>
  <c r="AC345"/>
  <c r="W346"/>
  <c r="X346"/>
  <c r="Y346"/>
  <c r="Z346"/>
  <c r="AA346"/>
  <c r="AB346"/>
  <c r="AC346"/>
  <c r="W347"/>
  <c r="X347"/>
  <c r="Y347"/>
  <c r="Z347"/>
  <c r="AA347"/>
  <c r="AB347"/>
  <c r="AC347"/>
  <c r="W348"/>
  <c r="X348"/>
  <c r="Y348"/>
  <c r="Z348"/>
  <c r="AA348"/>
  <c r="AB348"/>
  <c r="AC348"/>
  <c r="W349"/>
  <c r="X349"/>
  <c r="Y349"/>
  <c r="Z349"/>
  <c r="AA349"/>
  <c r="AB349"/>
  <c r="AC349"/>
  <c r="W350"/>
  <c r="X350"/>
  <c r="Y350"/>
  <c r="Z350"/>
  <c r="AA350"/>
  <c r="AB350"/>
  <c r="AC350"/>
  <c r="W351"/>
  <c r="X351"/>
  <c r="Y351"/>
  <c r="Z351"/>
  <c r="AA351"/>
  <c r="AB351"/>
  <c r="AC351"/>
  <c r="W352"/>
  <c r="X352"/>
  <c r="Y352"/>
  <c r="Z352"/>
  <c r="AA352"/>
  <c r="AB352"/>
  <c r="AC352"/>
  <c r="W353"/>
  <c r="X353"/>
  <c r="Y353"/>
  <c r="Z353"/>
  <c r="AA353"/>
  <c r="AB353"/>
  <c r="AC353"/>
  <c r="W354"/>
  <c r="X354"/>
  <c r="Y354"/>
  <c r="Z354"/>
  <c r="AA354"/>
  <c r="AB354"/>
  <c r="AC354"/>
  <c r="W355"/>
  <c r="X355"/>
  <c r="Y355"/>
  <c r="Z355"/>
  <c r="AA355"/>
  <c r="AB355"/>
  <c r="AC355"/>
  <c r="W356"/>
  <c r="X356"/>
  <c r="Y356"/>
  <c r="Z356"/>
  <c r="AA356"/>
  <c r="AB356"/>
  <c r="AC356"/>
  <c r="W357"/>
  <c r="X357"/>
  <c r="Y357"/>
  <c r="Z357"/>
  <c r="AA357"/>
  <c r="AB357"/>
  <c r="AC357"/>
  <c r="W358"/>
  <c r="X358"/>
  <c r="Y358"/>
  <c r="Z358"/>
  <c r="AA358"/>
  <c r="AB358"/>
  <c r="AC358"/>
  <c r="W359"/>
  <c r="X359"/>
  <c r="Y359"/>
  <c r="Z359"/>
  <c r="AA359"/>
  <c r="AB359"/>
  <c r="AC359"/>
  <c r="W360"/>
  <c r="X360"/>
  <c r="Y360"/>
  <c r="Z360"/>
  <c r="AA360"/>
  <c r="AB360"/>
  <c r="AC360"/>
  <c r="W361"/>
  <c r="X361"/>
  <c r="Y361"/>
  <c r="Z361"/>
  <c r="AA361"/>
  <c r="AB361"/>
  <c r="AC361"/>
  <c r="W362"/>
  <c r="X362"/>
  <c r="Y362"/>
  <c r="Z362"/>
  <c r="AA362"/>
  <c r="AB362"/>
  <c r="AC362"/>
  <c r="W363"/>
  <c r="X363"/>
  <c r="Y363"/>
  <c r="Z363"/>
  <c r="AA363"/>
  <c r="AB363"/>
  <c r="AC363"/>
  <c r="W364"/>
  <c r="X364"/>
  <c r="Y364"/>
  <c r="Z364"/>
  <c r="AA364"/>
  <c r="AB364"/>
  <c r="AC364"/>
  <c r="W365"/>
  <c r="X365"/>
  <c r="Y365"/>
  <c r="Z365"/>
  <c r="AA365"/>
  <c r="AB365"/>
  <c r="AC365"/>
  <c r="W366"/>
  <c r="X366"/>
  <c r="Y366"/>
  <c r="Z366"/>
  <c r="AA366"/>
  <c r="AB366"/>
  <c r="AC366"/>
  <c r="W367"/>
  <c r="X367"/>
  <c r="Y367"/>
  <c r="Z367"/>
  <c r="AA367"/>
  <c r="AB367"/>
  <c r="AC367"/>
  <c r="W368"/>
  <c r="X368"/>
  <c r="Y368"/>
  <c r="Z368"/>
  <c r="AA368"/>
  <c r="AB368"/>
  <c r="AC368"/>
  <c r="W369"/>
  <c r="X369"/>
  <c r="Y369"/>
  <c r="Z369"/>
  <c r="AA369"/>
  <c r="AB369"/>
  <c r="AC369"/>
  <c r="W370"/>
  <c r="X370"/>
  <c r="Y370"/>
  <c r="Z370"/>
  <c r="AA370"/>
  <c r="AB370"/>
  <c r="AC370"/>
  <c r="W371"/>
  <c r="X371"/>
  <c r="Y371"/>
  <c r="Z371"/>
  <c r="AA371"/>
  <c r="AB371"/>
  <c r="AC371"/>
  <c r="W372"/>
  <c r="X372"/>
  <c r="Y372"/>
  <c r="Z372"/>
  <c r="AA372"/>
  <c r="AB372"/>
  <c r="AC372"/>
  <c r="W373"/>
  <c r="X373"/>
  <c r="Y373"/>
  <c r="Z373"/>
  <c r="AA373"/>
  <c r="AB373"/>
  <c r="AC373"/>
  <c r="W374"/>
  <c r="X374"/>
  <c r="Y374"/>
  <c r="Z374"/>
  <c r="AA374"/>
  <c r="AB374"/>
  <c r="AC374"/>
  <c r="W375"/>
  <c r="X375"/>
  <c r="Y375"/>
  <c r="Z375"/>
  <c r="AA375"/>
  <c r="AB375"/>
  <c r="AC375"/>
  <c r="W376"/>
  <c r="X376"/>
  <c r="Y376"/>
  <c r="Z376"/>
  <c r="AA376"/>
  <c r="AB376"/>
  <c r="AC376"/>
  <c r="W377"/>
  <c r="X377"/>
  <c r="Y377"/>
  <c r="Z377"/>
  <c r="AA377"/>
  <c r="AB377"/>
  <c r="AC377"/>
  <c r="W378"/>
  <c r="X378"/>
  <c r="Y378"/>
  <c r="Z378"/>
  <c r="AA378"/>
  <c r="AB378"/>
  <c r="AC378"/>
  <c r="W379"/>
  <c r="X379"/>
  <c r="Y379"/>
  <c r="Z379"/>
  <c r="AA379"/>
  <c r="AB379"/>
  <c r="AC379"/>
  <c r="W380"/>
  <c r="X380"/>
  <c r="Y380"/>
  <c r="Z380"/>
  <c r="AA380"/>
  <c r="AB380"/>
  <c r="AC380"/>
  <c r="W381"/>
  <c r="X381"/>
  <c r="Y381"/>
  <c r="Z381"/>
  <c r="AA381"/>
  <c r="AB381"/>
  <c r="AC381"/>
  <c r="W382"/>
  <c r="X382"/>
  <c r="Y382"/>
  <c r="Z382"/>
  <c r="AA382"/>
  <c r="AB382"/>
  <c r="AC382"/>
  <c r="W383"/>
  <c r="X383"/>
  <c r="Y383"/>
  <c r="Z383"/>
  <c r="AA383"/>
  <c r="AB383"/>
  <c r="AC383"/>
  <c r="W384"/>
  <c r="X384"/>
  <c r="Y384"/>
  <c r="Z384"/>
  <c r="AA384"/>
  <c r="AB384"/>
  <c r="AC384"/>
  <c r="W385"/>
  <c r="X385"/>
  <c r="Y385"/>
  <c r="Z385"/>
  <c r="AA385"/>
  <c r="AB385"/>
  <c r="AC385"/>
  <c r="W386"/>
  <c r="X386"/>
  <c r="Y386"/>
  <c r="Z386"/>
  <c r="AA386"/>
  <c r="AB386"/>
  <c r="AC386"/>
  <c r="W387"/>
  <c r="X387"/>
  <c r="Y387"/>
  <c r="Z387"/>
  <c r="AA387"/>
  <c r="AB387"/>
  <c r="AC387"/>
  <c r="W388"/>
  <c r="X388"/>
  <c r="Y388"/>
  <c r="Z388"/>
  <c r="AA388"/>
  <c r="AB388"/>
  <c r="AC388"/>
  <c r="W389"/>
  <c r="X389"/>
  <c r="Y389"/>
  <c r="Z389"/>
  <c r="AA389"/>
  <c r="AB389"/>
  <c r="AC389"/>
  <c r="W390"/>
  <c r="X390"/>
  <c r="Y390"/>
  <c r="Z390"/>
  <c r="AA390"/>
  <c r="AB390"/>
  <c r="AC390"/>
  <c r="W391"/>
  <c r="X391"/>
  <c r="Y391"/>
  <c r="Z391"/>
  <c r="AA391"/>
  <c r="AB391"/>
  <c r="AC391"/>
  <c r="W392"/>
  <c r="X392"/>
  <c r="Y392"/>
  <c r="Z392"/>
  <c r="AA392"/>
  <c r="AB392"/>
  <c r="AC392"/>
  <c r="W393"/>
  <c r="X393"/>
  <c r="Y393"/>
  <c r="Z393"/>
  <c r="AA393"/>
  <c r="AB393"/>
  <c r="AC393"/>
  <c r="W394"/>
  <c r="X394"/>
  <c r="Y394"/>
  <c r="Z394"/>
  <c r="AA394"/>
  <c r="AB394"/>
  <c r="AC394"/>
  <c r="W395"/>
  <c r="X395"/>
  <c r="Y395"/>
  <c r="Z395"/>
  <c r="AA395"/>
  <c r="AB395"/>
  <c r="AC395"/>
  <c r="W396"/>
  <c r="X396"/>
  <c r="Y396"/>
  <c r="Z396"/>
  <c r="AA396"/>
  <c r="AB396"/>
  <c r="AC396"/>
  <c r="W397"/>
  <c r="X397"/>
  <c r="Y397"/>
  <c r="Z397"/>
  <c r="AA397"/>
  <c r="AB397"/>
  <c r="AC397"/>
  <c r="W398"/>
  <c r="X398"/>
  <c r="Y398"/>
  <c r="Z398"/>
  <c r="AA398"/>
  <c r="AB398"/>
  <c r="AC398"/>
  <c r="W399"/>
  <c r="X399"/>
  <c r="Y399"/>
  <c r="Z399"/>
  <c r="AA399"/>
  <c r="AB399"/>
  <c r="AC399"/>
  <c r="W400"/>
  <c r="X400"/>
  <c r="Y400"/>
  <c r="Z400"/>
  <c r="AA400"/>
  <c r="AB400"/>
  <c r="AC400"/>
  <c r="W401"/>
  <c r="X401"/>
  <c r="Y401"/>
  <c r="Z401"/>
  <c r="AA401"/>
  <c r="AB401"/>
  <c r="AC401"/>
  <c r="W402"/>
  <c r="X402"/>
  <c r="Y402"/>
  <c r="Z402"/>
  <c r="AA402"/>
  <c r="AB402"/>
  <c r="AC402"/>
  <c r="W403"/>
  <c r="X403"/>
  <c r="Y403"/>
  <c r="Z403"/>
  <c r="AA403"/>
  <c r="AB403"/>
  <c r="AC403"/>
  <c r="W404"/>
  <c r="X404"/>
  <c r="Y404"/>
  <c r="Z404"/>
  <c r="AA404"/>
  <c r="AB404"/>
  <c r="AC404"/>
  <c r="W405"/>
  <c r="X405"/>
  <c r="Y405"/>
  <c r="Z405"/>
  <c r="AA405"/>
  <c r="AB405"/>
  <c r="AC405"/>
  <c r="W406"/>
  <c r="X406"/>
  <c r="Y406"/>
  <c r="Z406"/>
  <c r="AA406"/>
  <c r="AB406"/>
  <c r="AC406"/>
  <c r="W407"/>
  <c r="X407"/>
  <c r="Y407"/>
  <c r="Z407"/>
  <c r="AA407"/>
  <c r="AB407"/>
  <c r="AC407"/>
  <c r="X215"/>
  <c r="Y215"/>
  <c r="Z215"/>
  <c r="AA215"/>
  <c r="AB215"/>
  <c r="AC215"/>
  <c r="W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G265"/>
  <c r="H265"/>
  <c r="I265"/>
  <c r="J265"/>
  <c r="G266"/>
  <c r="H266"/>
  <c r="I266"/>
  <c r="J266"/>
  <c r="G267"/>
  <c r="H267"/>
  <c r="I267"/>
  <c r="J267"/>
  <c r="G268"/>
  <c r="H268"/>
  <c r="I268"/>
  <c r="J268"/>
  <c r="G269"/>
  <c r="H269"/>
  <c r="I269"/>
  <c r="J269"/>
  <c r="G270"/>
  <c r="H270"/>
  <c r="I270"/>
  <c r="J270"/>
  <c r="G271"/>
  <c r="H271"/>
  <c r="I271"/>
  <c r="J271"/>
  <c r="G272"/>
  <c r="H272"/>
  <c r="I272"/>
  <c r="J272"/>
  <c r="G273"/>
  <c r="H273"/>
  <c r="I273"/>
  <c r="J273"/>
  <c r="G274"/>
  <c r="H274"/>
  <c r="I274"/>
  <c r="J274"/>
  <c r="G275"/>
  <c r="H275"/>
  <c r="I275"/>
  <c r="J275"/>
  <c r="G276"/>
  <c r="H276"/>
  <c r="I276"/>
  <c r="J276"/>
  <c r="G277"/>
  <c r="H277"/>
  <c r="I277"/>
  <c r="J277"/>
  <c r="G278"/>
  <c r="H278"/>
  <c r="I278"/>
  <c r="J278"/>
  <c r="G279"/>
  <c r="H279"/>
  <c r="I279"/>
  <c r="J279"/>
  <c r="G280"/>
  <c r="H280"/>
  <c r="I280"/>
  <c r="J280"/>
  <c r="G281"/>
  <c r="H281"/>
  <c r="I281"/>
  <c r="J281"/>
  <c r="G282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G291"/>
  <c r="H291"/>
  <c r="I291"/>
  <c r="J291"/>
  <c r="G292"/>
  <c r="H292"/>
  <c r="I292"/>
  <c r="J292"/>
  <c r="G293"/>
  <c r="H293"/>
  <c r="I293"/>
  <c r="J293"/>
  <c r="G294"/>
  <c r="H294"/>
  <c r="I294"/>
  <c r="J294"/>
  <c r="G295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G360"/>
  <c r="H360"/>
  <c r="I360"/>
  <c r="J360"/>
  <c r="G361"/>
  <c r="H361"/>
  <c r="I361"/>
  <c r="J361"/>
  <c r="G362"/>
  <c r="H362"/>
  <c r="I362"/>
  <c r="J362"/>
  <c r="G363"/>
  <c r="H363"/>
  <c r="I363"/>
  <c r="J363"/>
  <c r="G364"/>
  <c r="H364"/>
  <c r="I364"/>
  <c r="J364"/>
  <c r="G365"/>
  <c r="H365"/>
  <c r="I365"/>
  <c r="J365"/>
  <c r="G366"/>
  <c r="H366"/>
  <c r="I366"/>
  <c r="J366"/>
  <c r="G367"/>
  <c r="H367"/>
  <c r="I367"/>
  <c r="J367"/>
  <c r="G368"/>
  <c r="H368"/>
  <c r="I368"/>
  <c r="J368"/>
  <c r="G369"/>
  <c r="H369"/>
  <c r="I369"/>
  <c r="J369"/>
  <c r="G370"/>
  <c r="H370"/>
  <c r="I370"/>
  <c r="J370"/>
  <c r="G371"/>
  <c r="H371"/>
  <c r="I371"/>
  <c r="J371"/>
  <c r="G372"/>
  <c r="H372"/>
  <c r="I372"/>
  <c r="J372"/>
  <c r="G373"/>
  <c r="H373"/>
  <c r="I373"/>
  <c r="J373"/>
  <c r="G374"/>
  <c r="H374"/>
  <c r="I374"/>
  <c r="J374"/>
  <c r="G375"/>
  <c r="H375"/>
  <c r="I375"/>
  <c r="J375"/>
  <c r="G376"/>
  <c r="H376"/>
  <c r="I376"/>
  <c r="J376"/>
  <c r="G377"/>
  <c r="H377"/>
  <c r="I377"/>
  <c r="J377"/>
  <c r="G378"/>
  <c r="H378"/>
  <c r="I378"/>
  <c r="J378"/>
  <c r="G379"/>
  <c r="H379"/>
  <c r="I379"/>
  <c r="J379"/>
  <c r="G380"/>
  <c r="H380"/>
  <c r="I380"/>
  <c r="J380"/>
  <c r="G381"/>
  <c r="H381"/>
  <c r="I381"/>
  <c r="J381"/>
  <c r="G382"/>
  <c r="H382"/>
  <c r="I382"/>
  <c r="J382"/>
  <c r="G383"/>
  <c r="H383"/>
  <c r="I383"/>
  <c r="J383"/>
  <c r="G384"/>
  <c r="H384"/>
  <c r="I384"/>
  <c r="J384"/>
  <c r="G385"/>
  <c r="H385"/>
  <c r="I385"/>
  <c r="J385"/>
  <c r="G386"/>
  <c r="H386"/>
  <c r="I386"/>
  <c r="J386"/>
  <c r="G387"/>
  <c r="H387"/>
  <c r="I387"/>
  <c r="J387"/>
  <c r="G388"/>
  <c r="H388"/>
  <c r="I388"/>
  <c r="J388"/>
  <c r="G389"/>
  <c r="H389"/>
  <c r="I389"/>
  <c r="J389"/>
  <c r="G390"/>
  <c r="H390"/>
  <c r="I390"/>
  <c r="J390"/>
  <c r="G391"/>
  <c r="H391"/>
  <c r="I391"/>
  <c r="J391"/>
  <c r="G392"/>
  <c r="H392"/>
  <c r="I392"/>
  <c r="J392"/>
  <c r="G393"/>
  <c r="H393"/>
  <c r="I393"/>
  <c r="J393"/>
  <c r="G394"/>
  <c r="H394"/>
  <c r="I394"/>
  <c r="J394"/>
  <c r="G395"/>
  <c r="H395"/>
  <c r="I395"/>
  <c r="J395"/>
  <c r="G396"/>
  <c r="H396"/>
  <c r="I396"/>
  <c r="J396"/>
  <c r="G397"/>
  <c r="H397"/>
  <c r="I397"/>
  <c r="J397"/>
  <c r="G398"/>
  <c r="H398"/>
  <c r="I398"/>
  <c r="J398"/>
  <c r="G399"/>
  <c r="H399"/>
  <c r="I399"/>
  <c r="J399"/>
  <c r="G400"/>
  <c r="H400"/>
  <c r="I400"/>
  <c r="J400"/>
  <c r="G401"/>
  <c r="H401"/>
  <c r="I401"/>
  <c r="J401"/>
  <c r="G402"/>
  <c r="H402"/>
  <c r="I402"/>
  <c r="J402"/>
  <c r="G403"/>
  <c r="H403"/>
  <c r="I403"/>
  <c r="J403"/>
  <c r="G404"/>
  <c r="H404"/>
  <c r="I404"/>
  <c r="J404"/>
  <c r="G405"/>
  <c r="H405"/>
  <c r="I405"/>
  <c r="J405"/>
  <c r="G406"/>
  <c r="H406"/>
  <c r="I406"/>
  <c r="J406"/>
  <c r="G407"/>
  <c r="H407"/>
  <c r="I407"/>
  <c r="J407"/>
  <c r="J215"/>
  <c r="I215"/>
  <c r="H215"/>
  <c r="G215"/>
  <c r="S204"/>
  <c r="U204"/>
  <c r="S205"/>
  <c r="U205"/>
  <c r="S206"/>
  <c r="U206"/>
  <c r="S207"/>
  <c r="U207"/>
  <c r="S208"/>
  <c r="U208"/>
  <c r="S209"/>
  <c r="U209"/>
  <c r="U203"/>
  <c r="S203"/>
  <c r="K210"/>
  <c r="K209"/>
  <c r="G207"/>
  <c r="I207"/>
  <c r="I206"/>
  <c r="G206"/>
  <c r="E203"/>
  <c r="G203"/>
  <c r="E204"/>
  <c r="G204"/>
  <c r="G202"/>
  <c r="E202"/>
  <c r="W11"/>
  <c r="X11"/>
  <c r="Y11"/>
  <c r="Z11"/>
  <c r="AA11"/>
  <c r="AB11"/>
  <c r="AC11"/>
  <c r="W12"/>
  <c r="X12"/>
  <c r="Y12"/>
  <c r="Z12"/>
  <c r="AA12"/>
  <c r="AB12"/>
  <c r="AC12"/>
  <c r="W13"/>
  <c r="X13"/>
  <c r="Y13"/>
  <c r="Z13"/>
  <c r="AA13"/>
  <c r="AB13"/>
  <c r="AC13"/>
  <c r="W14"/>
  <c r="X14"/>
  <c r="Y14"/>
  <c r="Z14"/>
  <c r="AA14"/>
  <c r="AB14"/>
  <c r="AC14"/>
  <c r="W15"/>
  <c r="X15"/>
  <c r="Y15"/>
  <c r="Z15"/>
  <c r="AA15"/>
  <c r="AB15"/>
  <c r="AC15"/>
  <c r="W16"/>
  <c r="X16"/>
  <c r="Y16"/>
  <c r="Z16"/>
  <c r="AA16"/>
  <c r="AB16"/>
  <c r="AC16"/>
  <c r="W17"/>
  <c r="X17"/>
  <c r="Y17"/>
  <c r="Z17"/>
  <c r="AA17"/>
  <c r="AB17"/>
  <c r="AC17"/>
  <c r="W18"/>
  <c r="X18"/>
  <c r="Y18"/>
  <c r="Z18"/>
  <c r="AA18"/>
  <c r="AB18"/>
  <c r="AC18"/>
  <c r="W19"/>
  <c r="X19"/>
  <c r="Y19"/>
  <c r="Z19"/>
  <c r="AA19"/>
  <c r="AB19"/>
  <c r="AC19"/>
  <c r="W20"/>
  <c r="X20"/>
  <c r="Y20"/>
  <c r="Z20"/>
  <c r="AA20"/>
  <c r="AB20"/>
  <c r="AC20"/>
  <c r="W21"/>
  <c r="X21"/>
  <c r="Y21"/>
  <c r="Z21"/>
  <c r="AA21"/>
  <c r="AB21"/>
  <c r="AC21"/>
  <c r="W22"/>
  <c r="X22"/>
  <c r="Y22"/>
  <c r="Z22"/>
  <c r="AA22"/>
  <c r="AB22"/>
  <c r="AC22"/>
  <c r="W23"/>
  <c r="X23"/>
  <c r="Y23"/>
  <c r="Z23"/>
  <c r="AA23"/>
  <c r="AB23"/>
  <c r="AC23"/>
  <c r="W24"/>
  <c r="X24"/>
  <c r="Y24"/>
  <c r="Z24"/>
  <c r="AA24"/>
  <c r="AB24"/>
  <c r="AC24"/>
  <c r="W25"/>
  <c r="X25"/>
  <c r="Y25"/>
  <c r="Z25"/>
  <c r="AA25"/>
  <c r="AB25"/>
  <c r="AC25"/>
  <c r="W26"/>
  <c r="X26"/>
  <c r="Y26"/>
  <c r="Z26"/>
  <c r="AA26"/>
  <c r="AB26"/>
  <c r="AC26"/>
  <c r="W27"/>
  <c r="X27"/>
  <c r="Y27"/>
  <c r="Z27"/>
  <c r="AA27"/>
  <c r="AB27"/>
  <c r="AC27"/>
  <c r="W28"/>
  <c r="X28"/>
  <c r="Y28"/>
  <c r="Z28"/>
  <c r="AA28"/>
  <c r="AB28"/>
  <c r="AC28"/>
  <c r="W29"/>
  <c r="X29"/>
  <c r="Y29"/>
  <c r="Z29"/>
  <c r="AA29"/>
  <c r="AB29"/>
  <c r="AC29"/>
  <c r="W30"/>
  <c r="X30"/>
  <c r="Y30"/>
  <c r="Z30"/>
  <c r="AA30"/>
  <c r="AB30"/>
  <c r="AC30"/>
  <c r="W31"/>
  <c r="X31"/>
  <c r="Y31"/>
  <c r="Z31"/>
  <c r="AA31"/>
  <c r="AB31"/>
  <c r="AC31"/>
  <c r="W32"/>
  <c r="X32"/>
  <c r="Y32"/>
  <c r="Z32"/>
  <c r="AA32"/>
  <c r="AB32"/>
  <c r="AC32"/>
  <c r="W33"/>
  <c r="X33"/>
  <c r="Y33"/>
  <c r="Z33"/>
  <c r="AA33"/>
  <c r="AB33"/>
  <c r="AC33"/>
  <c r="W34"/>
  <c r="X34"/>
  <c r="Y34"/>
  <c r="Z34"/>
  <c r="AA34"/>
  <c r="AB34"/>
  <c r="AC34"/>
  <c r="W35"/>
  <c r="X35"/>
  <c r="Y35"/>
  <c r="Z35"/>
  <c r="AA35"/>
  <c r="AB35"/>
  <c r="AC35"/>
  <c r="W36"/>
  <c r="X36"/>
  <c r="Y36"/>
  <c r="Z36"/>
  <c r="AA36"/>
  <c r="AB36"/>
  <c r="AC36"/>
  <c r="W37"/>
  <c r="X37"/>
  <c r="Y37"/>
  <c r="Z37"/>
  <c r="AA37"/>
  <c r="AB37"/>
  <c r="AC37"/>
  <c r="W38"/>
  <c r="X38"/>
  <c r="Y38"/>
  <c r="Z38"/>
  <c r="AA38"/>
  <c r="AB38"/>
  <c r="AC38"/>
  <c r="W39"/>
  <c r="X39"/>
  <c r="Y39"/>
  <c r="Z39"/>
  <c r="AA39"/>
  <c r="AB39"/>
  <c r="AC39"/>
  <c r="W40"/>
  <c r="X40"/>
  <c r="Y40"/>
  <c r="Z40"/>
  <c r="AA40"/>
  <c r="AB40"/>
  <c r="AC40"/>
  <c r="W41"/>
  <c r="X41"/>
  <c r="Y41"/>
  <c r="Z41"/>
  <c r="AA41"/>
  <c r="AB41"/>
  <c r="AC41"/>
  <c r="W42"/>
  <c r="X42"/>
  <c r="Y42"/>
  <c r="Z42"/>
  <c r="AA42"/>
  <c r="AB42"/>
  <c r="AC42"/>
  <c r="W43"/>
  <c r="X43"/>
  <c r="Y43"/>
  <c r="Z43"/>
  <c r="AA43"/>
  <c r="AB43"/>
  <c r="AC43"/>
  <c r="W44"/>
  <c r="X44"/>
  <c r="Y44"/>
  <c r="Z44"/>
  <c r="AA44"/>
  <c r="AB44"/>
  <c r="AC44"/>
  <c r="W45"/>
  <c r="X45"/>
  <c r="Y45"/>
  <c r="Z45"/>
  <c r="AA45"/>
  <c r="AB45"/>
  <c r="AC45"/>
  <c r="W46"/>
  <c r="X46"/>
  <c r="Y46"/>
  <c r="Z46"/>
  <c r="AA46"/>
  <c r="AB46"/>
  <c r="AC46"/>
  <c r="W47"/>
  <c r="X47"/>
  <c r="Y47"/>
  <c r="Z47"/>
  <c r="AA47"/>
  <c r="AB47"/>
  <c r="AC47"/>
  <c r="W48"/>
  <c r="X48"/>
  <c r="Y48"/>
  <c r="Z48"/>
  <c r="AA48"/>
  <c r="AB48"/>
  <c r="AC48"/>
  <c r="W49"/>
  <c r="X49"/>
  <c r="Y49"/>
  <c r="Z49"/>
  <c r="AA49"/>
  <c r="AB49"/>
  <c r="AC49"/>
  <c r="W50"/>
  <c r="X50"/>
  <c r="Y50"/>
  <c r="Z50"/>
  <c r="AA50"/>
  <c r="AB50"/>
  <c r="AC50"/>
  <c r="W51"/>
  <c r="X51"/>
  <c r="Y51"/>
  <c r="Z51"/>
  <c r="AA51"/>
  <c r="AB51"/>
  <c r="AC51"/>
  <c r="W52"/>
  <c r="X52"/>
  <c r="Y52"/>
  <c r="Z52"/>
  <c r="AA52"/>
  <c r="AB52"/>
  <c r="AC52"/>
  <c r="W53"/>
  <c r="X53"/>
  <c r="Y53"/>
  <c r="Z53"/>
  <c r="AA53"/>
  <c r="AB53"/>
  <c r="AC53"/>
  <c r="W54"/>
  <c r="X54"/>
  <c r="Y54"/>
  <c r="Z54"/>
  <c r="AA54"/>
  <c r="AB54"/>
  <c r="AC54"/>
  <c r="W55"/>
  <c r="X55"/>
  <c r="Y55"/>
  <c r="Z55"/>
  <c r="AA55"/>
  <c r="AB55"/>
  <c r="AC55"/>
  <c r="W56"/>
  <c r="X56"/>
  <c r="Y56"/>
  <c r="Z56"/>
  <c r="AA56"/>
  <c r="AB56"/>
  <c r="AC56"/>
  <c r="W57"/>
  <c r="X57"/>
  <c r="Y57"/>
  <c r="Z57"/>
  <c r="AA57"/>
  <c r="AB57"/>
  <c r="AC57"/>
  <c r="W58"/>
  <c r="X58"/>
  <c r="Y58"/>
  <c r="Z58"/>
  <c r="AA58"/>
  <c r="AB58"/>
  <c r="AC58"/>
  <c r="W59"/>
  <c r="X59"/>
  <c r="Y59"/>
  <c r="Z59"/>
  <c r="AA59"/>
  <c r="AB59"/>
  <c r="AC59"/>
  <c r="W60"/>
  <c r="X60"/>
  <c r="Y60"/>
  <c r="Z60"/>
  <c r="AA60"/>
  <c r="AB60"/>
  <c r="AC60"/>
  <c r="W61"/>
  <c r="X61"/>
  <c r="Y61"/>
  <c r="Z61"/>
  <c r="AA61"/>
  <c r="AB61"/>
  <c r="AC61"/>
  <c r="W62"/>
  <c r="X62"/>
  <c r="Y62"/>
  <c r="Z62"/>
  <c r="AA62"/>
  <c r="AB62"/>
  <c r="AC62"/>
  <c r="W63"/>
  <c r="X63"/>
  <c r="Y63"/>
  <c r="Z63"/>
  <c r="AA63"/>
  <c r="AB63"/>
  <c r="AC63"/>
  <c r="W64"/>
  <c r="X64"/>
  <c r="Y64"/>
  <c r="Z64"/>
  <c r="AA64"/>
  <c r="AB64"/>
  <c r="AC64"/>
  <c r="W65"/>
  <c r="X65"/>
  <c r="Y65"/>
  <c r="Z65"/>
  <c r="AA65"/>
  <c r="AB65"/>
  <c r="AC65"/>
  <c r="W66"/>
  <c r="X66"/>
  <c r="Y66"/>
  <c r="Z66"/>
  <c r="AA66"/>
  <c r="AB66"/>
  <c r="AC66"/>
  <c r="W67"/>
  <c r="X67"/>
  <c r="Y67"/>
  <c r="Z67"/>
  <c r="AA67"/>
  <c r="AB67"/>
  <c r="AC67"/>
  <c r="W68"/>
  <c r="X68"/>
  <c r="Y68"/>
  <c r="Z68"/>
  <c r="AA68"/>
  <c r="AB68"/>
  <c r="AC68"/>
  <c r="W69"/>
  <c r="X69"/>
  <c r="Y69"/>
  <c r="Z69"/>
  <c r="AA69"/>
  <c r="AB69"/>
  <c r="AC69"/>
  <c r="W70"/>
  <c r="X70"/>
  <c r="Y70"/>
  <c r="Z70"/>
  <c r="AA70"/>
  <c r="AB70"/>
  <c r="AC70"/>
  <c r="W71"/>
  <c r="X71"/>
  <c r="Y71"/>
  <c r="Z71"/>
  <c r="AA71"/>
  <c r="AB71"/>
  <c r="AC71"/>
  <c r="W72"/>
  <c r="X72"/>
  <c r="Y72"/>
  <c r="Z72"/>
  <c r="AA72"/>
  <c r="AB72"/>
  <c r="AC72"/>
  <c r="W73"/>
  <c r="X73"/>
  <c r="Y73"/>
  <c r="Z73"/>
  <c r="AA73"/>
  <c r="AB73"/>
  <c r="AC73"/>
  <c r="W74"/>
  <c r="X74"/>
  <c r="Y74"/>
  <c r="Z74"/>
  <c r="AA74"/>
  <c r="AB74"/>
  <c r="AC74"/>
  <c r="W75"/>
  <c r="X75"/>
  <c r="Y75"/>
  <c r="Z75"/>
  <c r="AA75"/>
  <c r="AB75"/>
  <c r="AC75"/>
  <c r="W76"/>
  <c r="X76"/>
  <c r="Y76"/>
  <c r="Z76"/>
  <c r="AA76"/>
  <c r="AB76"/>
  <c r="AC76"/>
  <c r="W77"/>
  <c r="X77"/>
  <c r="Y77"/>
  <c r="Z77"/>
  <c r="AA77"/>
  <c r="AB77"/>
  <c r="AC77"/>
  <c r="W78"/>
  <c r="X78"/>
  <c r="Y78"/>
  <c r="Z78"/>
  <c r="AA78"/>
  <c r="AB78"/>
  <c r="AC78"/>
  <c r="W79"/>
  <c r="X79"/>
  <c r="Y79"/>
  <c r="Z79"/>
  <c r="AA79"/>
  <c r="AB79"/>
  <c r="AC79"/>
  <c r="W80"/>
  <c r="X80"/>
  <c r="Y80"/>
  <c r="Z80"/>
  <c r="AA80"/>
  <c r="AB80"/>
  <c r="AC80"/>
  <c r="W81"/>
  <c r="X81"/>
  <c r="Y81"/>
  <c r="Z81"/>
  <c r="AA81"/>
  <c r="AB81"/>
  <c r="AC81"/>
  <c r="W82"/>
  <c r="X82"/>
  <c r="Y82"/>
  <c r="Z82"/>
  <c r="AA82"/>
  <c r="AB82"/>
  <c r="AC82"/>
  <c r="W83"/>
  <c r="X83"/>
  <c r="Y83"/>
  <c r="Z83"/>
  <c r="AA83"/>
  <c r="AB83"/>
  <c r="AC83"/>
  <c r="W84"/>
  <c r="X84"/>
  <c r="Y84"/>
  <c r="Z84"/>
  <c r="AA84"/>
  <c r="AB84"/>
  <c r="AC84"/>
  <c r="W85"/>
  <c r="X85"/>
  <c r="Y85"/>
  <c r="Z85"/>
  <c r="AA85"/>
  <c r="AB85"/>
  <c r="AC85"/>
  <c r="W86"/>
  <c r="X86"/>
  <c r="Y86"/>
  <c r="Z86"/>
  <c r="AA86"/>
  <c r="AB86"/>
  <c r="AC86"/>
  <c r="W87"/>
  <c r="X87"/>
  <c r="Y87"/>
  <c r="Z87"/>
  <c r="AA87"/>
  <c r="AB87"/>
  <c r="AC87"/>
  <c r="W88"/>
  <c r="X88"/>
  <c r="Y88"/>
  <c r="Z88"/>
  <c r="AA88"/>
  <c r="AB88"/>
  <c r="AC88"/>
  <c r="W89"/>
  <c r="X89"/>
  <c r="Y89"/>
  <c r="Z89"/>
  <c r="AA89"/>
  <c r="AB89"/>
  <c r="AC89"/>
  <c r="W90"/>
  <c r="X90"/>
  <c r="Y90"/>
  <c r="Z90"/>
  <c r="AA90"/>
  <c r="AB90"/>
  <c r="AC90"/>
  <c r="W91"/>
  <c r="X91"/>
  <c r="Y91"/>
  <c r="Z91"/>
  <c r="AA91"/>
  <c r="AB91"/>
  <c r="AC91"/>
  <c r="W92"/>
  <c r="X92"/>
  <c r="Y92"/>
  <c r="Z92"/>
  <c r="AA92"/>
  <c r="AB92"/>
  <c r="AC92"/>
  <c r="W93"/>
  <c r="X93"/>
  <c r="Y93"/>
  <c r="Z93"/>
  <c r="AA93"/>
  <c r="AB93"/>
  <c r="AC93"/>
  <c r="W94"/>
  <c r="X94"/>
  <c r="Y94"/>
  <c r="Z94"/>
  <c r="AA94"/>
  <c r="AB94"/>
  <c r="AC94"/>
  <c r="W95"/>
  <c r="X95"/>
  <c r="Y95"/>
  <c r="Z95"/>
  <c r="AA95"/>
  <c r="AB95"/>
  <c r="AC95"/>
  <c r="W96"/>
  <c r="X96"/>
  <c r="Y96"/>
  <c r="Z96"/>
  <c r="AA96"/>
  <c r="AB96"/>
  <c r="AC96"/>
  <c r="W97"/>
  <c r="X97"/>
  <c r="Y97"/>
  <c r="Z97"/>
  <c r="AA97"/>
  <c r="AB97"/>
  <c r="AC97"/>
  <c r="W98"/>
  <c r="X98"/>
  <c r="Y98"/>
  <c r="Z98"/>
  <c r="AA98"/>
  <c r="AB98"/>
  <c r="AC98"/>
  <c r="W99"/>
  <c r="X99"/>
  <c r="Y99"/>
  <c r="Z99"/>
  <c r="AA99"/>
  <c r="AB99"/>
  <c r="AC99"/>
  <c r="W100"/>
  <c r="X100"/>
  <c r="Y100"/>
  <c r="Z100"/>
  <c r="AA100"/>
  <c r="AB100"/>
  <c r="AC100"/>
  <c r="W101"/>
  <c r="X101"/>
  <c r="Y101"/>
  <c r="Z101"/>
  <c r="AA101"/>
  <c r="AB101"/>
  <c r="AC101"/>
  <c r="W102"/>
  <c r="X102"/>
  <c r="Y102"/>
  <c r="Z102"/>
  <c r="AA102"/>
  <c r="AB102"/>
  <c r="AC102"/>
  <c r="W103"/>
  <c r="X103"/>
  <c r="Y103"/>
  <c r="Z103"/>
  <c r="AA103"/>
  <c r="AB103"/>
  <c r="AC103"/>
  <c r="W104"/>
  <c r="X104"/>
  <c r="Y104"/>
  <c r="Z104"/>
  <c r="AA104"/>
  <c r="AB104"/>
  <c r="AC104"/>
  <c r="W105"/>
  <c r="X105"/>
  <c r="Y105"/>
  <c r="Z105"/>
  <c r="AA105"/>
  <c r="AB105"/>
  <c r="AC105"/>
  <c r="W106"/>
  <c r="X106"/>
  <c r="Y106"/>
  <c r="Z106"/>
  <c r="AA106"/>
  <c r="AB106"/>
  <c r="AC106"/>
  <c r="W107"/>
  <c r="X107"/>
  <c r="Y107"/>
  <c r="Z107"/>
  <c r="AA107"/>
  <c r="AB107"/>
  <c r="AC107"/>
  <c r="W108"/>
  <c r="X108"/>
  <c r="Y108"/>
  <c r="Z108"/>
  <c r="AA108"/>
  <c r="AB108"/>
  <c r="AC108"/>
  <c r="W109"/>
  <c r="X109"/>
  <c r="Y109"/>
  <c r="Z109"/>
  <c r="AA109"/>
  <c r="AB109"/>
  <c r="AC109"/>
  <c r="W110"/>
  <c r="X110"/>
  <c r="Y110"/>
  <c r="Z110"/>
  <c r="AA110"/>
  <c r="AB110"/>
  <c r="AC110"/>
  <c r="W111"/>
  <c r="X111"/>
  <c r="Y111"/>
  <c r="Z111"/>
  <c r="AA111"/>
  <c r="AB111"/>
  <c r="AC111"/>
  <c r="W112"/>
  <c r="X112"/>
  <c r="Y112"/>
  <c r="Z112"/>
  <c r="AA112"/>
  <c r="AB112"/>
  <c r="AC112"/>
  <c r="W113"/>
  <c r="X113"/>
  <c r="Y113"/>
  <c r="Z113"/>
  <c r="AA113"/>
  <c r="AB113"/>
  <c r="AC113"/>
  <c r="W114"/>
  <c r="X114"/>
  <c r="Y114"/>
  <c r="Z114"/>
  <c r="AA114"/>
  <c r="AB114"/>
  <c r="AC114"/>
  <c r="W115"/>
  <c r="X115"/>
  <c r="Y115"/>
  <c r="Z115"/>
  <c r="AA115"/>
  <c r="AB115"/>
  <c r="AC115"/>
  <c r="W116"/>
  <c r="X116"/>
  <c r="Y116"/>
  <c r="Z116"/>
  <c r="AA116"/>
  <c r="AB116"/>
  <c r="AC116"/>
  <c r="W117"/>
  <c r="X117"/>
  <c r="Y117"/>
  <c r="Z117"/>
  <c r="AA117"/>
  <c r="AB117"/>
  <c r="AC117"/>
  <c r="W118"/>
  <c r="X118"/>
  <c r="Y118"/>
  <c r="Z118"/>
  <c r="AA118"/>
  <c r="AB118"/>
  <c r="AC118"/>
  <c r="W119"/>
  <c r="X119"/>
  <c r="Y119"/>
  <c r="Z119"/>
  <c r="AA119"/>
  <c r="AB119"/>
  <c r="AC119"/>
  <c r="W120"/>
  <c r="X120"/>
  <c r="Y120"/>
  <c r="Z120"/>
  <c r="AA120"/>
  <c r="AB120"/>
  <c r="AC120"/>
  <c r="W121"/>
  <c r="X121"/>
  <c r="Y121"/>
  <c r="Z121"/>
  <c r="AA121"/>
  <c r="AB121"/>
  <c r="AC121"/>
  <c r="W122"/>
  <c r="X122"/>
  <c r="Y122"/>
  <c r="Z122"/>
  <c r="AA122"/>
  <c r="AB122"/>
  <c r="AC122"/>
  <c r="W123"/>
  <c r="X123"/>
  <c r="Y123"/>
  <c r="Z123"/>
  <c r="AA123"/>
  <c r="AB123"/>
  <c r="AC123"/>
  <c r="W124"/>
  <c r="X124"/>
  <c r="Y124"/>
  <c r="Z124"/>
  <c r="AA124"/>
  <c r="AB124"/>
  <c r="AC124"/>
  <c r="W125"/>
  <c r="X125"/>
  <c r="Y125"/>
  <c r="Z125"/>
  <c r="AA125"/>
  <c r="AB125"/>
  <c r="AC125"/>
  <c r="W126"/>
  <c r="X126"/>
  <c r="Y126"/>
  <c r="Z126"/>
  <c r="AA126"/>
  <c r="AB126"/>
  <c r="AC126"/>
  <c r="W127"/>
  <c r="X127"/>
  <c r="Y127"/>
  <c r="Z127"/>
  <c r="AA127"/>
  <c r="AB127"/>
  <c r="AC127"/>
  <c r="W128"/>
  <c r="X128"/>
  <c r="Y128"/>
  <c r="Z128"/>
  <c r="AA128"/>
  <c r="AB128"/>
  <c r="AC128"/>
  <c r="W129"/>
  <c r="X129"/>
  <c r="Y129"/>
  <c r="Z129"/>
  <c r="AA129"/>
  <c r="AB129"/>
  <c r="AC129"/>
  <c r="W130"/>
  <c r="X130"/>
  <c r="Y130"/>
  <c r="Z130"/>
  <c r="AA130"/>
  <c r="AB130"/>
  <c r="AC130"/>
  <c r="W131"/>
  <c r="X131"/>
  <c r="Y131"/>
  <c r="Z131"/>
  <c r="AA131"/>
  <c r="AB131"/>
  <c r="AC131"/>
  <c r="W132"/>
  <c r="X132"/>
  <c r="Y132"/>
  <c r="Z132"/>
  <c r="AA132"/>
  <c r="AB132"/>
  <c r="AC132"/>
  <c r="W133"/>
  <c r="X133"/>
  <c r="Y133"/>
  <c r="Z133"/>
  <c r="AA133"/>
  <c r="AB133"/>
  <c r="AC133"/>
  <c r="W134"/>
  <c r="X134"/>
  <c r="Y134"/>
  <c r="Z134"/>
  <c r="AA134"/>
  <c r="AB134"/>
  <c r="AC134"/>
  <c r="W135"/>
  <c r="X135"/>
  <c r="Y135"/>
  <c r="Z135"/>
  <c r="AA135"/>
  <c r="AB135"/>
  <c r="AC135"/>
  <c r="W136"/>
  <c r="X136"/>
  <c r="Y136"/>
  <c r="Z136"/>
  <c r="AA136"/>
  <c r="AB136"/>
  <c r="AC136"/>
  <c r="W137"/>
  <c r="X137"/>
  <c r="Y137"/>
  <c r="Z137"/>
  <c r="AA137"/>
  <c r="AB137"/>
  <c r="AC137"/>
  <c r="W138"/>
  <c r="X138"/>
  <c r="Y138"/>
  <c r="Z138"/>
  <c r="AA138"/>
  <c r="AB138"/>
  <c r="AC138"/>
  <c r="W139"/>
  <c r="X139"/>
  <c r="Y139"/>
  <c r="Z139"/>
  <c r="AA139"/>
  <c r="AB139"/>
  <c r="AC139"/>
  <c r="W140"/>
  <c r="X140"/>
  <c r="Y140"/>
  <c r="Z140"/>
  <c r="AA140"/>
  <c r="AB140"/>
  <c r="AC140"/>
  <c r="W141"/>
  <c r="X141"/>
  <c r="Y141"/>
  <c r="Z141"/>
  <c r="AA141"/>
  <c r="AB141"/>
  <c r="AC141"/>
  <c r="W142"/>
  <c r="X142"/>
  <c r="Y142"/>
  <c r="Z142"/>
  <c r="AA142"/>
  <c r="AB142"/>
  <c r="AC142"/>
  <c r="W143"/>
  <c r="X143"/>
  <c r="Y143"/>
  <c r="Z143"/>
  <c r="AA143"/>
  <c r="AB143"/>
  <c r="AC143"/>
  <c r="W144"/>
  <c r="X144"/>
  <c r="Y144"/>
  <c r="Z144"/>
  <c r="AA144"/>
  <c r="AB144"/>
  <c r="AC144"/>
  <c r="W145"/>
  <c r="X145"/>
  <c r="Y145"/>
  <c r="Z145"/>
  <c r="AA145"/>
  <c r="AB145"/>
  <c r="AC145"/>
  <c r="W146"/>
  <c r="X146"/>
  <c r="Y146"/>
  <c r="Z146"/>
  <c r="AA146"/>
  <c r="AB146"/>
  <c r="AC146"/>
  <c r="W147"/>
  <c r="X147"/>
  <c r="Y147"/>
  <c r="Z147"/>
  <c r="AA147"/>
  <c r="AB147"/>
  <c r="AC147"/>
  <c r="W148"/>
  <c r="X148"/>
  <c r="Y148"/>
  <c r="Z148"/>
  <c r="AA148"/>
  <c r="AB148"/>
  <c r="AC148"/>
  <c r="W149"/>
  <c r="X149"/>
  <c r="Y149"/>
  <c r="Z149"/>
  <c r="AA149"/>
  <c r="AB149"/>
  <c r="AC149"/>
  <c r="W150"/>
  <c r="X150"/>
  <c r="Y150"/>
  <c r="Z150"/>
  <c r="AA150"/>
  <c r="AB150"/>
  <c r="AC150"/>
  <c r="W151"/>
  <c r="X151"/>
  <c r="Y151"/>
  <c r="Z151"/>
  <c r="AA151"/>
  <c r="AB151"/>
  <c r="AC151"/>
  <c r="W152"/>
  <c r="X152"/>
  <c r="Y152"/>
  <c r="Z152"/>
  <c r="AA152"/>
  <c r="AB152"/>
  <c r="AC152"/>
  <c r="W153"/>
  <c r="X153"/>
  <c r="Y153"/>
  <c r="Z153"/>
  <c r="AA153"/>
  <c r="AB153"/>
  <c r="AC153"/>
  <c r="W154"/>
  <c r="X154"/>
  <c r="Y154"/>
  <c r="Z154"/>
  <c r="AA154"/>
  <c r="AB154"/>
  <c r="AC154"/>
  <c r="W155"/>
  <c r="X155"/>
  <c r="Y155"/>
  <c r="Z155"/>
  <c r="AA155"/>
  <c r="AB155"/>
  <c r="AC155"/>
  <c r="W156"/>
  <c r="X156"/>
  <c r="Y156"/>
  <c r="Z156"/>
  <c r="AA156"/>
  <c r="AB156"/>
  <c r="AC156"/>
  <c r="W157"/>
  <c r="X157"/>
  <c r="Y157"/>
  <c r="Z157"/>
  <c r="AA157"/>
  <c r="AB157"/>
  <c r="AC157"/>
  <c r="W158"/>
  <c r="X158"/>
  <c r="Y158"/>
  <c r="Z158"/>
  <c r="AA158"/>
  <c r="AB158"/>
  <c r="AC158"/>
  <c r="W159"/>
  <c r="X159"/>
  <c r="Y159"/>
  <c r="Z159"/>
  <c r="AA159"/>
  <c r="AB159"/>
  <c r="AC159"/>
  <c r="W160"/>
  <c r="X160"/>
  <c r="Y160"/>
  <c r="Z160"/>
  <c r="AA160"/>
  <c r="AB160"/>
  <c r="AC160"/>
  <c r="W161"/>
  <c r="X161"/>
  <c r="Y161"/>
  <c r="Z161"/>
  <c r="AA161"/>
  <c r="AB161"/>
  <c r="AC161"/>
  <c r="W162"/>
  <c r="X162"/>
  <c r="Y162"/>
  <c r="Z162"/>
  <c r="AA162"/>
  <c r="AB162"/>
  <c r="AC162"/>
  <c r="W163"/>
  <c r="X163"/>
  <c r="Y163"/>
  <c r="Z163"/>
  <c r="AA163"/>
  <c r="AB163"/>
  <c r="AC163"/>
  <c r="W164"/>
  <c r="X164"/>
  <c r="Y164"/>
  <c r="Z164"/>
  <c r="AA164"/>
  <c r="AB164"/>
  <c r="AC164"/>
  <c r="W165"/>
  <c r="X165"/>
  <c r="Y165"/>
  <c r="Z165"/>
  <c r="AA165"/>
  <c r="AB165"/>
  <c r="AC165"/>
  <c r="W166"/>
  <c r="X166"/>
  <c r="Y166"/>
  <c r="Z166"/>
  <c r="AA166"/>
  <c r="AB166"/>
  <c r="AC166"/>
  <c r="W167"/>
  <c r="X167"/>
  <c r="Y167"/>
  <c r="Z167"/>
  <c r="AA167"/>
  <c r="AB167"/>
  <c r="AC167"/>
  <c r="W168"/>
  <c r="X168"/>
  <c r="Y168"/>
  <c r="Z168"/>
  <c r="AA168"/>
  <c r="AB168"/>
  <c r="AC168"/>
  <c r="W169"/>
  <c r="X169"/>
  <c r="Y169"/>
  <c r="Z169"/>
  <c r="AA169"/>
  <c r="AB169"/>
  <c r="AC169"/>
  <c r="W170"/>
  <c r="X170"/>
  <c r="Y170"/>
  <c r="Z170"/>
  <c r="AA170"/>
  <c r="AB170"/>
  <c r="AC170"/>
  <c r="W171"/>
  <c r="X171"/>
  <c r="Y171"/>
  <c r="Z171"/>
  <c r="AA171"/>
  <c r="AB171"/>
  <c r="AC171"/>
  <c r="W172"/>
  <c r="X172"/>
  <c r="Y172"/>
  <c r="Z172"/>
  <c r="AA172"/>
  <c r="AB172"/>
  <c r="AC172"/>
  <c r="W173"/>
  <c r="X173"/>
  <c r="Y173"/>
  <c r="Z173"/>
  <c r="AA173"/>
  <c r="AB173"/>
  <c r="AC173"/>
  <c r="W174"/>
  <c r="X174"/>
  <c r="Y174"/>
  <c r="Z174"/>
  <c r="AA174"/>
  <c r="AB174"/>
  <c r="AC174"/>
  <c r="W175"/>
  <c r="X175"/>
  <c r="Y175"/>
  <c r="Z175"/>
  <c r="AA175"/>
  <c r="AB175"/>
  <c r="AC175"/>
  <c r="W176"/>
  <c r="X176"/>
  <c r="Y176"/>
  <c r="Z176"/>
  <c r="AA176"/>
  <c r="AB176"/>
  <c r="AC176"/>
  <c r="W177"/>
  <c r="X177"/>
  <c r="Y177"/>
  <c r="Z177"/>
  <c r="AA177"/>
  <c r="AB177"/>
  <c r="AC177"/>
  <c r="W178"/>
  <c r="X178"/>
  <c r="Y178"/>
  <c r="Z178"/>
  <c r="AA178"/>
  <c r="AB178"/>
  <c r="AC178"/>
  <c r="W179"/>
  <c r="X179"/>
  <c r="Y179"/>
  <c r="Z179"/>
  <c r="AA179"/>
  <c r="AB179"/>
  <c r="AC179"/>
  <c r="W180"/>
  <c r="X180"/>
  <c r="Y180"/>
  <c r="Z180"/>
  <c r="AA180"/>
  <c r="AB180"/>
  <c r="AC180"/>
  <c r="W181"/>
  <c r="X181"/>
  <c r="Y181"/>
  <c r="Z181"/>
  <c r="AA181"/>
  <c r="AB181"/>
  <c r="AC181"/>
  <c r="W182"/>
  <c r="X182"/>
  <c r="Y182"/>
  <c r="Z182"/>
  <c r="AA182"/>
  <c r="AB182"/>
  <c r="AC182"/>
  <c r="W183"/>
  <c r="X183"/>
  <c r="Y183"/>
  <c r="Z183"/>
  <c r="AA183"/>
  <c r="AB183"/>
  <c r="AC183"/>
  <c r="W184"/>
  <c r="X184"/>
  <c r="Y184"/>
  <c r="Z184"/>
  <c r="AA184"/>
  <c r="AB184"/>
  <c r="AC184"/>
  <c r="W185"/>
  <c r="X185"/>
  <c r="Y185"/>
  <c r="Z185"/>
  <c r="AA185"/>
  <c r="AB185"/>
  <c r="AC185"/>
  <c r="W186"/>
  <c r="X186"/>
  <c r="Y186"/>
  <c r="Z186"/>
  <c r="AA186"/>
  <c r="AB186"/>
  <c r="AC186"/>
  <c r="W187"/>
  <c r="X187"/>
  <c r="Y187"/>
  <c r="Z187"/>
  <c r="AA187"/>
  <c r="AB187"/>
  <c r="AC187"/>
  <c r="W188"/>
  <c r="X188"/>
  <c r="Y188"/>
  <c r="Z188"/>
  <c r="AA188"/>
  <c r="AB188"/>
  <c r="AC188"/>
  <c r="W189"/>
  <c r="X189"/>
  <c r="Y189"/>
  <c r="Z189"/>
  <c r="AA189"/>
  <c r="AB189"/>
  <c r="AC189"/>
  <c r="W190"/>
  <c r="X190"/>
  <c r="Y190"/>
  <c r="Z190"/>
  <c r="AA190"/>
  <c r="AB190"/>
  <c r="AC190"/>
  <c r="W191"/>
  <c r="X191"/>
  <c r="Y191"/>
  <c r="Z191"/>
  <c r="AA191"/>
  <c r="AB191"/>
  <c r="AC191"/>
  <c r="W192"/>
  <c r="X192"/>
  <c r="Y192"/>
  <c r="Z192"/>
  <c r="AA192"/>
  <c r="AB192"/>
  <c r="AC192"/>
  <c r="W193"/>
  <c r="X193"/>
  <c r="Y193"/>
  <c r="Z193"/>
  <c r="AA193"/>
  <c r="AB193"/>
  <c r="AC193"/>
  <c r="W194"/>
  <c r="X194"/>
  <c r="Y194"/>
  <c r="Z194"/>
  <c r="AA194"/>
  <c r="AB194"/>
  <c r="AC194"/>
  <c r="W195"/>
  <c r="X195"/>
  <c r="Y195"/>
  <c r="Z195"/>
  <c r="AA195"/>
  <c r="AB195"/>
  <c r="AC195"/>
  <c r="W196"/>
  <c r="X196"/>
  <c r="Y196"/>
  <c r="Z196"/>
  <c r="AA196"/>
  <c r="AB196"/>
  <c r="AC196"/>
  <c r="W197"/>
  <c r="X197"/>
  <c r="Y197"/>
  <c r="Z197"/>
  <c r="AA197"/>
  <c r="AB197"/>
  <c r="AC197"/>
  <c r="W198"/>
  <c r="X198"/>
  <c r="Y198"/>
  <c r="Z198"/>
  <c r="AA198"/>
  <c r="AB198"/>
  <c r="AC198"/>
  <c r="W7"/>
  <c r="X7"/>
  <c r="Y7"/>
  <c r="Z7"/>
  <c r="AA7"/>
  <c r="AB7"/>
  <c r="AC7"/>
  <c r="W8"/>
  <c r="X8"/>
  <c r="Y8"/>
  <c r="Z8"/>
  <c r="AA8"/>
  <c r="AB8"/>
  <c r="AC8"/>
  <c r="W9"/>
  <c r="X9"/>
  <c r="Y9"/>
  <c r="Z9"/>
  <c r="AA9"/>
  <c r="AB9"/>
  <c r="AC9"/>
  <c r="W10"/>
  <c r="X10"/>
  <c r="Y10"/>
  <c r="Z10"/>
  <c r="AA10"/>
  <c r="AB10"/>
  <c r="AC10"/>
  <c r="X6"/>
  <c r="Y6"/>
  <c r="Z6"/>
  <c r="AA6"/>
  <c r="AB6"/>
  <c r="AC6"/>
  <c r="W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6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G74"/>
  <c r="H74"/>
  <c r="I74"/>
  <c r="J74"/>
  <c r="G75"/>
  <c r="H75"/>
  <c r="I75"/>
  <c r="J75"/>
  <c r="G76"/>
  <c r="H76"/>
  <c r="I76"/>
  <c r="J76"/>
  <c r="G77"/>
  <c r="H77"/>
  <c r="I77"/>
  <c r="J77"/>
  <c r="G78"/>
  <c r="H78"/>
  <c r="I78"/>
  <c r="J78"/>
  <c r="G79"/>
  <c r="H79"/>
  <c r="I79"/>
  <c r="J79"/>
  <c r="G80"/>
  <c r="H80"/>
  <c r="I80"/>
  <c r="J80"/>
  <c r="G81"/>
  <c r="H81"/>
  <c r="I81"/>
  <c r="J81"/>
  <c r="G82"/>
  <c r="H82"/>
  <c r="I82"/>
  <c r="J82"/>
  <c r="G83"/>
  <c r="H83"/>
  <c r="I83"/>
  <c r="J83"/>
  <c r="G84"/>
  <c r="H84"/>
  <c r="I84"/>
  <c r="J84"/>
  <c r="G85"/>
  <c r="H85"/>
  <c r="I85"/>
  <c r="J85"/>
  <c r="G86"/>
  <c r="H86"/>
  <c r="I86"/>
  <c r="J86"/>
  <c r="G87"/>
  <c r="H87"/>
  <c r="I87"/>
  <c r="J87"/>
  <c r="G88"/>
  <c r="H88"/>
  <c r="I88"/>
  <c r="J88"/>
  <c r="G89"/>
  <c r="H89"/>
  <c r="I89"/>
  <c r="J89"/>
  <c r="G90"/>
  <c r="H90"/>
  <c r="I90"/>
  <c r="J90"/>
  <c r="G91"/>
  <c r="H91"/>
  <c r="I91"/>
  <c r="J91"/>
  <c r="G92"/>
  <c r="H92"/>
  <c r="I92"/>
  <c r="J92"/>
  <c r="G93"/>
  <c r="H93"/>
  <c r="I93"/>
  <c r="J93"/>
  <c r="G94"/>
  <c r="H94"/>
  <c r="I94"/>
  <c r="J94"/>
  <c r="G95"/>
  <c r="H95"/>
  <c r="I95"/>
  <c r="J95"/>
  <c r="G96"/>
  <c r="H96"/>
  <c r="I96"/>
  <c r="J96"/>
  <c r="G97"/>
  <c r="H97"/>
  <c r="I97"/>
  <c r="J97"/>
  <c r="G98"/>
  <c r="H98"/>
  <c r="I98"/>
  <c r="J98"/>
  <c r="G99"/>
  <c r="H99"/>
  <c r="I99"/>
  <c r="J99"/>
  <c r="G100"/>
  <c r="H100"/>
  <c r="I100"/>
  <c r="J100"/>
  <c r="G101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G171"/>
  <c r="H171"/>
  <c r="I171"/>
  <c r="J171"/>
  <c r="G172"/>
  <c r="H172"/>
  <c r="I172"/>
  <c r="J172"/>
  <c r="G173"/>
  <c r="H173"/>
  <c r="I173"/>
  <c r="J173"/>
  <c r="G174"/>
  <c r="H174"/>
  <c r="I174"/>
  <c r="J174"/>
  <c r="G175"/>
  <c r="H175"/>
  <c r="I175"/>
  <c r="J175"/>
  <c r="G176"/>
  <c r="H176"/>
  <c r="I176"/>
  <c r="J176"/>
  <c r="G177"/>
  <c r="H177"/>
  <c r="I177"/>
  <c r="J177"/>
  <c r="G178"/>
  <c r="H178"/>
  <c r="I178"/>
  <c r="J178"/>
  <c r="G179"/>
  <c r="H179"/>
  <c r="I179"/>
  <c r="J179"/>
  <c r="G180"/>
  <c r="H180"/>
  <c r="I180"/>
  <c r="J180"/>
  <c r="G181"/>
  <c r="H181"/>
  <c r="I181"/>
  <c r="J181"/>
  <c r="G182"/>
  <c r="H182"/>
  <c r="I182"/>
  <c r="J182"/>
  <c r="G183"/>
  <c r="H183"/>
  <c r="I183"/>
  <c r="J183"/>
  <c r="G184"/>
  <c r="H184"/>
  <c r="I184"/>
  <c r="J184"/>
  <c r="G185"/>
  <c r="H185"/>
  <c r="I185"/>
  <c r="J185"/>
  <c r="G186"/>
  <c r="H186"/>
  <c r="I186"/>
  <c r="J186"/>
  <c r="G187"/>
  <c r="H187"/>
  <c r="I187"/>
  <c r="J187"/>
  <c r="G188"/>
  <c r="H188"/>
  <c r="I188"/>
  <c r="J188"/>
  <c r="G189"/>
  <c r="H189"/>
  <c r="I189"/>
  <c r="J189"/>
  <c r="G190"/>
  <c r="H190"/>
  <c r="I190"/>
  <c r="J190"/>
  <c r="G191"/>
  <c r="H191"/>
  <c r="I191"/>
  <c r="J191"/>
  <c r="G192"/>
  <c r="H192"/>
  <c r="I192"/>
  <c r="J192"/>
  <c r="G193"/>
  <c r="H193"/>
  <c r="I193"/>
  <c r="J193"/>
  <c r="G194"/>
  <c r="H194"/>
  <c r="I194"/>
  <c r="J194"/>
  <c r="G195"/>
  <c r="H195"/>
  <c r="I195"/>
  <c r="J195"/>
  <c r="G196"/>
  <c r="H196"/>
  <c r="I196"/>
  <c r="J196"/>
  <c r="G197"/>
  <c r="H197"/>
  <c r="I197"/>
  <c r="J197"/>
  <c r="G198"/>
  <c r="H198"/>
  <c r="I198"/>
  <c r="J198"/>
  <c r="G7"/>
  <c r="H7"/>
  <c r="I7"/>
  <c r="J7"/>
  <c r="G8"/>
  <c r="H8"/>
  <c r="I8"/>
  <c r="J8"/>
  <c r="G9"/>
  <c r="H9"/>
  <c r="I9"/>
  <c r="J9"/>
  <c r="G10"/>
  <c r="H10"/>
  <c r="I10"/>
  <c r="J10"/>
  <c r="G11"/>
  <c r="H11"/>
  <c r="I11"/>
  <c r="J11"/>
  <c r="G12"/>
  <c r="H12"/>
  <c r="I12"/>
  <c r="J12"/>
  <c r="G13"/>
  <c r="H13"/>
  <c r="I13"/>
  <c r="J13"/>
  <c r="G14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H6"/>
  <c r="I6"/>
  <c r="J6"/>
  <c r="G6"/>
  <c r="P450" i="52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N406"/>
  <c r="P406" s="1"/>
  <c r="S406" s="1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N382"/>
  <c r="P382" s="1"/>
  <c r="S382" s="1"/>
  <c r="L382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N377"/>
  <c r="P377" s="1"/>
  <c r="S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N374"/>
  <c r="P374" s="1"/>
  <c r="S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N370"/>
  <c r="P370" s="1"/>
  <c r="S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N356"/>
  <c r="P356" s="1"/>
  <c r="S356" s="1"/>
  <c r="L356"/>
  <c r="K356"/>
  <c r="R355"/>
  <c r="N355"/>
  <c r="P355" s="1"/>
  <c r="S355" s="1"/>
  <c r="L355"/>
  <c r="K355"/>
  <c r="R354"/>
  <c r="N354"/>
  <c r="P354" s="1"/>
  <c r="S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V350" s="1" a="1"/>
  <c r="V350" s="1"/>
  <c r="K350"/>
  <c r="R349"/>
  <c r="N349"/>
  <c r="P349" s="1"/>
  <c r="S349" s="1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V321" s="1" a="1"/>
  <c r="V321" s="1"/>
  <c r="K321"/>
  <c r="R320"/>
  <c r="N320"/>
  <c r="P320" s="1"/>
  <c r="S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N316"/>
  <c r="L316"/>
  <c r="K316"/>
  <c r="R315"/>
  <c r="P315"/>
  <c r="N315"/>
  <c r="L315"/>
  <c r="K315"/>
  <c r="R314"/>
  <c r="N314"/>
  <c r="P314" s="1"/>
  <c r="S314" s="1"/>
  <c r="L314"/>
  <c r="K314"/>
  <c r="R313"/>
  <c r="N313"/>
  <c r="P313" s="1"/>
  <c r="S313" s="1"/>
  <c r="L313"/>
  <c r="K313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N270"/>
  <c r="L270"/>
  <c r="K270"/>
  <c r="V270" s="1" a="1"/>
  <c r="V270" s="1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P244"/>
  <c r="N244"/>
  <c r="L244"/>
  <c r="K244"/>
  <c r="R243"/>
  <c r="P243"/>
  <c r="N243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Y210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N175"/>
  <c r="L175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N112"/>
  <c r="L112"/>
  <c r="K112"/>
  <c r="V112" s="1" a="1"/>
  <c r="V112" s="1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N105"/>
  <c r="L105"/>
  <c r="K105"/>
  <c r="V105" s="1" a="1"/>
  <c r="V105" s="1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P62"/>
  <c r="S62" s="1"/>
  <c r="N62"/>
  <c r="L62"/>
  <c r="K62"/>
  <c r="V62" s="1" a="1"/>
  <c r="V62" s="1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P40"/>
  <c r="S40" s="1"/>
  <c r="N40"/>
  <c r="L40"/>
  <c r="K40"/>
  <c r="R39"/>
  <c r="P39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P34"/>
  <c r="N34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N31"/>
  <c r="L31"/>
  <c r="K31"/>
  <c r="R30"/>
  <c r="N30"/>
  <c r="P30" s="1"/>
  <c r="S30" s="1"/>
  <c r="L30"/>
  <c r="K30"/>
  <c r="R29"/>
  <c r="N29"/>
  <c r="P29" s="1"/>
  <c r="S29" s="1"/>
  <c r="L29"/>
  <c r="K29"/>
  <c r="R28"/>
  <c r="P28"/>
  <c r="S28" s="1"/>
  <c r="N28"/>
  <c r="L28"/>
  <c r="V28" s="1" a="1"/>
  <c r="V28" s="1"/>
  <c r="K28"/>
  <c r="R27"/>
  <c r="N27"/>
  <c r="P27" s="1"/>
  <c r="S27" s="1"/>
  <c r="L27"/>
  <c r="K27"/>
  <c r="R26"/>
  <c r="P26"/>
  <c r="S26" s="1"/>
  <c r="N26"/>
  <c r="L26"/>
  <c r="V26" s="1" a="1"/>
  <c r="V26" s="1"/>
  <c r="K26"/>
  <c r="R25"/>
  <c r="N25"/>
  <c r="P25" s="1"/>
  <c r="S25" s="1"/>
  <c r="L25"/>
  <c r="K25"/>
  <c r="R24"/>
  <c r="P24"/>
  <c r="S24" s="1"/>
  <c r="N24"/>
  <c r="L24"/>
  <c r="V24" s="1" a="1"/>
  <c r="V24" s="1"/>
  <c r="K24"/>
  <c r="R23"/>
  <c r="N23"/>
  <c r="P23" s="1"/>
  <c r="S23" s="1"/>
  <c r="L23"/>
  <c r="K23"/>
  <c r="R22"/>
  <c r="P22"/>
  <c r="S22" s="1"/>
  <c r="N22"/>
  <c r="L22"/>
  <c r="V22" s="1" a="1"/>
  <c r="V22" s="1"/>
  <c r="K22"/>
  <c r="R21"/>
  <c r="N21"/>
  <c r="P21" s="1"/>
  <c r="S21" s="1"/>
  <c r="L21"/>
  <c r="K21"/>
  <c r="R20"/>
  <c r="P20"/>
  <c r="S20" s="1"/>
  <c r="N20"/>
  <c r="L20"/>
  <c r="V20" s="1" a="1"/>
  <c r="V20" s="1"/>
  <c r="K20"/>
  <c r="R19"/>
  <c r="N19"/>
  <c r="P19" s="1"/>
  <c r="S19" s="1"/>
  <c r="L19"/>
  <c r="K19"/>
  <c r="R18"/>
  <c r="P18"/>
  <c r="S18" s="1"/>
  <c r="N18"/>
  <c r="L18"/>
  <c r="V18" s="1" a="1"/>
  <c r="V18" s="1"/>
  <c r="K18"/>
  <c r="R17"/>
  <c r="N17"/>
  <c r="P17" s="1"/>
  <c r="S17" s="1"/>
  <c r="L17"/>
  <c r="K17"/>
  <c r="R16"/>
  <c r="P16"/>
  <c r="S16" s="1"/>
  <c r="N16"/>
  <c r="L16"/>
  <c r="V16" s="1" a="1"/>
  <c r="V16" s="1"/>
  <c r="K16"/>
  <c r="R15"/>
  <c r="N15"/>
  <c r="P15" s="1"/>
  <c r="S15" s="1"/>
  <c r="L15"/>
  <c r="K15"/>
  <c r="R14"/>
  <c r="P14"/>
  <c r="S14" s="1"/>
  <c r="N14"/>
  <c r="L14"/>
  <c r="K14"/>
  <c r="R13"/>
  <c r="N13"/>
  <c r="P13" s="1"/>
  <c r="S13" s="1"/>
  <c r="L13"/>
  <c r="K13"/>
  <c r="R12"/>
  <c r="N12"/>
  <c r="P12" s="1"/>
  <c r="S12" s="1"/>
  <c r="L12"/>
  <c r="K12"/>
  <c r="R11"/>
  <c r="P11"/>
  <c r="S11" s="1"/>
  <c r="N11"/>
  <c r="L11"/>
  <c r="V11" s="1" a="1"/>
  <c r="V11" s="1"/>
  <c r="K11"/>
  <c r="R10"/>
  <c r="N10"/>
  <c r="P10" s="1"/>
  <c r="S10" s="1"/>
  <c r="L10"/>
  <c r="K10"/>
  <c r="R9"/>
  <c r="P9"/>
  <c r="S9" s="1"/>
  <c r="N9"/>
  <c r="L9"/>
  <c r="K9"/>
  <c r="R8"/>
  <c r="P8"/>
  <c r="S8" s="1"/>
  <c r="N8"/>
  <c r="L8"/>
  <c r="V8" s="1" a="1"/>
  <c r="V8" s="1"/>
  <c r="K8"/>
  <c r="R7"/>
  <c r="N7"/>
  <c r="P7" s="1"/>
  <c r="S7" s="1"/>
  <c r="L7"/>
  <c r="K7"/>
  <c r="R6"/>
  <c r="P6"/>
  <c r="N6"/>
  <c r="L6"/>
  <c r="K6"/>
  <c r="P450" i="526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W419" s="1"/>
  <c r="AA416"/>
  <c r="K416"/>
  <c r="K415"/>
  <c r="AA414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K406"/>
  <c r="R405"/>
  <c r="N405"/>
  <c r="P405" s="1"/>
  <c r="S405" s="1"/>
  <c r="L405"/>
  <c r="K405"/>
  <c r="R404"/>
  <c r="N404"/>
  <c r="P404" s="1"/>
  <c r="S404" s="1"/>
  <c r="L404"/>
  <c r="K404"/>
  <c r="R403"/>
  <c r="P403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N381"/>
  <c r="P381" s="1"/>
  <c r="S381" s="1"/>
  <c r="L381"/>
  <c r="K381"/>
  <c r="R380"/>
  <c r="N380"/>
  <c r="P380" s="1"/>
  <c r="S380" s="1"/>
  <c r="L380"/>
  <c r="K380"/>
  <c r="R379"/>
  <c r="P379"/>
  <c r="S379" s="1"/>
  <c r="N379"/>
  <c r="L379"/>
  <c r="K379"/>
  <c r="R378"/>
  <c r="N378"/>
  <c r="P378" s="1"/>
  <c r="L378"/>
  <c r="K378"/>
  <c r="R377"/>
  <c r="N377"/>
  <c r="P377" s="1"/>
  <c r="L377"/>
  <c r="K377"/>
  <c r="R376"/>
  <c r="N376"/>
  <c r="P376" s="1"/>
  <c r="S376" s="1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L373"/>
  <c r="K373"/>
  <c r="R372"/>
  <c r="N372"/>
  <c r="P372" s="1"/>
  <c r="S372" s="1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L369"/>
  <c r="K369"/>
  <c r="R368"/>
  <c r="N368"/>
  <c r="P368" s="1"/>
  <c r="S368" s="1"/>
  <c r="L368"/>
  <c r="K368"/>
  <c r="R367"/>
  <c r="N367"/>
  <c r="P367" s="1"/>
  <c r="S367" s="1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L364"/>
  <c r="K364"/>
  <c r="R363"/>
  <c r="N363"/>
  <c r="P363" s="1"/>
  <c r="S363" s="1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L360"/>
  <c r="K360"/>
  <c r="R359"/>
  <c r="N359"/>
  <c r="P359" s="1"/>
  <c r="S359" s="1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N355"/>
  <c r="P355" s="1"/>
  <c r="S355" s="1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L352"/>
  <c r="K352"/>
  <c r="R351"/>
  <c r="N351"/>
  <c r="P351" s="1"/>
  <c r="L351"/>
  <c r="K351"/>
  <c r="R350"/>
  <c r="P350"/>
  <c r="N350"/>
  <c r="L350"/>
  <c r="K350"/>
  <c r="R349"/>
  <c r="P349"/>
  <c r="S349" s="1"/>
  <c r="N349"/>
  <c r="L349"/>
  <c r="K349"/>
  <c r="R348"/>
  <c r="N348"/>
  <c r="P348" s="1"/>
  <c r="L348"/>
  <c r="K348"/>
  <c r="R347"/>
  <c r="N347"/>
  <c r="P347" s="1"/>
  <c r="L347"/>
  <c r="K347"/>
  <c r="R346"/>
  <c r="N346"/>
  <c r="P346" s="1"/>
  <c r="S346" s="1"/>
  <c r="L346"/>
  <c r="K346"/>
  <c r="R345"/>
  <c r="P345"/>
  <c r="S345" s="1"/>
  <c r="N345"/>
  <c r="L345"/>
  <c r="K345"/>
  <c r="R344"/>
  <c r="N344"/>
  <c r="P344" s="1"/>
  <c r="L344"/>
  <c r="K344"/>
  <c r="R343"/>
  <c r="N343"/>
  <c r="P343" s="1"/>
  <c r="L343"/>
  <c r="K343"/>
  <c r="R342"/>
  <c r="N342"/>
  <c r="P342" s="1"/>
  <c r="S342" s="1"/>
  <c r="L342"/>
  <c r="K342"/>
  <c r="R341"/>
  <c r="P341"/>
  <c r="S341" s="1"/>
  <c r="N341"/>
  <c r="L341"/>
  <c r="K341"/>
  <c r="R340"/>
  <c r="N340"/>
  <c r="P340" s="1"/>
  <c r="L340"/>
  <c r="K340"/>
  <c r="R339"/>
  <c r="N339"/>
  <c r="P339" s="1"/>
  <c r="S339" s="1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N335"/>
  <c r="P335" s="1"/>
  <c r="S335" s="1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L332"/>
  <c r="K332"/>
  <c r="R331"/>
  <c r="N331"/>
  <c r="P331" s="1"/>
  <c r="S331" s="1"/>
  <c r="L331"/>
  <c r="K331"/>
  <c r="R330"/>
  <c r="N330"/>
  <c r="P330" s="1"/>
  <c r="S330" s="1"/>
  <c r="L330"/>
  <c r="K330"/>
  <c r="R329"/>
  <c r="P329"/>
  <c r="S329" s="1"/>
  <c r="N329"/>
  <c r="L329"/>
  <c r="K329"/>
  <c r="R328"/>
  <c r="N328"/>
  <c r="P328" s="1"/>
  <c r="S328" s="1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P322"/>
  <c r="S322" s="1"/>
  <c r="N322"/>
  <c r="L322"/>
  <c r="K322"/>
  <c r="R321"/>
  <c r="N321"/>
  <c r="P321" s="1"/>
  <c r="L321"/>
  <c r="K321"/>
  <c r="R320"/>
  <c r="N320"/>
  <c r="P320" s="1"/>
  <c r="L320"/>
  <c r="K320"/>
  <c r="R319"/>
  <c r="N319"/>
  <c r="P319" s="1"/>
  <c r="S319" s="1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L290"/>
  <c r="K290"/>
  <c r="R289"/>
  <c r="N289"/>
  <c r="P289" s="1"/>
  <c r="L289"/>
  <c r="K289"/>
  <c r="R288"/>
  <c r="P288"/>
  <c r="N288"/>
  <c r="L288"/>
  <c r="K288"/>
  <c r="R287"/>
  <c r="N287"/>
  <c r="P287" s="1"/>
  <c r="S287" s="1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N283"/>
  <c r="P283" s="1"/>
  <c r="L283"/>
  <c r="K283"/>
  <c r="V283" s="1" a="1"/>
  <c r="V283" s="1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P269"/>
  <c r="S269" s="1"/>
  <c r="N269"/>
  <c r="L269"/>
  <c r="K269"/>
  <c r="R268"/>
  <c r="N268"/>
  <c r="P268" s="1"/>
  <c r="S268" s="1"/>
  <c r="L268"/>
  <c r="K268"/>
  <c r="R267"/>
  <c r="N267"/>
  <c r="P267" s="1"/>
  <c r="S267" s="1"/>
  <c r="L267"/>
  <c r="K267"/>
  <c r="R266"/>
  <c r="P266"/>
  <c r="S266" s="1"/>
  <c r="N266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P262"/>
  <c r="S262" s="1"/>
  <c r="N262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L257"/>
  <c r="K257"/>
  <c r="R256"/>
  <c r="P256"/>
  <c r="N256"/>
  <c r="L256"/>
  <c r="K256"/>
  <c r="V256" s="1" a="1"/>
  <c r="V256" s="1"/>
  <c r="R255"/>
  <c r="N255"/>
  <c r="P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S246" s="1"/>
  <c r="L246"/>
  <c r="K246"/>
  <c r="R245"/>
  <c r="N245"/>
  <c r="P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K208"/>
  <c r="M211" s="1"/>
  <c r="Y207"/>
  <c r="W207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S197" s="1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L194"/>
  <c r="K194"/>
  <c r="V194" s="1" a="1"/>
  <c r="V194" s="1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S189" s="1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L174"/>
  <c r="K174"/>
  <c r="R173"/>
  <c r="N173"/>
  <c r="P173" s="1"/>
  <c r="S173" s="1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S157" s="1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P14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S97" s="1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L90"/>
  <c r="K90"/>
  <c r="R89"/>
  <c r="N89"/>
  <c r="P89" s="1"/>
  <c r="S89" s="1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S81" s="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L78"/>
  <c r="K78"/>
  <c r="R77"/>
  <c r="N77"/>
  <c r="P77" s="1"/>
  <c r="S77" s="1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L74"/>
  <c r="K74"/>
  <c r="V74" s="1" a="1"/>
  <c r="V74" s="1"/>
  <c r="R73"/>
  <c r="N73"/>
  <c r="P73" s="1"/>
  <c r="S73" s="1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S65" s="1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L62"/>
  <c r="K62"/>
  <c r="R61"/>
  <c r="P61"/>
  <c r="N61"/>
  <c r="L61"/>
  <c r="K61"/>
  <c r="V61" s="1" a="1"/>
  <c r="V61" s="1"/>
  <c r="R60"/>
  <c r="N60"/>
  <c r="P60" s="1"/>
  <c r="S60" s="1"/>
  <c r="L60"/>
  <c r="K60"/>
  <c r="R59"/>
  <c r="P59"/>
  <c r="S59" s="1"/>
  <c r="N59"/>
  <c r="L59"/>
  <c r="K59"/>
  <c r="R58"/>
  <c r="N58"/>
  <c r="P58" s="1"/>
  <c r="L58"/>
  <c r="K58"/>
  <c r="R57"/>
  <c r="N57"/>
  <c r="P57" s="1"/>
  <c r="S57" s="1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L54"/>
  <c r="K54"/>
  <c r="R53"/>
  <c r="N53"/>
  <c r="P53" s="1"/>
  <c r="S53" s="1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L50"/>
  <c r="K50"/>
  <c r="R49"/>
  <c r="N49"/>
  <c r="P49" s="1"/>
  <c r="S49" s="1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L46"/>
  <c r="K46"/>
  <c r="R45"/>
  <c r="N45"/>
  <c r="P45" s="1"/>
  <c r="S45" s="1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L42"/>
  <c r="K42"/>
  <c r="R41"/>
  <c r="N41"/>
  <c r="P41" s="1"/>
  <c r="S41" s="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L38"/>
  <c r="K38"/>
  <c r="R37"/>
  <c r="N37"/>
  <c r="P37" s="1"/>
  <c r="S37" s="1"/>
  <c r="L37"/>
  <c r="K37"/>
  <c r="R36"/>
  <c r="N36"/>
  <c r="P36" s="1"/>
  <c r="S36" s="1"/>
  <c r="L36"/>
  <c r="K36"/>
  <c r="R35"/>
  <c r="P35"/>
  <c r="N35"/>
  <c r="L35"/>
  <c r="K35"/>
  <c r="R34"/>
  <c r="N34"/>
  <c r="P34" s="1"/>
  <c r="L34"/>
  <c r="K34"/>
  <c r="R33"/>
  <c r="P33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L30"/>
  <c r="K30"/>
  <c r="R29"/>
  <c r="N29"/>
  <c r="P29" s="1"/>
  <c r="S29" s="1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L26"/>
  <c r="K26"/>
  <c r="R25"/>
  <c r="N25"/>
  <c r="P25" s="1"/>
  <c r="S25" s="1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L18"/>
  <c r="K18"/>
  <c r="R17"/>
  <c r="N17"/>
  <c r="P17" s="1"/>
  <c r="S17" s="1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L14"/>
  <c r="K14"/>
  <c r="R13"/>
  <c r="N13"/>
  <c r="P13" s="1"/>
  <c r="S13" s="1"/>
  <c r="L13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5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N350"/>
  <c r="L350"/>
  <c r="K350"/>
  <c r="V350" s="1" a="1"/>
  <c r="V350" s="1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N324"/>
  <c r="P324" s="1"/>
  <c r="S324" s="1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N321"/>
  <c r="L321"/>
  <c r="K321"/>
  <c r="V321" s="1" a="1"/>
  <c r="V321" s="1"/>
  <c r="R320"/>
  <c r="P320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P314"/>
  <c r="N314"/>
  <c r="L314"/>
  <c r="K314"/>
  <c r="V314" s="1" a="1"/>
  <c r="V314" s="1"/>
  <c r="R313"/>
  <c r="P313"/>
  <c r="N313"/>
  <c r="L313"/>
  <c r="K313"/>
  <c r="V313" s="1" a="1"/>
  <c r="V313" s="1"/>
  <c r="R312"/>
  <c r="N312"/>
  <c r="P312" s="1"/>
  <c r="S312" s="1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N271"/>
  <c r="L271"/>
  <c r="K271"/>
  <c r="V271" s="1" a="1"/>
  <c r="V271" s="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N249"/>
  <c r="L249"/>
  <c r="K249"/>
  <c r="R248"/>
  <c r="N248"/>
  <c r="P248" s="1"/>
  <c r="S248" s="1"/>
  <c r="L248"/>
  <c r="K248"/>
  <c r="R247"/>
  <c r="P247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P240"/>
  <c r="N240"/>
  <c r="L240"/>
  <c r="K240"/>
  <c r="V240" s="1" a="1"/>
  <c r="V240" s="1"/>
  <c r="R239"/>
  <c r="P239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P112"/>
  <c r="S112" s="1"/>
  <c r="N112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P104"/>
  <c r="N104"/>
  <c r="L104"/>
  <c r="K104"/>
  <c r="V104" s="1" a="1"/>
  <c r="V104" s="1"/>
  <c r="R103"/>
  <c r="P103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P62"/>
  <c r="N62"/>
  <c r="L62"/>
  <c r="V62" s="1" a="1"/>
  <c r="V62" s="1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P32"/>
  <c r="N32"/>
  <c r="L32"/>
  <c r="V32" s="1" a="1"/>
  <c r="V32" s="1"/>
  <c r="K32"/>
  <c r="R31"/>
  <c r="P31"/>
  <c r="S31" s="1"/>
  <c r="N31"/>
  <c r="L31"/>
  <c r="K31"/>
  <c r="R30"/>
  <c r="P30"/>
  <c r="N30"/>
  <c r="L30"/>
  <c r="V30" s="1" a="1"/>
  <c r="V30" s="1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N7"/>
  <c r="P7" s="1"/>
  <c r="L7"/>
  <c r="K7"/>
  <c r="V7" s="1" a="1"/>
  <c r="V7" s="1"/>
  <c r="R6"/>
  <c r="N6"/>
  <c r="P6" s="1"/>
  <c r="L6"/>
  <c r="K6"/>
  <c r="P450" i="524"/>
  <c r="O450"/>
  <c r="N450"/>
  <c r="M450"/>
  <c r="L450"/>
  <c r="K450"/>
  <c r="I450"/>
  <c r="H450"/>
  <c r="G450"/>
  <c r="F450"/>
  <c r="E450"/>
  <c r="P443"/>
  <c r="P452" s="1"/>
  <c r="O443"/>
  <c r="N443"/>
  <c r="N452" s="1"/>
  <c r="M443"/>
  <c r="M452" s="1"/>
  <c r="L443"/>
  <c r="L452" s="1"/>
  <c r="K443"/>
  <c r="I443"/>
  <c r="I452" s="1"/>
  <c r="H443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P347"/>
  <c r="N347"/>
  <c r="L347"/>
  <c r="V347" s="1" a="1"/>
  <c r="V347" s="1"/>
  <c r="K347"/>
  <c r="R346"/>
  <c r="P346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N320"/>
  <c r="L320"/>
  <c r="V320" s="1" a="1"/>
  <c r="V320" s="1"/>
  <c r="K320"/>
  <c r="R319"/>
  <c r="N319"/>
  <c r="P319" s="1"/>
  <c r="S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N313"/>
  <c r="P313" s="1"/>
  <c r="S313" s="1"/>
  <c r="L313"/>
  <c r="K313"/>
  <c r="R312"/>
  <c r="P312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P292"/>
  <c r="S292" s="1"/>
  <c r="N292"/>
  <c r="L292"/>
  <c r="K292"/>
  <c r="R291"/>
  <c r="P29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N272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N251"/>
  <c r="P251" s="1"/>
  <c r="S251" s="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P241"/>
  <c r="N241"/>
  <c r="L241"/>
  <c r="K241"/>
  <c r="R240"/>
  <c r="N240"/>
  <c r="P240" s="1"/>
  <c r="S240" s="1"/>
  <c r="L240"/>
  <c r="K240"/>
  <c r="R239"/>
  <c r="N239"/>
  <c r="P239" s="1"/>
  <c r="S239" s="1"/>
  <c r="L239"/>
  <c r="K239"/>
  <c r="R238"/>
  <c r="N238"/>
  <c r="P238" s="1"/>
  <c r="S238" s="1"/>
  <c r="L238"/>
  <c r="K238"/>
  <c r="R237"/>
  <c r="N237"/>
  <c r="P237" s="1"/>
  <c r="S237" s="1"/>
  <c r="L237"/>
  <c r="K237"/>
  <c r="R236"/>
  <c r="N236"/>
  <c r="P236" s="1"/>
  <c r="S236" s="1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P223"/>
  <c r="N223"/>
  <c r="L223"/>
  <c r="V223" s="1" a="1"/>
  <c r="V223" s="1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S210"/>
  <c r="K208"/>
  <c r="AA207"/>
  <c r="C427"/>
  <c r="K206"/>
  <c r="C426" s="1"/>
  <c r="AA205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P140"/>
  <c r="N140"/>
  <c r="L140"/>
  <c r="K140"/>
  <c r="R139"/>
  <c r="P139"/>
  <c r="N139"/>
  <c r="L139"/>
  <c r="K139"/>
  <c r="R138"/>
  <c r="N138"/>
  <c r="P138" s="1"/>
  <c r="L138"/>
  <c r="R137"/>
  <c r="N137"/>
  <c r="P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P82"/>
  <c r="N82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N63"/>
  <c r="L63"/>
  <c r="K63"/>
  <c r="R62"/>
  <c r="N62"/>
  <c r="P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N15"/>
  <c r="P15" s="1"/>
  <c r="S15" s="1"/>
  <c r="L15"/>
  <c r="K15"/>
  <c r="R14"/>
  <c r="P14"/>
  <c r="N14"/>
  <c r="L14"/>
  <c r="K14"/>
  <c r="V14" s="1" a="1"/>
  <c r="V14" s="1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P450" i="523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M420"/>
  <c r="U419"/>
  <c r="Y419" s="1"/>
  <c r="S419"/>
  <c r="W419" s="1"/>
  <c r="Y418"/>
  <c r="W418"/>
  <c r="Y417"/>
  <c r="W417"/>
  <c r="AA417" s="1"/>
  <c r="K417"/>
  <c r="G420" s="1"/>
  <c r="Y416"/>
  <c r="W416"/>
  <c r="K416"/>
  <c r="Y415"/>
  <c r="W415"/>
  <c r="AA415" s="1"/>
  <c r="K415"/>
  <c r="Y414"/>
  <c r="W414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N405"/>
  <c r="P405" s="1"/>
  <c r="S405" s="1"/>
  <c r="L405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L402"/>
  <c r="K402"/>
  <c r="R401"/>
  <c r="N401"/>
  <c r="P401" s="1"/>
  <c r="S401" s="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N397"/>
  <c r="P397" s="1"/>
  <c r="S397" s="1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N393"/>
  <c r="P393" s="1"/>
  <c r="S393" s="1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N389"/>
  <c r="P389" s="1"/>
  <c r="S389" s="1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N385"/>
  <c r="P385" s="1"/>
  <c r="S385" s="1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N381"/>
  <c r="P381" s="1"/>
  <c r="S381" s="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N377"/>
  <c r="P377" s="1"/>
  <c r="S377" s="1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L374"/>
  <c r="K374"/>
  <c r="R373"/>
  <c r="N373"/>
  <c r="P373" s="1"/>
  <c r="S373" s="1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L370"/>
  <c r="K370"/>
  <c r="R369"/>
  <c r="N369"/>
  <c r="P369" s="1"/>
  <c r="S369" s="1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L366"/>
  <c r="K366"/>
  <c r="R365"/>
  <c r="N365"/>
  <c r="P365" s="1"/>
  <c r="S365" s="1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L362"/>
  <c r="K362"/>
  <c r="R361"/>
  <c r="N361"/>
  <c r="P361" s="1"/>
  <c r="S361" s="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L358"/>
  <c r="K358"/>
  <c r="R357"/>
  <c r="N357"/>
  <c r="P357" s="1"/>
  <c r="L357"/>
  <c r="K357"/>
  <c r="R356"/>
  <c r="N356"/>
  <c r="P356" s="1"/>
  <c r="S356" s="1"/>
  <c r="L356"/>
  <c r="K356"/>
  <c r="R355"/>
  <c r="P355"/>
  <c r="S355" s="1"/>
  <c r="N355"/>
  <c r="L355"/>
  <c r="V355" s="1" a="1"/>
  <c r="V355" s="1"/>
  <c r="K355"/>
  <c r="R354"/>
  <c r="N354"/>
  <c r="P354" s="1"/>
  <c r="L354"/>
  <c r="K354"/>
  <c r="R353"/>
  <c r="N353"/>
  <c r="P353" s="1"/>
  <c r="S353" s="1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N349"/>
  <c r="P349" s="1"/>
  <c r="S349" s="1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N345"/>
  <c r="P345" s="1"/>
  <c r="S345" s="1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N341"/>
  <c r="P341" s="1"/>
  <c r="S341" s="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L338"/>
  <c r="K338"/>
  <c r="R337"/>
  <c r="N337"/>
  <c r="P337" s="1"/>
  <c r="L337"/>
  <c r="K337"/>
  <c r="R336"/>
  <c r="N336"/>
  <c r="P336" s="1"/>
  <c r="S336" s="1"/>
  <c r="L336"/>
  <c r="K336"/>
  <c r="R335"/>
  <c r="P335"/>
  <c r="S335" s="1"/>
  <c r="N335"/>
  <c r="L335"/>
  <c r="V335" s="1" a="1"/>
  <c r="V335" s="1"/>
  <c r="K335"/>
  <c r="R334"/>
  <c r="N334"/>
  <c r="P334" s="1"/>
  <c r="L334"/>
  <c r="K334"/>
  <c r="R333"/>
  <c r="N333"/>
  <c r="P333" s="1"/>
  <c r="S333" s="1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L330"/>
  <c r="K330"/>
  <c r="R329"/>
  <c r="N329"/>
  <c r="P329" s="1"/>
  <c r="S329" s="1"/>
  <c r="L329"/>
  <c r="K329"/>
  <c r="R328"/>
  <c r="P328"/>
  <c r="S328" s="1"/>
  <c r="N328"/>
  <c r="L328"/>
  <c r="V328" s="1" a="1"/>
  <c r="V328" s="1"/>
  <c r="K328"/>
  <c r="R327"/>
  <c r="N327"/>
  <c r="P327" s="1"/>
  <c r="L327"/>
  <c r="K327"/>
  <c r="R326"/>
  <c r="N326"/>
  <c r="P326" s="1"/>
  <c r="L326"/>
  <c r="K326"/>
  <c r="R325"/>
  <c r="N325"/>
  <c r="P325" s="1"/>
  <c r="S325" s="1"/>
  <c r="L325"/>
  <c r="K325"/>
  <c r="R324"/>
  <c r="P324"/>
  <c r="S324" s="1"/>
  <c r="N324"/>
  <c r="L324"/>
  <c r="V324" s="1" a="1"/>
  <c r="V324" s="1"/>
  <c r="K324"/>
  <c r="R323"/>
  <c r="N323"/>
  <c r="P323" s="1"/>
  <c r="L323"/>
  <c r="K323"/>
  <c r="R322"/>
  <c r="N322"/>
  <c r="P322" s="1"/>
  <c r="L322"/>
  <c r="K322"/>
  <c r="R321"/>
  <c r="N321"/>
  <c r="P321" s="1"/>
  <c r="S321" s="1"/>
  <c r="L321"/>
  <c r="K321"/>
  <c r="R320"/>
  <c r="P320"/>
  <c r="S320" s="1"/>
  <c r="N320"/>
  <c r="L320"/>
  <c r="V320" s="1" a="1"/>
  <c r="V320" s="1"/>
  <c r="K320"/>
  <c r="R319"/>
  <c r="N319"/>
  <c r="P319" s="1"/>
  <c r="L319"/>
  <c r="K319"/>
  <c r="R318"/>
  <c r="N318"/>
  <c r="P318" s="1"/>
  <c r="S318" s="1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L312"/>
  <c r="K312"/>
  <c r="R311"/>
  <c r="N311"/>
  <c r="P311" s="1"/>
  <c r="S311" s="1"/>
  <c r="L311"/>
  <c r="K311"/>
  <c r="R310"/>
  <c r="P310"/>
  <c r="S310" s="1"/>
  <c r="N310"/>
  <c r="L310"/>
  <c r="V310" s="1" a="1"/>
  <c r="V310" s="1"/>
  <c r="K310"/>
  <c r="R309"/>
  <c r="N309"/>
  <c r="P309" s="1"/>
  <c r="L309"/>
  <c r="K309"/>
  <c r="R308"/>
  <c r="N308"/>
  <c r="P308" s="1"/>
  <c r="L308"/>
  <c r="K308"/>
  <c r="R307"/>
  <c r="N307"/>
  <c r="P307" s="1"/>
  <c r="S307" s="1"/>
  <c r="L307"/>
  <c r="K307"/>
  <c r="R306"/>
  <c r="P306"/>
  <c r="S306" s="1"/>
  <c r="N306"/>
  <c r="L306"/>
  <c r="V306" s="1" a="1"/>
  <c r="V306" s="1"/>
  <c r="K306"/>
  <c r="R305"/>
  <c r="N305"/>
  <c r="P305" s="1"/>
  <c r="L305"/>
  <c r="K305"/>
  <c r="R304"/>
  <c r="N304"/>
  <c r="P304" s="1"/>
  <c r="L304"/>
  <c r="K304"/>
  <c r="R303"/>
  <c r="N303"/>
  <c r="P303" s="1"/>
  <c r="S303" s="1"/>
  <c r="L303"/>
  <c r="K303"/>
  <c r="R302"/>
  <c r="P302"/>
  <c r="S302" s="1"/>
  <c r="N302"/>
  <c r="L302"/>
  <c r="V302" s="1" a="1"/>
  <c r="V302" s="1"/>
  <c r="K302"/>
  <c r="R301"/>
  <c r="N301"/>
  <c r="P301" s="1"/>
  <c r="L301"/>
  <c r="K301"/>
  <c r="R300"/>
  <c r="N300"/>
  <c r="P300" s="1"/>
  <c r="L300"/>
  <c r="K300"/>
  <c r="R299"/>
  <c r="N299"/>
  <c r="P299" s="1"/>
  <c r="S299" s="1"/>
  <c r="L299"/>
  <c r="K299"/>
  <c r="R298"/>
  <c r="P298"/>
  <c r="S298" s="1"/>
  <c r="N298"/>
  <c r="L298"/>
  <c r="V298" s="1" a="1"/>
  <c r="V298" s="1"/>
  <c r="K298"/>
  <c r="R297"/>
  <c r="N297"/>
  <c r="P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P294"/>
  <c r="S294" s="1"/>
  <c r="N294"/>
  <c r="L294"/>
  <c r="K294"/>
  <c r="R293"/>
  <c r="N293"/>
  <c r="P293" s="1"/>
  <c r="S293" s="1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L290"/>
  <c r="K290"/>
  <c r="R289"/>
  <c r="N289"/>
  <c r="P289" s="1"/>
  <c r="L289"/>
  <c r="K289"/>
  <c r="R288"/>
  <c r="N288"/>
  <c r="P288" s="1"/>
  <c r="S288" s="1"/>
  <c r="L288"/>
  <c r="K288"/>
  <c r="R287"/>
  <c r="P287"/>
  <c r="S287" s="1"/>
  <c r="N287"/>
  <c r="L287"/>
  <c r="V287" s="1" a="1"/>
  <c r="V287" s="1"/>
  <c r="K287"/>
  <c r="R286"/>
  <c r="N286"/>
  <c r="P286" s="1"/>
  <c r="L286"/>
  <c r="K286"/>
  <c r="R285"/>
  <c r="N285"/>
  <c r="P285" s="1"/>
  <c r="L285"/>
  <c r="K285"/>
  <c r="R284"/>
  <c r="N284"/>
  <c r="P284" s="1"/>
  <c r="S284" s="1"/>
  <c r="L284"/>
  <c r="K284"/>
  <c r="R283"/>
  <c r="P283"/>
  <c r="S283" s="1"/>
  <c r="N283"/>
  <c r="L283"/>
  <c r="V283" s="1" a="1"/>
  <c r="V283" s="1"/>
  <c r="K283"/>
  <c r="R282"/>
  <c r="N282"/>
  <c r="P282" s="1"/>
  <c r="L282"/>
  <c r="K282"/>
  <c r="R281"/>
  <c r="N281"/>
  <c r="P281" s="1"/>
  <c r="L281"/>
  <c r="K281"/>
  <c r="R280"/>
  <c r="N280"/>
  <c r="P280" s="1"/>
  <c r="S280" s="1"/>
  <c r="L280"/>
  <c r="K280"/>
  <c r="R279"/>
  <c r="P279"/>
  <c r="S279" s="1"/>
  <c r="N279"/>
  <c r="L279"/>
  <c r="V279" s="1" a="1"/>
  <c r="V279" s="1"/>
  <c r="K279"/>
  <c r="R278"/>
  <c r="N278"/>
  <c r="P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L274"/>
  <c r="K274"/>
  <c r="R273"/>
  <c r="N273"/>
  <c r="P273" s="1"/>
  <c r="S273" s="1"/>
  <c r="L273"/>
  <c r="K273"/>
  <c r="R272"/>
  <c r="P272"/>
  <c r="S272" s="1"/>
  <c r="N272"/>
  <c r="L272"/>
  <c r="V272" s="1" a="1"/>
  <c r="V272" s="1"/>
  <c r="K272"/>
  <c r="R271"/>
  <c r="N271"/>
  <c r="P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L266"/>
  <c r="K266"/>
  <c r="R265"/>
  <c r="N265"/>
  <c r="P265" s="1"/>
  <c r="L265"/>
  <c r="K265"/>
  <c r="R264"/>
  <c r="N264"/>
  <c r="P264" s="1"/>
  <c r="S264" s="1"/>
  <c r="L264"/>
  <c r="K264"/>
  <c r="R263"/>
  <c r="P263"/>
  <c r="S263" s="1"/>
  <c r="N263"/>
  <c r="L263"/>
  <c r="V263" s="1" a="1"/>
  <c r="V263" s="1"/>
  <c r="K263"/>
  <c r="R262"/>
  <c r="N262"/>
  <c r="P262" s="1"/>
  <c r="L262"/>
  <c r="K262"/>
  <c r="R261"/>
  <c r="N261"/>
  <c r="P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V235" s="1" a="1"/>
  <c r="V235" s="1"/>
  <c r="K235"/>
  <c r="R234"/>
  <c r="N234"/>
  <c r="P234" s="1"/>
  <c r="L234"/>
  <c r="K234"/>
  <c r="R233"/>
  <c r="N233"/>
  <c r="P233" s="1"/>
  <c r="L233"/>
  <c r="K233"/>
  <c r="R232"/>
  <c r="N232"/>
  <c r="P232" s="1"/>
  <c r="S232" s="1"/>
  <c r="L232"/>
  <c r="K232"/>
  <c r="R231"/>
  <c r="P231"/>
  <c r="S231" s="1"/>
  <c r="N231"/>
  <c r="L231"/>
  <c r="V231" s="1" a="1"/>
  <c r="V231" s="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V227" s="1" a="1"/>
  <c r="V227" s="1"/>
  <c r="K227"/>
  <c r="R226"/>
  <c r="N226"/>
  <c r="P226" s="1"/>
  <c r="L226"/>
  <c r="K226"/>
  <c r="R225"/>
  <c r="N225"/>
  <c r="P225" s="1"/>
  <c r="L225"/>
  <c r="K225"/>
  <c r="R224"/>
  <c r="N224"/>
  <c r="P224" s="1"/>
  <c r="S224" s="1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N217"/>
  <c r="P217" s="1"/>
  <c r="S217" s="1"/>
  <c r="L217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V99" s="1" a="1"/>
  <c r="V99" s="1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P14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K199" s="1" a="1"/>
  <c r="K199" s="1"/>
  <c r="C451" i="52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N134"/>
  <c r="P134" s="1"/>
  <c r="L134"/>
  <c r="V134" s="1" a="1"/>
  <c r="V134" s="1"/>
  <c r="K134"/>
  <c r="R133"/>
  <c r="N133"/>
  <c r="P133" s="1"/>
  <c r="L133"/>
  <c r="K133"/>
  <c r="V133" s="1" a="1"/>
  <c r="V133" s="1"/>
  <c r="R132"/>
  <c r="N132"/>
  <c r="P132" s="1"/>
  <c r="L132"/>
  <c r="K132"/>
  <c r="V132" s="1" a="1"/>
  <c r="V132" s="1"/>
  <c r="R131"/>
  <c r="N131"/>
  <c r="P131" s="1"/>
  <c r="L131"/>
  <c r="K131"/>
  <c r="R130"/>
  <c r="N130"/>
  <c r="P130" s="1"/>
  <c r="L130"/>
  <c r="K130"/>
  <c r="R129"/>
  <c r="N129"/>
  <c r="P129" s="1"/>
  <c r="L129"/>
  <c r="K129"/>
  <c r="V129" s="1" a="1"/>
  <c r="V129" s="1"/>
  <c r="R128"/>
  <c r="N128"/>
  <c r="P128" s="1"/>
  <c r="L128"/>
  <c r="K128"/>
  <c r="V128" s="1" a="1"/>
  <c r="V128" s="1"/>
  <c r="R127"/>
  <c r="N127"/>
  <c r="P127" s="1"/>
  <c r="L127"/>
  <c r="K127"/>
  <c r="V127" s="1" a="1"/>
  <c r="V127" s="1"/>
  <c r="R126"/>
  <c r="N126"/>
  <c r="P126" s="1"/>
  <c r="L126"/>
  <c r="K126"/>
  <c r="V126" s="1" a="1"/>
  <c r="V126" s="1"/>
  <c r="R125"/>
  <c r="N125"/>
  <c r="P125" s="1"/>
  <c r="L125"/>
  <c r="K125"/>
  <c r="R124"/>
  <c r="N124"/>
  <c r="P124" s="1"/>
  <c r="L124"/>
  <c r="K124"/>
  <c r="R123"/>
  <c r="N123"/>
  <c r="P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V120" s="1" a="1"/>
  <c r="V120" s="1"/>
  <c r="R119"/>
  <c r="N119"/>
  <c r="P119" s="1"/>
  <c r="L119"/>
  <c r="K119"/>
  <c r="V119" s="1" a="1"/>
  <c r="V119" s="1"/>
  <c r="R118"/>
  <c r="N118"/>
  <c r="P118" s="1"/>
  <c r="L118"/>
  <c r="K118"/>
  <c r="V118" s="1" a="1"/>
  <c r="V118" s="1"/>
  <c r="R117"/>
  <c r="N117"/>
  <c r="P117" s="1"/>
  <c r="L117"/>
  <c r="K117"/>
  <c r="V117" s="1" a="1"/>
  <c r="V117" s="1"/>
  <c r="R116"/>
  <c r="N116"/>
  <c r="P116" s="1"/>
  <c r="L116"/>
  <c r="K116"/>
  <c r="V116" s="1" a="1"/>
  <c r="V116" s="1"/>
  <c r="R115"/>
  <c r="N115"/>
  <c r="P115" s="1"/>
  <c r="L115"/>
  <c r="K115"/>
  <c r="V115" s="1" a="1"/>
  <c r="V115" s="1"/>
  <c r="R114"/>
  <c r="N114"/>
  <c r="P114" s="1"/>
  <c r="L114"/>
  <c r="K114"/>
  <c r="V114" s="1" a="1"/>
  <c r="V114" s="1"/>
  <c r="R113"/>
  <c r="N113"/>
  <c r="P113" s="1"/>
  <c r="L113"/>
  <c r="K113"/>
  <c r="V113" s="1" a="1"/>
  <c r="V113" s="1"/>
  <c r="R112"/>
  <c r="N112"/>
  <c r="P112" s="1"/>
  <c r="L112"/>
  <c r="K112"/>
  <c r="R111"/>
  <c r="N111"/>
  <c r="P111" s="1"/>
  <c r="L111"/>
  <c r="K111"/>
  <c r="V111" s="1" a="1"/>
  <c r="V111" s="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L107"/>
  <c r="K107"/>
  <c r="V107" s="1" a="1"/>
  <c r="V107" s="1"/>
  <c r="R106"/>
  <c r="N106"/>
  <c r="P106" s="1"/>
  <c r="L106"/>
  <c r="K106"/>
  <c r="V106" s="1" a="1"/>
  <c r="V106" s="1"/>
  <c r="R105"/>
  <c r="N105"/>
  <c r="P105" s="1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V102" s="1" a="1"/>
  <c r="V102" s="1"/>
  <c r="R101"/>
  <c r="N101"/>
  <c r="P101" s="1"/>
  <c r="L101"/>
  <c r="K101"/>
  <c r="V101" s="1" a="1"/>
  <c r="V101" s="1"/>
  <c r="R100"/>
  <c r="N100"/>
  <c r="P100" s="1"/>
  <c r="L100"/>
  <c r="K100"/>
  <c r="R99"/>
  <c r="N99"/>
  <c r="P99" s="1"/>
  <c r="L99"/>
  <c r="K99"/>
  <c r="V99" s="1" a="1"/>
  <c r="V99" s="1"/>
  <c r="R98"/>
  <c r="N98"/>
  <c r="P98" s="1"/>
  <c r="L98"/>
  <c r="K98"/>
  <c r="V98" s="1" a="1"/>
  <c r="V98" s="1"/>
  <c r="R97"/>
  <c r="N97"/>
  <c r="P97" s="1"/>
  <c r="L97"/>
  <c r="K97"/>
  <c r="V97" s="1" a="1"/>
  <c r="V97" s="1"/>
  <c r="R96"/>
  <c r="N96"/>
  <c r="P96" s="1"/>
  <c r="L96"/>
  <c r="K96"/>
  <c r="V96" s="1" a="1"/>
  <c r="V96" s="1"/>
  <c r="R95"/>
  <c r="N95"/>
  <c r="P95" s="1"/>
  <c r="L95"/>
  <c r="K95"/>
  <c r="V95" s="1" a="1"/>
  <c r="V95" s="1"/>
  <c r="R94"/>
  <c r="N94"/>
  <c r="P94" s="1"/>
  <c r="L94"/>
  <c r="K94"/>
  <c r="V94" s="1" a="1"/>
  <c r="V94" s="1"/>
  <c r="R93"/>
  <c r="N93"/>
  <c r="P93" s="1"/>
  <c r="L93"/>
  <c r="K93"/>
  <c r="V93" s="1" a="1"/>
  <c r="V93" s="1"/>
  <c r="R92"/>
  <c r="N92"/>
  <c r="P92" s="1"/>
  <c r="L92"/>
  <c r="K92"/>
  <c r="V92" s="1" a="1"/>
  <c r="V92" s="1"/>
  <c r="R91"/>
  <c r="N91"/>
  <c r="P91" s="1"/>
  <c r="L91"/>
  <c r="K91"/>
  <c r="V91" s="1" a="1"/>
  <c r="V91" s="1"/>
  <c r="R90"/>
  <c r="S90" s="1"/>
  <c r="N90"/>
  <c r="P90" s="1"/>
  <c r="L90"/>
  <c r="K90"/>
  <c r="V90" s="1" a="1"/>
  <c r="V90" s="1"/>
  <c r="R89"/>
  <c r="N89"/>
  <c r="P89" s="1"/>
  <c r="L89"/>
  <c r="K89"/>
  <c r="V89" s="1" a="1"/>
  <c r="V89" s="1"/>
  <c r="R88"/>
  <c r="S88" s="1"/>
  <c r="N88"/>
  <c r="P88" s="1"/>
  <c r="L88"/>
  <c r="K88"/>
  <c r="V88" s="1" a="1"/>
  <c r="V88" s="1"/>
  <c r="R87"/>
  <c r="S87" s="1"/>
  <c r="N87"/>
  <c r="P87" s="1"/>
  <c r="L87"/>
  <c r="K87"/>
  <c r="R86"/>
  <c r="S86" s="1"/>
  <c r="N86"/>
  <c r="P86" s="1"/>
  <c r="L86"/>
  <c r="K86"/>
  <c r="R85"/>
  <c r="S85" s="1"/>
  <c r="N85"/>
  <c r="P85" s="1"/>
  <c r="L85"/>
  <c r="K85"/>
  <c r="R84"/>
  <c r="N84"/>
  <c r="P84" s="1"/>
  <c r="L84"/>
  <c r="K84"/>
  <c r="V84" s="1" a="1"/>
  <c r="V84" s="1"/>
  <c r="R83"/>
  <c r="N83"/>
  <c r="P83" s="1"/>
  <c r="L83"/>
  <c r="K83"/>
  <c r="R82"/>
  <c r="S82" s="1"/>
  <c r="N82"/>
  <c r="P82" s="1"/>
  <c r="L82"/>
  <c r="K82"/>
  <c r="V82" s="1" a="1"/>
  <c r="V82" s="1"/>
  <c r="R81"/>
  <c r="N81"/>
  <c r="P81" s="1"/>
  <c r="L81"/>
  <c r="K81"/>
  <c r="R80"/>
  <c r="N80"/>
  <c r="P80" s="1"/>
  <c r="L80"/>
  <c r="K80"/>
  <c r="V80" s="1" a="1"/>
  <c r="V80" s="1"/>
  <c r="R79"/>
  <c r="S79" s="1"/>
  <c r="N79"/>
  <c r="P79" s="1"/>
  <c r="L79"/>
  <c r="K79"/>
  <c r="V79" s="1" a="1"/>
  <c r="V79" s="1"/>
  <c r="R78"/>
  <c r="N78"/>
  <c r="P78" s="1"/>
  <c r="L78"/>
  <c r="K78"/>
  <c r="V78" s="1" a="1"/>
  <c r="V78" s="1"/>
  <c r="R77"/>
  <c r="N77"/>
  <c r="P77" s="1"/>
  <c r="L77"/>
  <c r="K77"/>
  <c r="V77" s="1" a="1"/>
  <c r="V77" s="1"/>
  <c r="R76"/>
  <c r="N76"/>
  <c r="P76" s="1"/>
  <c r="L76"/>
  <c r="K76"/>
  <c r="V76" s="1" a="1"/>
  <c r="V76" s="1"/>
  <c r="R75"/>
  <c r="S75" s="1"/>
  <c r="N75"/>
  <c r="P75" s="1"/>
  <c r="L75"/>
  <c r="K75"/>
  <c r="V75" s="1" a="1"/>
  <c r="V75" s="1"/>
  <c r="R74"/>
  <c r="N74"/>
  <c r="P74" s="1"/>
  <c r="L74"/>
  <c r="K74"/>
  <c r="V74" s="1" a="1"/>
  <c r="V74" s="1"/>
  <c r="R73"/>
  <c r="S73" s="1"/>
  <c r="N73"/>
  <c r="P73" s="1"/>
  <c r="L73"/>
  <c r="K73"/>
  <c r="V73" s="1" a="1"/>
  <c r="V73" s="1"/>
  <c r="R72"/>
  <c r="N72"/>
  <c r="P72" s="1"/>
  <c r="L72"/>
  <c r="K72"/>
  <c r="V72" s="1" a="1"/>
  <c r="V72" s="1"/>
  <c r="R71"/>
  <c r="S71" s="1"/>
  <c r="N71"/>
  <c r="P71" s="1"/>
  <c r="L71"/>
  <c r="K71"/>
  <c r="V71" s="1" a="1"/>
  <c r="V71" s="1"/>
  <c r="R70"/>
  <c r="N70"/>
  <c r="P70" s="1"/>
  <c r="L70"/>
  <c r="K70"/>
  <c r="V70" s="1" a="1"/>
  <c r="V70" s="1"/>
  <c r="R69"/>
  <c r="N69"/>
  <c r="P69" s="1"/>
  <c r="L69"/>
  <c r="K69"/>
  <c r="R68"/>
  <c r="N68"/>
  <c r="P68" s="1"/>
  <c r="L68"/>
  <c r="K68"/>
  <c r="R67"/>
  <c r="N67"/>
  <c r="P67" s="1"/>
  <c r="L67"/>
  <c r="K67"/>
  <c r="R66"/>
  <c r="N66"/>
  <c r="P66" s="1"/>
  <c r="L66"/>
  <c r="K66"/>
  <c r="R65"/>
  <c r="N65"/>
  <c r="P65" s="1"/>
  <c r="L65"/>
  <c r="K65"/>
  <c r="R64"/>
  <c r="S64" s="1"/>
  <c r="N64"/>
  <c r="P64" s="1"/>
  <c r="L64"/>
  <c r="K64"/>
  <c r="V64" s="1" a="1"/>
  <c r="V64" s="1"/>
  <c r="R63"/>
  <c r="N63"/>
  <c r="P63" s="1"/>
  <c r="L63"/>
  <c r="K63"/>
  <c r="V63" s="1" a="1"/>
  <c r="V63" s="1"/>
  <c r="R62"/>
  <c r="N62"/>
  <c r="P62" s="1"/>
  <c r="L62"/>
  <c r="K62"/>
  <c r="V62" s="1" a="1"/>
  <c r="V62" s="1"/>
  <c r="R61"/>
  <c r="N61"/>
  <c r="P61" s="1"/>
  <c r="L61"/>
  <c r="K61"/>
  <c r="R60"/>
  <c r="S60" s="1"/>
  <c r="N60"/>
  <c r="P60" s="1"/>
  <c r="L60"/>
  <c r="K60"/>
  <c r="R59"/>
  <c r="N59"/>
  <c r="P59" s="1"/>
  <c r="L59"/>
  <c r="K59"/>
  <c r="V59" s="1" a="1"/>
  <c r="V59" s="1"/>
  <c r="R58"/>
  <c r="N58"/>
  <c r="P58" s="1"/>
  <c r="L58"/>
  <c r="K58"/>
  <c r="V58" s="1" a="1"/>
  <c r="V58" s="1"/>
  <c r="R57"/>
  <c r="N57"/>
  <c r="P57" s="1"/>
  <c r="L57"/>
  <c r="K57"/>
  <c r="R56"/>
  <c r="N56"/>
  <c r="P56" s="1"/>
  <c r="L56"/>
  <c r="K56"/>
  <c r="V56" s="1" a="1"/>
  <c r="V56" s="1"/>
  <c r="R55"/>
  <c r="N55"/>
  <c r="P55" s="1"/>
  <c r="L55"/>
  <c r="K55"/>
  <c r="V55" s="1" a="1"/>
  <c r="V55" s="1"/>
  <c r="R54"/>
  <c r="N54"/>
  <c r="P54" s="1"/>
  <c r="L54"/>
  <c r="K54"/>
  <c r="V54" s="1" a="1"/>
  <c r="V54" s="1"/>
  <c r="R53"/>
  <c r="N53"/>
  <c r="P53" s="1"/>
  <c r="L53"/>
  <c r="K53"/>
  <c r="V53" s="1" a="1"/>
  <c r="V53" s="1"/>
  <c r="R52"/>
  <c r="N52"/>
  <c r="P52" s="1"/>
  <c r="L52"/>
  <c r="K52"/>
  <c r="V52" s="1" a="1"/>
  <c r="V52" s="1"/>
  <c r="R51"/>
  <c r="N51"/>
  <c r="P51" s="1"/>
  <c r="L51"/>
  <c r="K51"/>
  <c r="V51" s="1" a="1"/>
  <c r="V51" s="1"/>
  <c r="R50"/>
  <c r="N50"/>
  <c r="P50" s="1"/>
  <c r="L50"/>
  <c r="K50"/>
  <c r="V50" s="1" a="1"/>
  <c r="V50" s="1"/>
  <c r="R49"/>
  <c r="N49"/>
  <c r="P49" s="1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L45"/>
  <c r="K45"/>
  <c r="V45" s="1" a="1"/>
  <c r="V45" s="1"/>
  <c r="R44"/>
  <c r="N44"/>
  <c r="P44" s="1"/>
  <c r="L44"/>
  <c r="K44"/>
  <c r="V44" s="1" a="1"/>
  <c r="V44" s="1"/>
  <c r="R43"/>
  <c r="N43"/>
  <c r="P43" s="1"/>
  <c r="L43"/>
  <c r="K43"/>
  <c r="V43" s="1" a="1"/>
  <c r="V43" s="1"/>
  <c r="R42"/>
  <c r="N42"/>
  <c r="P42" s="1"/>
  <c r="L42"/>
  <c r="K42"/>
  <c r="V42" s="1" a="1"/>
  <c r="V42" s="1"/>
  <c r="R41"/>
  <c r="N41"/>
  <c r="P41" s="1"/>
  <c r="L41"/>
  <c r="K41"/>
  <c r="V41" s="1" a="1"/>
  <c r="V41" s="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L37"/>
  <c r="K37"/>
  <c r="V37" s="1" a="1"/>
  <c r="V37" s="1"/>
  <c r="R36"/>
  <c r="N36"/>
  <c r="P36" s="1"/>
  <c r="L36"/>
  <c r="K36"/>
  <c r="V36" s="1" a="1"/>
  <c r="V36" s="1"/>
  <c r="R35"/>
  <c r="N35"/>
  <c r="P35" s="1"/>
  <c r="L35"/>
  <c r="K35"/>
  <c r="V35" s="1" a="1"/>
  <c r="V35" s="1"/>
  <c r="R34"/>
  <c r="N34"/>
  <c r="P34" s="1"/>
  <c r="L34"/>
  <c r="K34"/>
  <c r="V34" s="1" a="1"/>
  <c r="V34" s="1"/>
  <c r="R33"/>
  <c r="N33"/>
  <c r="P33" s="1"/>
  <c r="L33"/>
  <c r="K33"/>
  <c r="V33" s="1" a="1"/>
  <c r="V33" s="1"/>
  <c r="R32"/>
  <c r="N32"/>
  <c r="P32" s="1"/>
  <c r="L32"/>
  <c r="K32"/>
  <c r="V32" s="1" a="1"/>
  <c r="V32" s="1"/>
  <c r="R31"/>
  <c r="N31"/>
  <c r="P31" s="1"/>
  <c r="L31"/>
  <c r="K31"/>
  <c r="V31" s="1" a="1"/>
  <c r="V31" s="1"/>
  <c r="R30"/>
  <c r="N30"/>
  <c r="P30" s="1"/>
  <c r="L30"/>
  <c r="K30"/>
  <c r="V30" s="1" a="1"/>
  <c r="V30" s="1"/>
  <c r="R29"/>
  <c r="N29"/>
  <c r="P29" s="1"/>
  <c r="L29"/>
  <c r="K29"/>
  <c r="R28"/>
  <c r="N28"/>
  <c r="P28" s="1"/>
  <c r="L28"/>
  <c r="K28"/>
  <c r="V28" s="1" a="1"/>
  <c r="V28" s="1"/>
  <c r="R27"/>
  <c r="N27"/>
  <c r="P27" s="1"/>
  <c r="L27"/>
  <c r="K27"/>
  <c r="V27" s="1" a="1"/>
  <c r="V27" s="1"/>
  <c r="R26"/>
  <c r="N26"/>
  <c r="P26" s="1"/>
  <c r="L26"/>
  <c r="K26"/>
  <c r="V26" s="1" a="1"/>
  <c r="V26" s="1"/>
  <c r="R25"/>
  <c r="N25"/>
  <c r="P25" s="1"/>
  <c r="L25"/>
  <c r="K25"/>
  <c r="V25" s="1" a="1"/>
  <c r="V25" s="1"/>
  <c r="R24"/>
  <c r="N24"/>
  <c r="P24" s="1"/>
  <c r="L24"/>
  <c r="K24"/>
  <c r="V24" s="1" a="1"/>
  <c r="V24" s="1"/>
  <c r="R23"/>
  <c r="N23"/>
  <c r="P23" s="1"/>
  <c r="L23"/>
  <c r="K23"/>
  <c r="V23" s="1" a="1"/>
  <c r="V23" s="1"/>
  <c r="R22"/>
  <c r="N22"/>
  <c r="P22" s="1"/>
  <c r="L22"/>
  <c r="K22"/>
  <c r="V22" s="1" a="1"/>
  <c r="V22" s="1"/>
  <c r="R2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R6"/>
  <c r="R199" s="1"/>
  <c r="G424" s="1"/>
  <c r="N6"/>
  <c r="P6" s="1"/>
  <c r="P199" s="1"/>
  <c r="L6"/>
  <c r="L199" s="1"/>
  <c r="K6"/>
  <c r="K199" s="1" a="1"/>
  <c r="K199" s="1"/>
  <c r="C423" s="1"/>
  <c r="P450" i="521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G443"/>
  <c r="G452" s="1"/>
  <c r="F443"/>
  <c r="F452" s="1"/>
  <c r="E443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AA412" s="1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P286"/>
  <c r="N286"/>
  <c r="L286"/>
  <c r="V286" s="1" a="1"/>
  <c r="V286" s="1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N274"/>
  <c r="P274" s="1"/>
  <c r="S274" s="1"/>
  <c r="L274"/>
  <c r="K274"/>
  <c r="R273"/>
  <c r="N273"/>
  <c r="P273" s="1"/>
  <c r="S273" s="1"/>
  <c r="L273"/>
  <c r="K273"/>
  <c r="R272"/>
  <c r="N272"/>
  <c r="P272" s="1"/>
  <c r="S272" s="1"/>
  <c r="L272"/>
  <c r="K272"/>
  <c r="R271"/>
  <c r="N271"/>
  <c r="P271" s="1"/>
  <c r="S271" s="1"/>
  <c r="L271"/>
  <c r="K271"/>
  <c r="R270"/>
  <c r="N270"/>
  <c r="P270" s="1"/>
  <c r="S270" s="1"/>
  <c r="L270"/>
  <c r="K270"/>
  <c r="R269"/>
  <c r="N269"/>
  <c r="P269" s="1"/>
  <c r="S269" s="1"/>
  <c r="L269"/>
  <c r="K269"/>
  <c r="R268"/>
  <c r="P268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V264" s="1" a="1"/>
  <c r="V264" s="1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K235"/>
  <c r="R234"/>
  <c r="N234"/>
  <c r="P234" s="1"/>
  <c r="S234" s="1"/>
  <c r="L234"/>
  <c r="K234"/>
  <c r="R233"/>
  <c r="N233"/>
  <c r="P233" s="1"/>
  <c r="S233" s="1"/>
  <c r="L233"/>
  <c r="K233"/>
  <c r="R232"/>
  <c r="P232"/>
  <c r="S232" s="1"/>
  <c r="N232"/>
  <c r="L232"/>
  <c r="V232" s="1" a="1"/>
  <c r="V232" s="1"/>
  <c r="K232"/>
  <c r="R231"/>
  <c r="P231"/>
  <c r="S231" s="1"/>
  <c r="N231"/>
  <c r="L23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K227"/>
  <c r="R226"/>
  <c r="N226"/>
  <c r="P226" s="1"/>
  <c r="S226" s="1"/>
  <c r="L226"/>
  <c r="K226"/>
  <c r="R225"/>
  <c r="N225"/>
  <c r="P225" s="1"/>
  <c r="S225" s="1"/>
  <c r="L225"/>
  <c r="K225"/>
  <c r="R224"/>
  <c r="P224"/>
  <c r="N224"/>
  <c r="L224"/>
  <c r="K224"/>
  <c r="R223"/>
  <c r="P223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N220"/>
  <c r="P220" s="1"/>
  <c r="S220" s="1"/>
  <c r="L220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AA206" s="1"/>
  <c r="K206"/>
  <c r="C426" s="1"/>
  <c r="Y205"/>
  <c r="W205"/>
  <c r="Y204"/>
  <c r="W204"/>
  <c r="I204"/>
  <c r="K204" s="1" a="1"/>
  <c r="K204" s="1"/>
  <c r="Y203"/>
  <c r="AA203" s="1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N187"/>
  <c r="P187" s="1"/>
  <c r="S187" s="1"/>
  <c r="L187"/>
  <c r="K187"/>
  <c r="R186"/>
  <c r="N186"/>
  <c r="P186" s="1"/>
  <c r="L186"/>
  <c r="K186"/>
  <c r="R185"/>
  <c r="N185"/>
  <c r="P185" s="1"/>
  <c r="S185" s="1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L182"/>
  <c r="K182"/>
  <c r="R181"/>
  <c r="N181"/>
  <c r="P181" s="1"/>
  <c r="L181"/>
  <c r="K181"/>
  <c r="R180"/>
  <c r="N180"/>
  <c r="P180" s="1"/>
  <c r="L180"/>
  <c r="K180"/>
  <c r="R179"/>
  <c r="N179"/>
  <c r="P179" s="1"/>
  <c r="S179" s="1"/>
  <c r="L179"/>
  <c r="K179"/>
  <c r="R178"/>
  <c r="N178"/>
  <c r="P178" s="1"/>
  <c r="L178"/>
  <c r="K178"/>
  <c r="R177"/>
  <c r="N177"/>
  <c r="P177" s="1"/>
  <c r="S177" s="1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S169" s="1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L166"/>
  <c r="K166"/>
  <c r="R165"/>
  <c r="N165"/>
  <c r="P165" s="1"/>
  <c r="L165"/>
  <c r="K165"/>
  <c r="R164"/>
  <c r="N164"/>
  <c r="P164" s="1"/>
  <c r="L164"/>
  <c r="K164"/>
  <c r="R163"/>
  <c r="N163"/>
  <c r="P163" s="1"/>
  <c r="S163" s="1"/>
  <c r="L163"/>
  <c r="K163"/>
  <c r="R162"/>
  <c r="N162"/>
  <c r="P162" s="1"/>
  <c r="L162"/>
  <c r="K162"/>
  <c r="R161"/>
  <c r="N161"/>
  <c r="P161" s="1"/>
  <c r="S161" s="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S153" s="1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L150"/>
  <c r="K150"/>
  <c r="R149"/>
  <c r="N149"/>
  <c r="P149" s="1"/>
  <c r="L149"/>
  <c r="K149"/>
  <c r="R148"/>
  <c r="N148"/>
  <c r="P148" s="1"/>
  <c r="L148"/>
  <c r="K148"/>
  <c r="R147"/>
  <c r="N147"/>
  <c r="P147" s="1"/>
  <c r="S147" s="1"/>
  <c r="L147"/>
  <c r="K147"/>
  <c r="R146"/>
  <c r="N146"/>
  <c r="P146" s="1"/>
  <c r="L146"/>
  <c r="K146"/>
  <c r="R145"/>
  <c r="N145"/>
  <c r="P145" s="1"/>
  <c r="S145" s="1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S137" s="1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L134"/>
  <c r="K134"/>
  <c r="R133"/>
  <c r="N133"/>
  <c r="P133" s="1"/>
  <c r="L133"/>
  <c r="K133"/>
  <c r="R132"/>
  <c r="N132"/>
  <c r="P132" s="1"/>
  <c r="L132"/>
  <c r="K132"/>
  <c r="R131"/>
  <c r="N131"/>
  <c r="P131" s="1"/>
  <c r="S131" s="1"/>
  <c r="L131"/>
  <c r="K131"/>
  <c r="R130"/>
  <c r="N130"/>
  <c r="P130" s="1"/>
  <c r="L130"/>
  <c r="K130"/>
  <c r="R129"/>
  <c r="N129"/>
  <c r="P129" s="1"/>
  <c r="S129" s="1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S121" s="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L118"/>
  <c r="K118"/>
  <c r="R117"/>
  <c r="N117"/>
  <c r="P117" s="1"/>
  <c r="L117"/>
  <c r="K117"/>
  <c r="R116"/>
  <c r="N116"/>
  <c r="P116" s="1"/>
  <c r="L116"/>
  <c r="K116"/>
  <c r="R115"/>
  <c r="N115"/>
  <c r="P115" s="1"/>
  <c r="S115" s="1"/>
  <c r="L115"/>
  <c r="K115"/>
  <c r="R114"/>
  <c r="N114"/>
  <c r="P114" s="1"/>
  <c r="L114"/>
  <c r="K114"/>
  <c r="R113"/>
  <c r="N113"/>
  <c r="P113" s="1"/>
  <c r="S113" s="1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L110"/>
  <c r="K110"/>
  <c r="R109"/>
  <c r="N109"/>
  <c r="P109" s="1"/>
  <c r="L109"/>
  <c r="K109"/>
  <c r="R108"/>
  <c r="N108"/>
  <c r="P108" s="1"/>
  <c r="L108"/>
  <c r="K108"/>
  <c r="R107"/>
  <c r="N107"/>
  <c r="P107" s="1"/>
  <c r="S107" s="1"/>
  <c r="L107"/>
  <c r="K107"/>
  <c r="R106"/>
  <c r="N106"/>
  <c r="P106" s="1"/>
  <c r="L106"/>
  <c r="K106"/>
  <c r="R105"/>
  <c r="N105"/>
  <c r="P105" s="1"/>
  <c r="S105" s="1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V77" s="1" a="1"/>
  <c r="V77" s="1"/>
  <c r="K77"/>
  <c r="R76"/>
  <c r="P76"/>
  <c r="N76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N15"/>
  <c r="L15"/>
  <c r="K15"/>
  <c r="R14"/>
  <c r="N14"/>
  <c r="P14" s="1"/>
  <c r="S14" s="1"/>
  <c r="L14"/>
  <c r="K14"/>
  <c r="R13"/>
  <c r="P13"/>
  <c r="N13"/>
  <c r="L13"/>
  <c r="K13"/>
  <c r="R12"/>
  <c r="P12"/>
  <c r="N12"/>
  <c r="L12"/>
  <c r="K12"/>
  <c r="R11"/>
  <c r="N11"/>
  <c r="P11" s="1"/>
  <c r="S11" s="1"/>
  <c r="L11"/>
  <c r="K11"/>
  <c r="R10"/>
  <c r="P10"/>
  <c r="S10" s="1"/>
  <c r="N10"/>
  <c r="L10"/>
  <c r="K10"/>
  <c r="R9"/>
  <c r="P9"/>
  <c r="N9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20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N311"/>
  <c r="L31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V287" s="1" a="1"/>
  <c r="V287" s="1"/>
  <c r="K287"/>
  <c r="R286"/>
  <c r="P286"/>
  <c r="S286" s="1"/>
  <c r="N286"/>
  <c r="L286"/>
  <c r="K286"/>
  <c r="R285"/>
  <c r="N285"/>
  <c r="P285" s="1"/>
  <c r="S285" s="1"/>
  <c r="L285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K268"/>
  <c r="R267"/>
  <c r="N267"/>
  <c r="P267" s="1"/>
  <c r="S267" s="1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V262" s="1" a="1"/>
  <c r="V262" s="1"/>
  <c r="K262"/>
  <c r="R261"/>
  <c r="P261"/>
  <c r="S261" s="1"/>
  <c r="N261"/>
  <c r="L261"/>
  <c r="K261"/>
  <c r="R260"/>
  <c r="N260"/>
  <c r="P260" s="1"/>
  <c r="S260" s="1"/>
  <c r="L260"/>
  <c r="K260"/>
  <c r="R259"/>
  <c r="N259"/>
  <c r="P259" s="1"/>
  <c r="S259" s="1"/>
  <c r="L259"/>
  <c r="K259"/>
  <c r="R258"/>
  <c r="P258"/>
  <c r="S258" s="1"/>
  <c r="N258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S255" s="1"/>
  <c r="L255"/>
  <c r="K255"/>
  <c r="R254"/>
  <c r="P254"/>
  <c r="S254" s="1"/>
  <c r="N254"/>
  <c r="L254"/>
  <c r="V254" s="1" a="1"/>
  <c r="V254" s="1"/>
  <c r="K254"/>
  <c r="R253"/>
  <c r="P253"/>
  <c r="S253" s="1"/>
  <c r="N253"/>
  <c r="L253"/>
  <c r="K253"/>
  <c r="R252"/>
  <c r="N252"/>
  <c r="P252" s="1"/>
  <c r="S252" s="1"/>
  <c r="L252"/>
  <c r="K252"/>
  <c r="R251"/>
  <c r="N251"/>
  <c r="P251" s="1"/>
  <c r="S251" s="1"/>
  <c r="L251"/>
  <c r="K251"/>
  <c r="R250"/>
  <c r="P250"/>
  <c r="S250" s="1"/>
  <c r="N250"/>
  <c r="L250"/>
  <c r="V250" s="1" a="1"/>
  <c r="V250" s="1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S247" s="1"/>
  <c r="L247"/>
  <c r="K247"/>
  <c r="R246"/>
  <c r="N246"/>
  <c r="P246" s="1"/>
  <c r="L246"/>
  <c r="K246"/>
  <c r="V246" s="1" a="1"/>
  <c r="V246" s="1"/>
  <c r="R245"/>
  <c r="N245"/>
  <c r="P245" s="1"/>
  <c r="L245"/>
  <c r="K245"/>
  <c r="R244"/>
  <c r="N244"/>
  <c r="P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L238"/>
  <c r="K238"/>
  <c r="R237"/>
  <c r="N237"/>
  <c r="P237" s="1"/>
  <c r="L237"/>
  <c r="K237"/>
  <c r="R236"/>
  <c r="N236"/>
  <c r="P236" s="1"/>
  <c r="S236" s="1"/>
  <c r="L236"/>
  <c r="K236"/>
  <c r="R235"/>
  <c r="P235"/>
  <c r="S235" s="1"/>
  <c r="N235"/>
  <c r="L235"/>
  <c r="K235"/>
  <c r="R234"/>
  <c r="N234"/>
  <c r="P234" s="1"/>
  <c r="L234"/>
  <c r="K234"/>
  <c r="R233"/>
  <c r="N233"/>
  <c r="P233" s="1"/>
  <c r="L233"/>
  <c r="K233"/>
  <c r="R232"/>
  <c r="N232"/>
  <c r="P232" s="1"/>
  <c r="L232"/>
  <c r="K232"/>
  <c r="R231"/>
  <c r="N231"/>
  <c r="P231" s="1"/>
  <c r="S231" s="1"/>
  <c r="L231"/>
  <c r="K231"/>
  <c r="R230"/>
  <c r="N230"/>
  <c r="P230" s="1"/>
  <c r="L230"/>
  <c r="K230"/>
  <c r="R229"/>
  <c r="N229"/>
  <c r="P229" s="1"/>
  <c r="L229"/>
  <c r="K229"/>
  <c r="R228"/>
  <c r="N228"/>
  <c r="P228" s="1"/>
  <c r="S228" s="1"/>
  <c r="L228"/>
  <c r="K228"/>
  <c r="R227"/>
  <c r="P227"/>
  <c r="S227" s="1"/>
  <c r="N227"/>
  <c r="L227"/>
  <c r="K227"/>
  <c r="R226"/>
  <c r="N226"/>
  <c r="P226" s="1"/>
  <c r="L226"/>
  <c r="K226"/>
  <c r="R225"/>
  <c r="N225"/>
  <c r="P225" s="1"/>
  <c r="L225"/>
  <c r="K225"/>
  <c r="R224"/>
  <c r="N224"/>
  <c r="P224" s="1"/>
  <c r="L224"/>
  <c r="K224"/>
  <c r="V224" s="1" a="1"/>
  <c r="V224" s="1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L221"/>
  <c r="K221"/>
  <c r="R220"/>
  <c r="P220"/>
  <c r="N220"/>
  <c r="L220"/>
  <c r="K220"/>
  <c r="R219"/>
  <c r="N219"/>
  <c r="P219" s="1"/>
  <c r="S219" s="1"/>
  <c r="L219"/>
  <c r="K219"/>
  <c r="R218"/>
  <c r="P218"/>
  <c r="N218"/>
  <c r="L218"/>
  <c r="K218"/>
  <c r="R217"/>
  <c r="N217"/>
  <c r="P217" s="1"/>
  <c r="S217" s="1"/>
  <c r="L217"/>
  <c r="K217"/>
  <c r="R216"/>
  <c r="N216"/>
  <c r="P216" s="1"/>
  <c r="S216" s="1"/>
  <c r="L216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V101" s="1" a="1"/>
  <c r="V101" s="1"/>
  <c r="K101"/>
  <c r="R100"/>
  <c r="P100"/>
  <c r="N100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N59"/>
  <c r="L59"/>
  <c r="K59"/>
  <c r="R58"/>
  <c r="P58"/>
  <c r="N58"/>
  <c r="L58"/>
  <c r="K58"/>
  <c r="R57"/>
  <c r="N57"/>
  <c r="P57" s="1"/>
  <c r="S57" s="1"/>
  <c r="L57"/>
  <c r="K57"/>
  <c r="R56"/>
  <c r="P56"/>
  <c r="S56" s="1"/>
  <c r="N56"/>
  <c r="L56"/>
  <c r="K56"/>
  <c r="R55"/>
  <c r="N55"/>
  <c r="P55" s="1"/>
  <c r="S55" s="1"/>
  <c r="L55"/>
  <c r="K55"/>
  <c r="R54"/>
  <c r="P54"/>
  <c r="S54" s="1"/>
  <c r="N54"/>
  <c r="L54"/>
  <c r="V54" s="1" a="1"/>
  <c r="V54" s="1"/>
  <c r="K54"/>
  <c r="R53"/>
  <c r="N53"/>
  <c r="P53" s="1"/>
  <c r="S53" s="1"/>
  <c r="L53"/>
  <c r="K53"/>
  <c r="R52"/>
  <c r="P52"/>
  <c r="S52" s="1"/>
  <c r="N52"/>
  <c r="L52"/>
  <c r="K52"/>
  <c r="R51"/>
  <c r="N51"/>
  <c r="P51" s="1"/>
  <c r="S51" s="1"/>
  <c r="L51"/>
  <c r="K51"/>
  <c r="R50"/>
  <c r="P50"/>
  <c r="S50" s="1"/>
  <c r="N50"/>
  <c r="L50"/>
  <c r="V50" s="1" a="1"/>
  <c r="V50" s="1"/>
  <c r="K50"/>
  <c r="R49"/>
  <c r="N49"/>
  <c r="P49" s="1"/>
  <c r="S49" s="1"/>
  <c r="L49"/>
  <c r="K49"/>
  <c r="R48"/>
  <c r="P48"/>
  <c r="S48" s="1"/>
  <c r="N48"/>
  <c r="L48"/>
  <c r="K48"/>
  <c r="R47"/>
  <c r="N47"/>
  <c r="P47" s="1"/>
  <c r="S47" s="1"/>
  <c r="L47"/>
  <c r="K47"/>
  <c r="R46"/>
  <c r="P46"/>
  <c r="S46" s="1"/>
  <c r="N46"/>
  <c r="L46"/>
  <c r="K46"/>
  <c r="R45"/>
  <c r="N45"/>
  <c r="P45" s="1"/>
  <c r="S45" s="1"/>
  <c r="L45"/>
  <c r="K45"/>
  <c r="R44"/>
  <c r="P44"/>
  <c r="S44" s="1"/>
  <c r="N44"/>
  <c r="L44"/>
  <c r="K44"/>
  <c r="R43"/>
  <c r="N43"/>
  <c r="P43" s="1"/>
  <c r="S43" s="1"/>
  <c r="L43"/>
  <c r="K43"/>
  <c r="R42"/>
  <c r="P42"/>
  <c r="S42" s="1"/>
  <c r="N42"/>
  <c r="L42"/>
  <c r="V42" s="1" a="1"/>
  <c r="V42" s="1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K13"/>
  <c r="R12"/>
  <c r="P12"/>
  <c r="S12" s="1"/>
  <c r="N12"/>
  <c r="L12"/>
  <c r="V12" s="1" a="1"/>
  <c r="V12" s="1"/>
  <c r="K12"/>
  <c r="R11"/>
  <c r="P11"/>
  <c r="N11"/>
  <c r="L11"/>
  <c r="K11"/>
  <c r="R10"/>
  <c r="N10"/>
  <c r="P10" s="1"/>
  <c r="S10" s="1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P6"/>
  <c r="N6"/>
  <c r="L6"/>
  <c r="K6"/>
  <c r="P450" i="51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P400"/>
  <c r="N400"/>
  <c r="L400"/>
  <c r="K400"/>
  <c r="V400" s="1" a="1"/>
  <c r="V400" s="1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P326"/>
  <c r="S326" s="1"/>
  <c r="N326"/>
  <c r="L326"/>
  <c r="V326" s="1" a="1"/>
  <c r="V326" s="1"/>
  <c r="K326"/>
  <c r="R325"/>
  <c r="N325"/>
  <c r="P325" s="1"/>
  <c r="S325" s="1"/>
  <c r="L325"/>
  <c r="K325"/>
  <c r="R324"/>
  <c r="P324"/>
  <c r="N324"/>
  <c r="L324"/>
  <c r="K324"/>
  <c r="R323"/>
  <c r="N323"/>
  <c r="P323" s="1"/>
  <c r="S323" s="1"/>
  <c r="L323"/>
  <c r="K323"/>
  <c r="R322"/>
  <c r="P322"/>
  <c r="S322" s="1"/>
  <c r="N322"/>
  <c r="L322"/>
  <c r="V322" s="1" a="1"/>
  <c r="V322" s="1"/>
  <c r="K322"/>
  <c r="R321"/>
  <c r="N321"/>
  <c r="P321" s="1"/>
  <c r="S321" s="1"/>
  <c r="L321"/>
  <c r="K321"/>
  <c r="R320"/>
  <c r="N320"/>
  <c r="P320" s="1"/>
  <c r="S320" s="1"/>
  <c r="L320"/>
  <c r="K320"/>
  <c r="R319"/>
  <c r="P319"/>
  <c r="S319" s="1"/>
  <c r="N319"/>
  <c r="L319"/>
  <c r="K319"/>
  <c r="R318"/>
  <c r="N318"/>
  <c r="P318" s="1"/>
  <c r="S318" s="1"/>
  <c r="L318"/>
  <c r="K318"/>
  <c r="R317"/>
  <c r="P317"/>
  <c r="S317" s="1"/>
  <c r="N317"/>
  <c r="L317"/>
  <c r="K317"/>
  <c r="R316"/>
  <c r="N316"/>
  <c r="P316" s="1"/>
  <c r="S316" s="1"/>
  <c r="L316"/>
  <c r="K316"/>
  <c r="R315"/>
  <c r="N315"/>
  <c r="P315" s="1"/>
  <c r="S315" s="1"/>
  <c r="L315"/>
  <c r="K315"/>
  <c r="R314"/>
  <c r="P314"/>
  <c r="S314" s="1"/>
  <c r="N314"/>
  <c r="L314"/>
  <c r="K314"/>
  <c r="R313"/>
  <c r="N313"/>
  <c r="P313" s="1"/>
  <c r="S313" s="1"/>
  <c r="L313"/>
  <c r="K313"/>
  <c r="R312"/>
  <c r="P312"/>
  <c r="S312" s="1"/>
  <c r="N312"/>
  <c r="L312"/>
  <c r="K312"/>
  <c r="R311"/>
  <c r="N311"/>
  <c r="P311" s="1"/>
  <c r="S311" s="1"/>
  <c r="L311"/>
  <c r="K311"/>
  <c r="R310"/>
  <c r="N310"/>
  <c r="P310" s="1"/>
  <c r="S310" s="1"/>
  <c r="L310"/>
  <c r="K310"/>
  <c r="R309"/>
  <c r="P309"/>
  <c r="S309" s="1"/>
  <c r="N309"/>
  <c r="L309"/>
  <c r="V309" s="1" a="1"/>
  <c r="V309" s="1"/>
  <c r="K309"/>
  <c r="R308"/>
  <c r="N308"/>
  <c r="P308" s="1"/>
  <c r="S308" s="1"/>
  <c r="L308"/>
  <c r="K308"/>
  <c r="R307"/>
  <c r="P307"/>
  <c r="N307"/>
  <c r="L307"/>
  <c r="V307" s="1" a="1"/>
  <c r="V307" s="1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N264"/>
  <c r="L264"/>
  <c r="V264" s="1" a="1"/>
  <c r="V264" s="1"/>
  <c r="K264"/>
  <c r="R263"/>
  <c r="P263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P237"/>
  <c r="N237"/>
  <c r="L237"/>
  <c r="V237" s="1" a="1"/>
  <c r="V237" s="1"/>
  <c r="K237"/>
  <c r="R236"/>
  <c r="P236"/>
  <c r="N236"/>
  <c r="L236"/>
  <c r="K236"/>
  <c r="R235"/>
  <c r="N235"/>
  <c r="P235" s="1"/>
  <c r="S235" s="1"/>
  <c r="L235"/>
  <c r="K235"/>
  <c r="R234"/>
  <c r="N234"/>
  <c r="P234" s="1"/>
  <c r="S234" s="1"/>
  <c r="L234"/>
  <c r="K234"/>
  <c r="R233"/>
  <c r="N233"/>
  <c r="P233" s="1"/>
  <c r="S233" s="1"/>
  <c r="L233"/>
  <c r="K233"/>
  <c r="R232"/>
  <c r="N232"/>
  <c r="P232" s="1"/>
  <c r="S232" s="1"/>
  <c r="L232"/>
  <c r="V232" s="1" a="1"/>
  <c r="V232" s="1"/>
  <c r="K232"/>
  <c r="R231"/>
  <c r="P231"/>
  <c r="S231" s="1"/>
  <c r="N231"/>
  <c r="L231"/>
  <c r="V231" s="1" a="1"/>
  <c r="V231" s="1"/>
  <c r="K231"/>
  <c r="R230"/>
  <c r="N230"/>
  <c r="P230" s="1"/>
  <c r="S230" s="1"/>
  <c r="L230"/>
  <c r="K230"/>
  <c r="R229"/>
  <c r="N229"/>
  <c r="P229" s="1"/>
  <c r="S229" s="1"/>
  <c r="L229"/>
  <c r="K229"/>
  <c r="R228"/>
  <c r="P228"/>
  <c r="S228" s="1"/>
  <c r="N228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N194"/>
  <c r="P194" s="1"/>
  <c r="S194" s="1"/>
  <c r="L194"/>
  <c r="K194"/>
  <c r="R193"/>
  <c r="P193"/>
  <c r="N193"/>
  <c r="L193"/>
  <c r="K193"/>
  <c r="V193" s="1" a="1"/>
  <c r="V193" s="1"/>
  <c r="R192"/>
  <c r="N192"/>
  <c r="P192" s="1"/>
  <c r="S192" s="1"/>
  <c r="L192"/>
  <c r="K192"/>
  <c r="R191"/>
  <c r="P19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P170"/>
  <c r="N170"/>
  <c r="L170"/>
  <c r="V170" s="1" a="1"/>
  <c r="V170" s="1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V115" s="1" a="1"/>
  <c r="V115" s="1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N99"/>
  <c r="L99"/>
  <c r="V99" s="1" a="1"/>
  <c r="V99" s="1"/>
  <c r="K99"/>
  <c r="R98"/>
  <c r="P98"/>
  <c r="N98"/>
  <c r="L98"/>
  <c r="K98"/>
  <c r="V98" s="1" a="1"/>
  <c r="V98" s="1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P54"/>
  <c r="S54" s="1"/>
  <c r="N54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N49"/>
  <c r="L49"/>
  <c r="K49"/>
  <c r="V49" s="1" a="1"/>
  <c r="V49" s="1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S43" s="1"/>
  <c r="N43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N27"/>
  <c r="L27"/>
  <c r="V27" s="1" a="1"/>
  <c r="V27" s="1"/>
  <c r="K27"/>
  <c r="R26"/>
  <c r="P26"/>
  <c r="N26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K21"/>
  <c r="R20"/>
  <c r="N20"/>
  <c r="P20" s="1"/>
  <c r="S20" s="1"/>
  <c r="L20"/>
  <c r="K20"/>
  <c r="R19"/>
  <c r="N19"/>
  <c r="P19" s="1"/>
  <c r="S19" s="1"/>
  <c r="L19"/>
  <c r="K19"/>
  <c r="R18"/>
  <c r="N18"/>
  <c r="P18" s="1"/>
  <c r="S18" s="1"/>
  <c r="L18"/>
  <c r="K18"/>
  <c r="R17"/>
  <c r="N17"/>
  <c r="P17" s="1"/>
  <c r="S17" s="1"/>
  <c r="L17"/>
  <c r="K17"/>
  <c r="R16"/>
  <c r="N16"/>
  <c r="P16" s="1"/>
  <c r="S16" s="1"/>
  <c r="L16"/>
  <c r="K16"/>
  <c r="R15"/>
  <c r="N15"/>
  <c r="P15" s="1"/>
  <c r="S15" s="1"/>
  <c r="L15"/>
  <c r="K15"/>
  <c r="R14"/>
  <c r="N14"/>
  <c r="P14" s="1"/>
  <c r="S14" s="1"/>
  <c r="L14"/>
  <c r="K14"/>
  <c r="R13"/>
  <c r="N13"/>
  <c r="P13" s="1"/>
  <c r="S13" s="1"/>
  <c r="L13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S419"/>
  <c r="AA416"/>
  <c r="K416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V399" s="1" a="1"/>
  <c r="V399" s="1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P385"/>
  <c r="S385" s="1"/>
  <c r="N385"/>
  <c r="L385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K382"/>
  <c r="R381"/>
  <c r="P381"/>
  <c r="S381" s="1"/>
  <c r="N381"/>
  <c r="L381"/>
  <c r="K381"/>
  <c r="R380"/>
  <c r="N380"/>
  <c r="P380" s="1"/>
  <c r="S380" s="1"/>
  <c r="L380"/>
  <c r="K380"/>
  <c r="R379"/>
  <c r="N379"/>
  <c r="P379" s="1"/>
  <c r="S379" s="1"/>
  <c r="L379"/>
  <c r="K379"/>
  <c r="R378"/>
  <c r="P378"/>
  <c r="N378"/>
  <c r="L378"/>
  <c r="K378"/>
  <c r="R377"/>
  <c r="P377"/>
  <c r="S377" s="1"/>
  <c r="N377"/>
  <c r="L377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K356"/>
  <c r="R355"/>
  <c r="P355"/>
  <c r="S355" s="1"/>
  <c r="N355"/>
  <c r="L355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K350"/>
  <c r="R349"/>
  <c r="P349"/>
  <c r="S349" s="1"/>
  <c r="N349"/>
  <c r="L349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N287"/>
  <c r="L287"/>
  <c r="K287"/>
  <c r="V287" s="1" a="1"/>
  <c r="V287" s="1"/>
  <c r="R286"/>
  <c r="N286"/>
  <c r="P286" s="1"/>
  <c r="S286" s="1"/>
  <c r="L286"/>
  <c r="K286"/>
  <c r="R285"/>
  <c r="P285"/>
  <c r="N285"/>
  <c r="L285"/>
  <c r="K285"/>
  <c r="V285" s="1" a="1"/>
  <c r="V285" s="1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P266"/>
  <c r="N266"/>
  <c r="L266"/>
  <c r="K266"/>
  <c r="V266" s="1" a="1"/>
  <c r="V266" s="1"/>
  <c r="R265"/>
  <c r="P265"/>
  <c r="N265"/>
  <c r="L265"/>
  <c r="K265"/>
  <c r="V265" s="1" a="1"/>
  <c r="V265" s="1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N252"/>
  <c r="L252"/>
  <c r="K252"/>
  <c r="V252" s="1" a="1"/>
  <c r="V252" s="1"/>
  <c r="R251"/>
  <c r="N251"/>
  <c r="P251" s="1"/>
  <c r="S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P238"/>
  <c r="N238"/>
  <c r="L238"/>
  <c r="K238"/>
  <c r="V238" s="1" a="1"/>
  <c r="V238" s="1"/>
  <c r="R237"/>
  <c r="P237"/>
  <c r="N237"/>
  <c r="L237"/>
  <c r="K237"/>
  <c r="R236"/>
  <c r="P236"/>
  <c r="S236" s="1"/>
  <c r="N236"/>
  <c r="L236"/>
  <c r="V236" s="1" a="1"/>
  <c r="V236" s="1"/>
  <c r="K236"/>
  <c r="R235"/>
  <c r="P235"/>
  <c r="S235" s="1"/>
  <c r="N235"/>
  <c r="L235"/>
  <c r="V235" s="1" a="1"/>
  <c r="V235" s="1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K197"/>
  <c r="R196"/>
  <c r="N196"/>
  <c r="P196" s="1"/>
  <c r="S196" s="1"/>
  <c r="L196"/>
  <c r="K196"/>
  <c r="R195"/>
  <c r="P195"/>
  <c r="S195" s="1"/>
  <c r="N195"/>
  <c r="L195"/>
  <c r="K195"/>
  <c r="R194"/>
  <c r="P194"/>
  <c r="N194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N191"/>
  <c r="L191"/>
  <c r="K191"/>
  <c r="V191" s="1" a="1"/>
  <c r="V191" s="1"/>
  <c r="R190"/>
  <c r="P190"/>
  <c r="N190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N115"/>
  <c r="L115"/>
  <c r="K115"/>
  <c r="V115" s="1" a="1"/>
  <c r="V115" s="1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P98"/>
  <c r="N98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K78"/>
  <c r="V78" s="1" a="1"/>
  <c r="V78" s="1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N57"/>
  <c r="P57" s="1"/>
  <c r="L57"/>
  <c r="K57"/>
  <c r="V57" s="1" a="1"/>
  <c r="V57" s="1"/>
  <c r="R56"/>
  <c r="N56"/>
  <c r="P56" s="1"/>
  <c r="L56"/>
  <c r="K56"/>
  <c r="R55"/>
  <c r="P55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L52"/>
  <c r="K52"/>
  <c r="R51"/>
  <c r="N51"/>
  <c r="P51" s="1"/>
  <c r="L51"/>
  <c r="K51"/>
  <c r="R50"/>
  <c r="N50"/>
  <c r="P50" s="1"/>
  <c r="L50"/>
  <c r="K50"/>
  <c r="R49"/>
  <c r="N49"/>
  <c r="P49" s="1"/>
  <c r="S49" s="1"/>
  <c r="L49"/>
  <c r="K49"/>
  <c r="R48"/>
  <c r="N48"/>
  <c r="P48" s="1"/>
  <c r="L48"/>
  <c r="K48"/>
  <c r="R47"/>
  <c r="N47"/>
  <c r="P47" s="1"/>
  <c r="S47" s="1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L44"/>
  <c r="K44"/>
  <c r="R43"/>
  <c r="N43"/>
  <c r="P43" s="1"/>
  <c r="L43"/>
  <c r="K43"/>
  <c r="R42"/>
  <c r="N42"/>
  <c r="P42" s="1"/>
  <c r="L42"/>
  <c r="K42"/>
  <c r="R41"/>
  <c r="N41"/>
  <c r="P41" s="1"/>
  <c r="S41" s="1"/>
  <c r="L41"/>
  <c r="K41"/>
  <c r="R40"/>
  <c r="N40"/>
  <c r="P40" s="1"/>
  <c r="L40"/>
  <c r="K40"/>
  <c r="R39"/>
  <c r="N39"/>
  <c r="P39" s="1"/>
  <c r="S39" s="1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L36"/>
  <c r="K36"/>
  <c r="R35"/>
  <c r="N35"/>
  <c r="P35" s="1"/>
  <c r="L35"/>
  <c r="K35"/>
  <c r="R34"/>
  <c r="N34"/>
  <c r="P34" s="1"/>
  <c r="L34"/>
  <c r="K34"/>
  <c r="R33"/>
  <c r="N33"/>
  <c r="P33" s="1"/>
  <c r="S33" s="1"/>
  <c r="L33"/>
  <c r="K33"/>
  <c r="R32"/>
  <c r="N32"/>
  <c r="P32" s="1"/>
  <c r="L32"/>
  <c r="K32"/>
  <c r="R31"/>
  <c r="N31"/>
  <c r="P31" s="1"/>
  <c r="S31" s="1"/>
  <c r="L31"/>
  <c r="K31"/>
  <c r="R30"/>
  <c r="N30"/>
  <c r="P30" s="1"/>
  <c r="S30" s="1"/>
  <c r="L30"/>
  <c r="K30"/>
  <c r="R29"/>
  <c r="P29"/>
  <c r="S29" s="1"/>
  <c r="N29"/>
  <c r="L29"/>
  <c r="K29"/>
  <c r="R28"/>
  <c r="N28"/>
  <c r="P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N21"/>
  <c r="P21" s="1"/>
  <c r="S21" s="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AA417"/>
  <c r="AA416"/>
  <c r="K416"/>
  <c r="AA415"/>
  <c r="K415"/>
  <c r="AA414"/>
  <c r="AA413"/>
  <c r="I413"/>
  <c r="K413" s="1" a="1"/>
  <c r="K413" s="1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N403"/>
  <c r="L403"/>
  <c r="K403"/>
  <c r="V403" s="1" a="1"/>
  <c r="V403" s="1"/>
  <c r="R402"/>
  <c r="P402"/>
  <c r="N402"/>
  <c r="L402"/>
  <c r="K402"/>
  <c r="V402" s="1" a="1"/>
  <c r="V402" s="1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K398"/>
  <c r="R397"/>
  <c r="P397"/>
  <c r="S397" s="1"/>
  <c r="N397"/>
  <c r="L397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K394"/>
  <c r="R393"/>
  <c r="P393"/>
  <c r="S393" s="1"/>
  <c r="N393"/>
  <c r="L393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K390"/>
  <c r="R389"/>
  <c r="P389"/>
  <c r="S389" s="1"/>
  <c r="N389"/>
  <c r="L389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N379"/>
  <c r="L379"/>
  <c r="K379"/>
  <c r="V379" s="1" a="1"/>
  <c r="V379" s="1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N322"/>
  <c r="L322"/>
  <c r="K322"/>
  <c r="V322" s="1" a="1"/>
  <c r="V322" s="1"/>
  <c r="R321"/>
  <c r="P321"/>
  <c r="S321" s="1"/>
  <c r="N321"/>
  <c r="L32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N307"/>
  <c r="P307" s="1"/>
  <c r="S307" s="1"/>
  <c r="L307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K288"/>
  <c r="R287"/>
  <c r="P287"/>
  <c r="S287" s="1"/>
  <c r="N287"/>
  <c r="L287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K284"/>
  <c r="R283"/>
  <c r="P283"/>
  <c r="S283" s="1"/>
  <c r="N283"/>
  <c r="L283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K280"/>
  <c r="R279"/>
  <c r="P279"/>
  <c r="S279" s="1"/>
  <c r="N279"/>
  <c r="L279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K273"/>
  <c r="R272"/>
  <c r="P272"/>
  <c r="S272" s="1"/>
  <c r="N272"/>
  <c r="L272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K264"/>
  <c r="R263"/>
  <c r="P263"/>
  <c r="S263" s="1"/>
  <c r="N263"/>
  <c r="L263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K260"/>
  <c r="R259"/>
  <c r="P259"/>
  <c r="S259" s="1"/>
  <c r="N259"/>
  <c r="L259"/>
  <c r="K259"/>
  <c r="R258"/>
  <c r="P258"/>
  <c r="N258"/>
  <c r="L258"/>
  <c r="K258"/>
  <c r="R257"/>
  <c r="P257"/>
  <c r="N257"/>
  <c r="L257"/>
  <c r="K257"/>
  <c r="V257" s="1" a="1"/>
  <c r="V257" s="1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K252"/>
  <c r="R251"/>
  <c r="P251"/>
  <c r="S251" s="1"/>
  <c r="N251"/>
  <c r="L25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K243"/>
  <c r="R242"/>
  <c r="P242"/>
  <c r="S242" s="1"/>
  <c r="N242"/>
  <c r="L242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K239"/>
  <c r="R238"/>
  <c r="N238"/>
  <c r="P238" s="1"/>
  <c r="S238" s="1"/>
  <c r="L238"/>
  <c r="K238"/>
  <c r="R237"/>
  <c r="N237"/>
  <c r="P237" s="1"/>
  <c r="S237" s="1"/>
  <c r="L237"/>
  <c r="K237"/>
  <c r="R236"/>
  <c r="P236"/>
  <c r="S236" s="1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P194"/>
  <c r="N194"/>
  <c r="L194"/>
  <c r="K194"/>
  <c r="V194" s="1" a="1"/>
  <c r="V194" s="1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K139"/>
  <c r="R138"/>
  <c r="N138"/>
  <c r="P138" s="1"/>
  <c r="S138" s="1"/>
  <c r="L138"/>
  <c r="K138"/>
  <c r="R137"/>
  <c r="P137"/>
  <c r="N137"/>
  <c r="L137"/>
  <c r="K137"/>
  <c r="V137" s="1" a="1"/>
  <c r="V137" s="1"/>
  <c r="R136"/>
  <c r="N136"/>
  <c r="P136" s="1"/>
  <c r="S136" s="1"/>
  <c r="L136"/>
  <c r="K136"/>
  <c r="R135"/>
  <c r="P135"/>
  <c r="S135" s="1"/>
  <c r="N135"/>
  <c r="L135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S114" s="1"/>
  <c r="L114"/>
  <c r="K114"/>
  <c r="R113"/>
  <c r="P113"/>
  <c r="N113"/>
  <c r="L113"/>
  <c r="K113"/>
  <c r="R112"/>
  <c r="N112"/>
  <c r="P112" s="1"/>
  <c r="S112" s="1"/>
  <c r="L112"/>
  <c r="K112"/>
  <c r="R111"/>
  <c r="P111"/>
  <c r="S111" s="1"/>
  <c r="N111"/>
  <c r="L11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N79"/>
  <c r="L79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S75" s="1"/>
  <c r="N75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S72" s="1"/>
  <c r="L72"/>
  <c r="K72"/>
  <c r="R71"/>
  <c r="P71"/>
  <c r="S71" s="1"/>
  <c r="N71"/>
  <c r="L7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K51"/>
  <c r="R50"/>
  <c r="N50"/>
  <c r="P50" s="1"/>
  <c r="S50" s="1"/>
  <c r="L50"/>
  <c r="K50"/>
  <c r="R49"/>
  <c r="P49"/>
  <c r="S49" s="1"/>
  <c r="N49"/>
  <c r="L49"/>
  <c r="K49"/>
  <c r="R48"/>
  <c r="P48"/>
  <c r="S48" s="1"/>
  <c r="N48"/>
  <c r="L48"/>
  <c r="K48"/>
  <c r="R47"/>
  <c r="P47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N43"/>
  <c r="P43" s="1"/>
  <c r="S43" s="1"/>
  <c r="L43"/>
  <c r="K43"/>
  <c r="R42"/>
  <c r="P42"/>
  <c r="S42" s="1"/>
  <c r="N42"/>
  <c r="L42"/>
  <c r="K42"/>
  <c r="R41"/>
  <c r="N41"/>
  <c r="P41" s="1"/>
  <c r="S41" s="1"/>
  <c r="L41"/>
  <c r="K41"/>
  <c r="R40"/>
  <c r="P40"/>
  <c r="S40" s="1"/>
  <c r="N40"/>
  <c r="L40"/>
  <c r="K40"/>
  <c r="R39"/>
  <c r="N39"/>
  <c r="P39" s="1"/>
  <c r="S39" s="1"/>
  <c r="L39"/>
  <c r="K39"/>
  <c r="R38"/>
  <c r="P38"/>
  <c r="S38" s="1"/>
  <c r="N38"/>
  <c r="L38"/>
  <c r="K38"/>
  <c r="R37"/>
  <c r="N37"/>
  <c r="P37" s="1"/>
  <c r="S37" s="1"/>
  <c r="L37"/>
  <c r="K37"/>
  <c r="R36"/>
  <c r="P36"/>
  <c r="N36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516"/>
  <c r="O450"/>
  <c r="N450"/>
  <c r="M450"/>
  <c r="L450"/>
  <c r="K450"/>
  <c r="I450"/>
  <c r="H450"/>
  <c r="G450"/>
  <c r="F450"/>
  <c r="E450"/>
  <c r="P443"/>
  <c r="O443"/>
  <c r="O452" s="1"/>
  <c r="N443"/>
  <c r="N452" s="1"/>
  <c r="M443"/>
  <c r="M452" s="1"/>
  <c r="L443"/>
  <c r="L452" s="1"/>
  <c r="K443"/>
  <c r="I443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P348"/>
  <c r="N348"/>
  <c r="L348"/>
  <c r="V348" s="1" a="1"/>
  <c r="V348" s="1"/>
  <c r="K348"/>
  <c r="R347"/>
  <c r="N347"/>
  <c r="P347" s="1"/>
  <c r="S347" s="1"/>
  <c r="L347"/>
  <c r="K347"/>
  <c r="R346"/>
  <c r="P346"/>
  <c r="S346" s="1"/>
  <c r="N346"/>
  <c r="L346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K287"/>
  <c r="R286"/>
  <c r="N286"/>
  <c r="P286" s="1"/>
  <c r="S286" s="1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K283"/>
  <c r="R282"/>
  <c r="N282"/>
  <c r="P282" s="1"/>
  <c r="S282" s="1"/>
  <c r="L282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N267"/>
  <c r="P267" s="1"/>
  <c r="S267" s="1"/>
  <c r="L267"/>
  <c r="K267"/>
  <c r="R266"/>
  <c r="P266"/>
  <c r="S266" s="1"/>
  <c r="N266"/>
  <c r="L266"/>
  <c r="K266"/>
  <c r="R265"/>
  <c r="P265"/>
  <c r="N265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N259"/>
  <c r="P259" s="1"/>
  <c r="S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N255"/>
  <c r="P255" s="1"/>
  <c r="S255" s="1"/>
  <c r="L255"/>
  <c r="K255"/>
  <c r="R254"/>
  <c r="N254"/>
  <c r="P254" s="1"/>
  <c r="S254" s="1"/>
  <c r="L254"/>
  <c r="K254"/>
  <c r="R253"/>
  <c r="N253"/>
  <c r="P253" s="1"/>
  <c r="S253" s="1"/>
  <c r="L253"/>
  <c r="K253"/>
  <c r="R252"/>
  <c r="N252"/>
  <c r="P252" s="1"/>
  <c r="S252" s="1"/>
  <c r="L252"/>
  <c r="K252"/>
  <c r="R251"/>
  <c r="P251"/>
  <c r="N251"/>
  <c r="L251"/>
  <c r="K251"/>
  <c r="V251" s="1" a="1"/>
  <c r="V251" s="1"/>
  <c r="R250"/>
  <c r="N250"/>
  <c r="P250" s="1"/>
  <c r="S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N247"/>
  <c r="P247" s="1"/>
  <c r="S247" s="1"/>
  <c r="L247"/>
  <c r="K247"/>
  <c r="R246"/>
  <c r="N246"/>
  <c r="P246" s="1"/>
  <c r="S246" s="1"/>
  <c r="L246"/>
  <c r="K246"/>
  <c r="R245"/>
  <c r="N245"/>
  <c r="P245" s="1"/>
  <c r="S245" s="1"/>
  <c r="L245"/>
  <c r="K245"/>
  <c r="R244"/>
  <c r="N244"/>
  <c r="P244" s="1"/>
  <c r="S244" s="1"/>
  <c r="L244"/>
  <c r="K244"/>
  <c r="R243"/>
  <c r="N243"/>
  <c r="P243" s="1"/>
  <c r="S243" s="1"/>
  <c r="L243"/>
  <c r="K243"/>
  <c r="R242"/>
  <c r="N242"/>
  <c r="P242" s="1"/>
  <c r="S242" s="1"/>
  <c r="L242"/>
  <c r="K242"/>
  <c r="R241"/>
  <c r="N241"/>
  <c r="P241" s="1"/>
  <c r="S241" s="1"/>
  <c r="L241"/>
  <c r="K241"/>
  <c r="R240"/>
  <c r="N240"/>
  <c r="P240" s="1"/>
  <c r="S240" s="1"/>
  <c r="L240"/>
  <c r="K240"/>
  <c r="R239"/>
  <c r="N239"/>
  <c r="P239" s="1"/>
  <c r="S239" s="1"/>
  <c r="L239"/>
  <c r="K239"/>
  <c r="R238"/>
  <c r="P238"/>
  <c r="N238"/>
  <c r="L238"/>
  <c r="K238"/>
  <c r="R237"/>
  <c r="N237"/>
  <c r="P237" s="1"/>
  <c r="S237" s="1"/>
  <c r="L237"/>
  <c r="K237"/>
  <c r="R236"/>
  <c r="N236"/>
  <c r="P236" s="1"/>
  <c r="S236" s="1"/>
  <c r="L236"/>
  <c r="K236"/>
  <c r="R235"/>
  <c r="P235"/>
  <c r="S235" s="1"/>
  <c r="N235"/>
  <c r="L235"/>
  <c r="K235"/>
  <c r="R234"/>
  <c r="P234"/>
  <c r="N234"/>
  <c r="L234"/>
  <c r="V234" s="1" a="1"/>
  <c r="V234" s="1"/>
  <c r="K234"/>
  <c r="R233"/>
  <c r="N233"/>
  <c r="P233" s="1"/>
  <c r="S233" s="1"/>
  <c r="L233"/>
  <c r="K233"/>
  <c r="R232"/>
  <c r="N232"/>
  <c r="P232" s="1"/>
  <c r="S232" s="1"/>
  <c r="L232"/>
  <c r="K232"/>
  <c r="R231"/>
  <c r="N231"/>
  <c r="P231" s="1"/>
  <c r="S231" s="1"/>
  <c r="L231"/>
  <c r="K231"/>
  <c r="R230"/>
  <c r="N230"/>
  <c r="P230" s="1"/>
  <c r="S230" s="1"/>
  <c r="L230"/>
  <c r="K230"/>
  <c r="R229"/>
  <c r="N229"/>
  <c r="P229" s="1"/>
  <c r="S229" s="1"/>
  <c r="L229"/>
  <c r="K229"/>
  <c r="R228"/>
  <c r="N228"/>
  <c r="P228" s="1"/>
  <c r="S228" s="1"/>
  <c r="L228"/>
  <c r="V228" s="1" a="1"/>
  <c r="V228" s="1"/>
  <c r="K228"/>
  <c r="R227"/>
  <c r="P227"/>
  <c r="S227" s="1"/>
  <c r="N227"/>
  <c r="L227"/>
  <c r="V227" s="1" a="1"/>
  <c r="V227" s="1"/>
  <c r="K227"/>
  <c r="R226"/>
  <c r="N226"/>
  <c r="P226" s="1"/>
  <c r="S226" s="1"/>
  <c r="L226"/>
  <c r="K226"/>
  <c r="R225"/>
  <c r="N225"/>
  <c r="P225" s="1"/>
  <c r="S225" s="1"/>
  <c r="L225"/>
  <c r="K225"/>
  <c r="R224"/>
  <c r="P224"/>
  <c r="S224" s="1"/>
  <c r="N224"/>
  <c r="L224"/>
  <c r="K224"/>
  <c r="R223"/>
  <c r="N223"/>
  <c r="P223" s="1"/>
  <c r="S223" s="1"/>
  <c r="L223"/>
  <c r="K223"/>
  <c r="R222"/>
  <c r="P222"/>
  <c r="S222" s="1"/>
  <c r="N222"/>
  <c r="L222"/>
  <c r="V222" s="1" a="1"/>
  <c r="V222" s="1"/>
  <c r="K222"/>
  <c r="R221"/>
  <c r="P221"/>
  <c r="S221" s="1"/>
  <c r="N221"/>
  <c r="L221"/>
  <c r="V221" s="1" a="1"/>
  <c r="V221" s="1"/>
  <c r="K221"/>
  <c r="R220"/>
  <c r="N220"/>
  <c r="P220" s="1"/>
  <c r="S220" s="1"/>
  <c r="L220"/>
  <c r="K220"/>
  <c r="R219"/>
  <c r="N219"/>
  <c r="P219" s="1"/>
  <c r="S219" s="1"/>
  <c r="L219"/>
  <c r="K219"/>
  <c r="R218"/>
  <c r="P218"/>
  <c r="S218" s="1"/>
  <c r="N218"/>
  <c r="L218"/>
  <c r="V218" s="1" a="1"/>
  <c r="V218" s="1"/>
  <c r="K218"/>
  <c r="R217"/>
  <c r="P217"/>
  <c r="S217" s="1"/>
  <c r="N217"/>
  <c r="L217"/>
  <c r="V217" s="1" a="1"/>
  <c r="V217" s="1"/>
  <c r="K217"/>
  <c r="R216"/>
  <c r="N216"/>
  <c r="P216" s="1"/>
  <c r="S216" s="1"/>
  <c r="L216"/>
  <c r="K216"/>
  <c r="R215"/>
  <c r="P215"/>
  <c r="N215"/>
  <c r="L215"/>
  <c r="K215"/>
  <c r="U210"/>
  <c r="Y210" s="1"/>
  <c r="S210"/>
  <c r="W210" s="1"/>
  <c r="Y209"/>
  <c r="W209"/>
  <c r="Y208"/>
  <c r="W208"/>
  <c r="Y207"/>
  <c r="W207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N139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S127" s="1"/>
  <c r="L127"/>
  <c r="K127"/>
  <c r="R126"/>
  <c r="N126"/>
  <c r="P126" s="1"/>
  <c r="L126"/>
  <c r="K126"/>
  <c r="R125"/>
  <c r="N125"/>
  <c r="P125" s="1"/>
  <c r="S125" s="1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S111" s="1"/>
  <c r="L111"/>
  <c r="K111"/>
  <c r="R110"/>
  <c r="N110"/>
  <c r="P110" s="1"/>
  <c r="L110"/>
  <c r="K110"/>
  <c r="R109"/>
  <c r="N109"/>
  <c r="P109" s="1"/>
  <c r="S109" s="1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L106"/>
  <c r="K106"/>
  <c r="R105"/>
  <c r="N105"/>
  <c r="P105" s="1"/>
  <c r="L105"/>
  <c r="K105"/>
  <c r="R104"/>
  <c r="N104"/>
  <c r="P104" s="1"/>
  <c r="L104"/>
  <c r="K104"/>
  <c r="R103"/>
  <c r="N103"/>
  <c r="P103" s="1"/>
  <c r="S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L98"/>
  <c r="K98"/>
  <c r="R97"/>
  <c r="N97"/>
  <c r="P97" s="1"/>
  <c r="L97"/>
  <c r="K97"/>
  <c r="R96"/>
  <c r="N96"/>
  <c r="P96" s="1"/>
  <c r="L96"/>
  <c r="K96"/>
  <c r="R95"/>
  <c r="N95"/>
  <c r="P95" s="1"/>
  <c r="S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L90"/>
  <c r="K90"/>
  <c r="R89"/>
  <c r="N89"/>
  <c r="P89" s="1"/>
  <c r="L89"/>
  <c r="K89"/>
  <c r="R88"/>
  <c r="N88"/>
  <c r="P88" s="1"/>
  <c r="L88"/>
  <c r="K88"/>
  <c r="R87"/>
  <c r="N87"/>
  <c r="P87" s="1"/>
  <c r="S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L82"/>
  <c r="K82"/>
  <c r="R81"/>
  <c r="N81"/>
  <c r="P81" s="1"/>
  <c r="L81"/>
  <c r="K81"/>
  <c r="R80"/>
  <c r="N80"/>
  <c r="P80" s="1"/>
  <c r="L80"/>
  <c r="K80"/>
  <c r="R79"/>
  <c r="N79"/>
  <c r="P79" s="1"/>
  <c r="S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P75"/>
  <c r="S75" s="1"/>
  <c r="N75"/>
  <c r="L75"/>
  <c r="V75" s="1" a="1"/>
  <c r="V75" s="1"/>
  <c r="K75"/>
  <c r="R74"/>
  <c r="N74"/>
  <c r="P74" s="1"/>
  <c r="L74"/>
  <c r="K74"/>
  <c r="R73"/>
  <c r="N73"/>
  <c r="P73" s="1"/>
  <c r="L73"/>
  <c r="K73"/>
  <c r="R72"/>
  <c r="N72"/>
  <c r="P72" s="1"/>
  <c r="L72"/>
  <c r="K72"/>
  <c r="R71"/>
  <c r="N71"/>
  <c r="P71" s="1"/>
  <c r="S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L66"/>
  <c r="K66"/>
  <c r="R65"/>
  <c r="N65"/>
  <c r="P65" s="1"/>
  <c r="L65"/>
  <c r="K65"/>
  <c r="R64"/>
  <c r="N64"/>
  <c r="P64" s="1"/>
  <c r="L64"/>
  <c r="K64"/>
  <c r="R63"/>
  <c r="N63"/>
  <c r="P63" s="1"/>
  <c r="S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L58"/>
  <c r="K58"/>
  <c r="R57"/>
  <c r="N57"/>
  <c r="P57" s="1"/>
  <c r="L57"/>
  <c r="K57"/>
  <c r="R56"/>
  <c r="P56"/>
  <c r="N56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K45"/>
  <c r="R44"/>
  <c r="N44"/>
  <c r="P44" s="1"/>
  <c r="S44" s="1"/>
  <c r="L44"/>
  <c r="K44"/>
  <c r="R43"/>
  <c r="P43"/>
  <c r="N43"/>
  <c r="L43"/>
  <c r="K43"/>
  <c r="R42"/>
  <c r="P42"/>
  <c r="N42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K31"/>
  <c r="R30"/>
  <c r="N30"/>
  <c r="P30" s="1"/>
  <c r="S30" s="1"/>
  <c r="L30"/>
  <c r="K30"/>
  <c r="R29"/>
  <c r="P29"/>
  <c r="S29" s="1"/>
  <c r="N29"/>
  <c r="L29"/>
  <c r="K29"/>
  <c r="V29" s="1" a="1"/>
  <c r="V29" s="1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N23"/>
  <c r="P23" s="1"/>
  <c r="S23" s="1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I452" l="1"/>
  <c r="P452"/>
  <c r="K452"/>
  <c r="AA417"/>
  <c r="AA416"/>
  <c r="AA207"/>
  <c r="K434"/>
  <c r="O434" s="1" a="1"/>
  <c r="O434" s="1"/>
  <c r="AA418"/>
  <c r="AA412"/>
  <c r="AA419"/>
  <c r="S348"/>
  <c r="S285"/>
  <c r="S265"/>
  <c r="S251"/>
  <c r="S234"/>
  <c r="S238"/>
  <c r="AA208"/>
  <c r="AA206"/>
  <c r="AA209"/>
  <c r="AA203"/>
  <c r="S139"/>
  <c r="S76"/>
  <c r="S56"/>
  <c r="S42"/>
  <c r="S43"/>
  <c r="V265" a="1"/>
  <c r="V265" s="1"/>
  <c r="V282" a="1"/>
  <c r="V282" s="1"/>
  <c r="V285" a="1"/>
  <c r="V285" s="1"/>
  <c r="V287" a="1"/>
  <c r="V287" s="1"/>
  <c r="V291" a="1"/>
  <c r="V291" s="1"/>
  <c r="V298" a="1"/>
  <c r="V298" s="1"/>
  <c r="V302" a="1"/>
  <c r="V302" s="1"/>
  <c r="V306" a="1"/>
  <c r="V306" s="1"/>
  <c r="V310" a="1"/>
  <c r="V310" s="1"/>
  <c r="V316" a="1"/>
  <c r="V316" s="1"/>
  <c r="V320" a="1"/>
  <c r="V320" s="1"/>
  <c r="V324" a="1"/>
  <c r="V324" s="1"/>
  <c r="V328" a="1"/>
  <c r="V328" s="1"/>
  <c r="V335" a="1"/>
  <c r="V335" s="1"/>
  <c r="V342" a="1"/>
  <c r="V342" s="1"/>
  <c r="V346" a="1"/>
  <c r="V346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267" a="1"/>
  <c r="V267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P408"/>
  <c r="V231" a="1"/>
  <c r="V231" s="1"/>
  <c r="V232" a="1"/>
  <c r="V232" s="1"/>
  <c r="K433"/>
  <c r="O433" s="1" a="1"/>
  <c r="O433" s="1"/>
  <c r="K432"/>
  <c r="O432" s="1" a="1"/>
  <c r="O432" s="1"/>
  <c r="V139" a="1"/>
  <c r="V139" s="1"/>
  <c r="V43" a="1"/>
  <c r="V43" s="1"/>
  <c r="V31" a="1"/>
  <c r="V31" s="1"/>
  <c r="V35" a="1"/>
  <c r="V35" s="1"/>
  <c r="V42" a="1"/>
  <c r="V42" s="1"/>
  <c r="V45" a="1"/>
  <c r="V45" s="1"/>
  <c r="V53" a="1"/>
  <c r="V53" s="1"/>
  <c r="V56" a="1"/>
  <c r="V56" s="1"/>
  <c r="V99" a="1"/>
  <c r="V99" s="1"/>
  <c r="V115" a="1"/>
  <c r="V115" s="1"/>
  <c r="V79" a="1"/>
  <c r="V79" s="1"/>
  <c r="S80"/>
  <c r="S81"/>
  <c r="S88"/>
  <c r="S89"/>
  <c r="V95" a="1"/>
  <c r="V95" s="1"/>
  <c r="S96"/>
  <c r="S97"/>
  <c r="S104"/>
  <c r="S105"/>
  <c r="V111" a="1"/>
  <c r="V111" s="1"/>
  <c r="S112"/>
  <c r="S113"/>
  <c r="V119" a="1"/>
  <c r="V119" s="1"/>
  <c r="S120"/>
  <c r="S121"/>
  <c r="V127" a="1"/>
  <c r="V127" s="1"/>
  <c r="S128"/>
  <c r="S129"/>
  <c r="V135" a="1"/>
  <c r="V135" s="1"/>
  <c r="S136"/>
  <c r="S137"/>
  <c r="S57"/>
  <c r="V63" a="1"/>
  <c r="V63" s="1"/>
  <c r="S64"/>
  <c r="S65"/>
  <c r="V71" a="1"/>
  <c r="V71" s="1"/>
  <c r="S72"/>
  <c r="S73"/>
  <c r="S58"/>
  <c r="S62"/>
  <c r="S66"/>
  <c r="S70"/>
  <c r="V73" a="1"/>
  <c r="V73" s="1"/>
  <c r="S74"/>
  <c r="V77" a="1"/>
  <c r="V77" s="1"/>
  <c r="S78"/>
  <c r="S82"/>
  <c r="S86"/>
  <c r="V89" a="1"/>
  <c r="V89" s="1"/>
  <c r="S90"/>
  <c r="V93" a="1"/>
  <c r="V93" s="1"/>
  <c r="S94"/>
  <c r="V97" a="1"/>
  <c r="V97" s="1"/>
  <c r="S98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58" a="1"/>
  <c r="V58" s="1"/>
  <c r="V62" a="1"/>
  <c r="V62" s="1"/>
  <c r="V64" a="1"/>
  <c r="V64" s="1"/>
  <c r="V70" a="1"/>
  <c r="V70" s="1"/>
  <c r="R199"/>
  <c r="G424" s="1"/>
  <c r="V54" a="1"/>
  <c r="V54" s="1"/>
  <c r="V44" a="1"/>
  <c r="V44" s="1"/>
  <c r="V50" a="1"/>
  <c r="V50" s="1"/>
  <c r="V52" a="1"/>
  <c r="V52" s="1"/>
  <c r="V30" a="1"/>
  <c r="V30" s="1"/>
  <c r="V32" a="1"/>
  <c r="V32" s="1"/>
  <c r="V34" a="1"/>
  <c r="V34" s="1"/>
  <c r="V36" a="1"/>
  <c r="V36" s="1"/>
  <c r="K199" a="1"/>
  <c r="K199" s="1"/>
  <c r="C423" s="1"/>
  <c r="V26" a="1"/>
  <c r="V26" s="1"/>
  <c r="V28" a="1"/>
  <c r="V28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37" i="518" a="1"/>
  <c r="V237" s="1"/>
  <c r="K434"/>
  <c r="O434" s="1" a="1"/>
  <c r="O434" s="1"/>
  <c r="I452"/>
  <c r="L452"/>
  <c r="K452"/>
  <c r="AA417"/>
  <c r="AA415"/>
  <c r="AA418"/>
  <c r="AA412"/>
  <c r="AA419"/>
  <c r="S399"/>
  <c r="S378"/>
  <c r="S287"/>
  <c r="S285"/>
  <c r="S265"/>
  <c r="S266"/>
  <c r="S252"/>
  <c r="S238"/>
  <c r="S237"/>
  <c r="AA208"/>
  <c r="AA206"/>
  <c r="AA209"/>
  <c r="AA203"/>
  <c r="S169"/>
  <c r="S194"/>
  <c r="S190"/>
  <c r="S191"/>
  <c r="S115"/>
  <c r="S78"/>
  <c r="S98"/>
  <c r="S57"/>
  <c r="S55"/>
  <c r="S28"/>
  <c r="V404" a="1"/>
  <c r="V404" s="1"/>
  <c r="V407" a="1"/>
  <c r="V407" s="1"/>
  <c r="K408" a="1"/>
  <c r="K408" s="1"/>
  <c r="R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K433"/>
  <c r="O433" s="1" a="1"/>
  <c r="O433" s="1"/>
  <c r="K432"/>
  <c r="O432" s="1" a="1"/>
  <c r="O432" s="1"/>
  <c r="S56"/>
  <c r="V33" a="1"/>
  <c r="V33" s="1"/>
  <c r="S34"/>
  <c r="S35"/>
  <c r="V41" a="1"/>
  <c r="V41" s="1"/>
  <c r="S42"/>
  <c r="S43"/>
  <c r="S50"/>
  <c r="S51"/>
  <c r="S32"/>
  <c r="S36"/>
  <c r="S40"/>
  <c r="S44"/>
  <c r="S48"/>
  <c r="S52"/>
  <c r="V28" a="1"/>
  <c r="V28" s="1"/>
  <c r="V31" a="1"/>
  <c r="V31" s="1"/>
  <c r="V35" a="1"/>
  <c r="V35" s="1"/>
  <c r="V43" a="1"/>
  <c r="V43" s="1"/>
  <c r="V51" a="1"/>
  <c r="V51" s="1"/>
  <c r="V54" a="1"/>
  <c r="V54" s="1"/>
  <c r="R199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K199" a="1"/>
  <c r="K199" s="1"/>
  <c r="V26" a="1"/>
  <c r="V26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P408"/>
  <c r="K434" i="519"/>
  <c r="O434" s="1" a="1"/>
  <c r="O434" s="1"/>
  <c r="AA417"/>
  <c r="AA415"/>
  <c r="L452"/>
  <c r="K452"/>
  <c r="AA418"/>
  <c r="AA412"/>
  <c r="AA419"/>
  <c r="S378"/>
  <c r="S400"/>
  <c r="S324"/>
  <c r="S307"/>
  <c r="S264"/>
  <c r="S263"/>
  <c r="S236"/>
  <c r="S237"/>
  <c r="AA208"/>
  <c r="AA206"/>
  <c r="AA209"/>
  <c r="AA204"/>
  <c r="S170"/>
  <c r="S169"/>
  <c r="S191"/>
  <c r="S193"/>
  <c r="S115"/>
  <c r="S113"/>
  <c r="S99"/>
  <c r="S98"/>
  <c r="S49"/>
  <c r="S27"/>
  <c r="S26"/>
  <c r="V378" a="1"/>
  <c r="V378" s="1"/>
  <c r="V324" a="1"/>
  <c r="V324" s="1"/>
  <c r="V263" a="1"/>
  <c r="V263" s="1"/>
  <c r="V236" a="1"/>
  <c r="V236" s="1"/>
  <c r="V404" a="1"/>
  <c r="V404" s="1"/>
  <c r="V407" a="1"/>
  <c r="V407" s="1"/>
  <c r="V351" a="1"/>
  <c r="V351" s="1"/>
  <c r="V352" a="1"/>
  <c r="V352" s="1"/>
  <c r="V357" a="1"/>
  <c r="V357" s="1"/>
  <c r="V358" a="1"/>
  <c r="V358" s="1"/>
  <c r="V325" a="1"/>
  <c r="V325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08" a="1"/>
  <c r="V308" s="1"/>
  <c r="V310" a="1"/>
  <c r="V310" s="1"/>
  <c r="V311" a="1"/>
  <c r="V311" s="1"/>
  <c r="V315" a="1"/>
  <c r="V315" s="1"/>
  <c r="V316" a="1"/>
  <c r="V316" s="1"/>
  <c r="V320" a="1"/>
  <c r="V320" s="1"/>
  <c r="V321" a="1"/>
  <c r="V321" s="1"/>
  <c r="V323" a="1"/>
  <c r="V323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6" a="1"/>
  <c r="V306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34" a="1"/>
  <c r="V234" s="1"/>
  <c r="V235" a="1"/>
  <c r="V235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26" a="1"/>
  <c r="V26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14" a="1"/>
  <c r="V114" s="1"/>
  <c r="V100" a="1"/>
  <c r="V100" s="1"/>
  <c r="V102" a="1"/>
  <c r="V102" s="1"/>
  <c r="V106" a="1"/>
  <c r="V106" s="1"/>
  <c r="V112" a="1"/>
  <c r="V112" s="1"/>
  <c r="R199"/>
  <c r="G424" s="1"/>
  <c r="K199" a="1"/>
  <c r="K199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13" a="1"/>
  <c r="V13" s="1"/>
  <c r="V17" a="1"/>
  <c r="V17" s="1"/>
  <c r="V19" a="1"/>
  <c r="V19" s="1"/>
  <c r="V21" a="1"/>
  <c r="V21" s="1"/>
  <c r="K434" i="517"/>
  <c r="O434" s="1" a="1"/>
  <c r="O434" s="1"/>
  <c r="K452"/>
  <c r="Y419" i="486"/>
  <c r="AA418" i="517"/>
  <c r="AA412"/>
  <c r="AA419"/>
  <c r="W419" i="486"/>
  <c r="S379" i="517"/>
  <c r="S402"/>
  <c r="S403"/>
  <c r="S322"/>
  <c r="S308"/>
  <c r="S258"/>
  <c r="S257"/>
  <c r="S234"/>
  <c r="S235"/>
  <c r="AA208"/>
  <c r="AA206"/>
  <c r="Y210" i="486"/>
  <c r="AA209" i="517"/>
  <c r="W210" i="486"/>
  <c r="AA203" i="517"/>
  <c r="S194"/>
  <c r="S137"/>
  <c r="S113"/>
  <c r="S79"/>
  <c r="S47"/>
  <c r="S25"/>
  <c r="S36"/>
  <c r="P408" i="519"/>
  <c r="O409" s="1" a="1"/>
  <c r="O409" s="1"/>
  <c r="V234" i="517" a="1"/>
  <c r="V234" s="1"/>
  <c r="V404" a="1"/>
  <c r="V404" s="1"/>
  <c r="V407" a="1"/>
  <c r="V407" s="1"/>
  <c r="P408"/>
  <c r="V231" a="1"/>
  <c r="V231" s="1"/>
  <c r="V232" a="1"/>
  <c r="V232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K433"/>
  <c r="O433" s="1" a="1"/>
  <c r="O433" s="1"/>
  <c r="K432"/>
  <c r="O432" s="1" a="1"/>
  <c r="O432" s="1"/>
  <c r="V25" a="1"/>
  <c r="V25" s="1"/>
  <c r="V33" a="1"/>
  <c r="V33" s="1"/>
  <c r="V36" a="1"/>
  <c r="V36" s="1"/>
  <c r="V196" a="1"/>
  <c r="V196" s="1"/>
  <c r="V198" a="1"/>
  <c r="V198" s="1"/>
  <c r="V34" a="1"/>
  <c r="V34" s="1"/>
  <c r="R199"/>
  <c r="V26" a="1"/>
  <c r="V26" s="1"/>
  <c r="V28" a="1"/>
  <c r="V28" s="1"/>
  <c r="V30" a="1"/>
  <c r="V30" s="1"/>
  <c r="V32" a="1"/>
  <c r="V3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I452" i="526"/>
  <c r="AA418"/>
  <c r="AA412"/>
  <c r="AA419"/>
  <c r="S403"/>
  <c r="S350"/>
  <c r="S283"/>
  <c r="S288"/>
  <c r="S255"/>
  <c r="S256"/>
  <c r="S242"/>
  <c r="S245"/>
  <c r="AA208"/>
  <c r="AA206"/>
  <c r="S194"/>
  <c r="S169"/>
  <c r="S141"/>
  <c r="S106"/>
  <c r="S74"/>
  <c r="S61"/>
  <c r="S46"/>
  <c r="S33"/>
  <c r="S35"/>
  <c r="V242" a="1"/>
  <c r="V242" s="1"/>
  <c r="S402"/>
  <c r="S351"/>
  <c r="S352"/>
  <c r="S360"/>
  <c r="S364"/>
  <c r="S369"/>
  <c r="S373"/>
  <c r="S377"/>
  <c r="S378"/>
  <c r="S289"/>
  <c r="S290"/>
  <c r="S297"/>
  <c r="S300"/>
  <c r="S301"/>
  <c r="S304"/>
  <c r="S305"/>
  <c r="S308"/>
  <c r="S309"/>
  <c r="S312"/>
  <c r="S316"/>
  <c r="S320"/>
  <c r="S321"/>
  <c r="S332"/>
  <c r="S340"/>
  <c r="S343"/>
  <c r="S344"/>
  <c r="S347"/>
  <c r="S348"/>
  <c r="S257"/>
  <c r="S272"/>
  <c r="S273"/>
  <c r="S277"/>
  <c r="S247"/>
  <c r="S251"/>
  <c r="S252"/>
  <c r="V244" a="1"/>
  <c r="V244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K433"/>
  <c r="O433" s="1" a="1"/>
  <c r="O433" s="1"/>
  <c r="V35" a="1"/>
  <c r="V35" s="1"/>
  <c r="V33" a="1"/>
  <c r="V33" s="1"/>
  <c r="V111" a="1"/>
  <c r="V111" s="1"/>
  <c r="V119" a="1"/>
  <c r="V119" s="1"/>
  <c r="V127" a="1"/>
  <c r="V127" s="1"/>
  <c r="V135" a="1"/>
  <c r="V135" s="1"/>
  <c r="V141" a="1"/>
  <c r="V141" s="1"/>
  <c r="V147" a="1"/>
  <c r="V147" s="1"/>
  <c r="V169" a="1"/>
  <c r="V169" s="1"/>
  <c r="S198"/>
  <c r="S170"/>
  <c r="S174"/>
  <c r="S178"/>
  <c r="S182"/>
  <c r="S186"/>
  <c r="S190"/>
  <c r="S142"/>
  <c r="S146"/>
  <c r="V149" a="1"/>
  <c r="V149" s="1"/>
  <c r="S150"/>
  <c r="S154"/>
  <c r="S158"/>
  <c r="S162"/>
  <c r="S16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S78"/>
  <c r="S82"/>
  <c r="S86"/>
  <c r="S90"/>
  <c r="S94"/>
  <c r="S98"/>
  <c r="S102"/>
  <c r="S62"/>
  <c r="S66"/>
  <c r="S70"/>
  <c r="R199"/>
  <c r="S50"/>
  <c r="S54"/>
  <c r="S58"/>
  <c r="S38"/>
  <c r="S42"/>
  <c r="S34"/>
  <c r="K199" a="1"/>
  <c r="K199" s="1"/>
  <c r="V8" a="1"/>
  <c r="V8" s="1"/>
  <c r="S9"/>
  <c r="V13" a="1"/>
  <c r="V13" s="1"/>
  <c r="S14"/>
  <c r="V17" a="1"/>
  <c r="V17" s="1"/>
  <c r="S18"/>
  <c r="V21" a="1"/>
  <c r="V21" s="1"/>
  <c r="V25" a="1"/>
  <c r="V25" s="1"/>
  <c r="S26"/>
  <c r="S30"/>
  <c r="P199"/>
  <c r="O200" s="1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AA413"/>
  <c r="AA415"/>
  <c r="AA417"/>
  <c r="K432"/>
  <c r="O432" s="1" a="1"/>
  <c r="O432" s="1"/>
  <c r="K434"/>
  <c r="O434" s="1" a="1"/>
  <c r="O434" s="1"/>
  <c r="AA203"/>
  <c r="AA205"/>
  <c r="AA207"/>
  <c r="AA209"/>
  <c r="C423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3" a="1"/>
  <c r="V243" s="1"/>
  <c r="V245" a="1"/>
  <c r="V245" s="1"/>
  <c r="V243" i="527" a="1"/>
  <c r="V243" s="1"/>
  <c r="K434"/>
  <c r="O434" s="1" a="1"/>
  <c r="O434" s="1"/>
  <c r="K452"/>
  <c r="AA417"/>
  <c r="AA415"/>
  <c r="AA418"/>
  <c r="AA412"/>
  <c r="AA419"/>
  <c r="S378"/>
  <c r="S385"/>
  <c r="S350"/>
  <c r="S321"/>
  <c r="S316"/>
  <c r="S315"/>
  <c r="S270"/>
  <c r="S243"/>
  <c r="S244"/>
  <c r="S112"/>
  <c r="AA208"/>
  <c r="AA206"/>
  <c r="AA209"/>
  <c r="S175"/>
  <c r="S105"/>
  <c r="S34"/>
  <c r="S39"/>
  <c r="S31"/>
  <c r="P408" i="526"/>
  <c r="V324" i="527" a="1"/>
  <c r="V324" s="1"/>
  <c r="V328" a="1"/>
  <c r="V328" s="1"/>
  <c r="V335" a="1"/>
  <c r="V335" s="1"/>
  <c r="V342" a="1"/>
  <c r="V342" s="1"/>
  <c r="V346" a="1"/>
  <c r="V346" s="1"/>
  <c r="V351" a="1"/>
  <c r="V351" s="1"/>
  <c r="V378" a="1"/>
  <c r="V378" s="1"/>
  <c r="V244" a="1"/>
  <c r="V24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81" a="1"/>
  <c r="V381" s="1"/>
  <c r="V382" a="1"/>
  <c r="V382" s="1"/>
  <c r="V379" a="1"/>
  <c r="V379" s="1"/>
  <c r="V380" a="1"/>
  <c r="V380" s="1"/>
  <c r="V383" a="1"/>
  <c r="V383" s="1"/>
  <c r="V384" a="1"/>
  <c r="V384" s="1"/>
  <c r="V377" a="1"/>
  <c r="V377" s="1"/>
  <c r="V355" a="1"/>
  <c r="V355" s="1"/>
  <c r="V356" a="1"/>
  <c r="V356" s="1"/>
  <c r="V352" a="1"/>
  <c r="V352" s="1"/>
  <c r="V357" a="1"/>
  <c r="V357" s="1"/>
  <c r="V358" a="1"/>
  <c r="V35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20" a="1"/>
  <c r="V320" s="1"/>
  <c r="V242" a="1"/>
  <c r="V242" s="1"/>
  <c r="K408" a="1"/>
  <c r="K408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P408"/>
  <c r="K433"/>
  <c r="O433" s="1" a="1"/>
  <c r="O433" s="1"/>
  <c r="K432"/>
  <c r="O432" s="1" a="1"/>
  <c r="O432" s="1"/>
  <c r="V141" a="1"/>
  <c r="V141" s="1"/>
  <c r="V31" a="1"/>
  <c r="V31" s="1"/>
  <c r="V34" a="1"/>
  <c r="V34" s="1"/>
  <c r="V115" a="1"/>
  <c r="V115" s="1"/>
  <c r="V119" a="1"/>
  <c r="V119" s="1"/>
  <c r="V127" a="1"/>
  <c r="V127" s="1"/>
  <c r="V135" a="1"/>
  <c r="V135" s="1"/>
  <c r="V139" a="1"/>
  <c r="V139" s="1"/>
  <c r="V143" a="1"/>
  <c r="V143" s="1"/>
  <c r="V147" a="1"/>
  <c r="V147" s="1"/>
  <c r="V171" a="1"/>
  <c r="V171" s="1"/>
  <c r="V175" a="1"/>
  <c r="V175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72" a="1"/>
  <c r="V172" s="1"/>
  <c r="V174" a="1"/>
  <c r="V174" s="1"/>
  <c r="V142" a="1"/>
  <c r="V142" s="1"/>
  <c r="V146" a="1"/>
  <c r="V146" s="1"/>
  <c r="V148" a="1"/>
  <c r="V148" s="1"/>
  <c r="V168" a="1"/>
  <c r="V168" s="1"/>
  <c r="V170" a="1"/>
  <c r="V17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32" a="1"/>
  <c r="V32" s="1"/>
  <c r="V30" a="1"/>
  <c r="V30" s="1"/>
  <c r="K199" a="1"/>
  <c r="K199" s="1"/>
  <c r="R199"/>
  <c r="G424" s="1"/>
  <c r="V7" a="1"/>
  <c r="V7" s="1"/>
  <c r="V12" a="1"/>
  <c r="V12" s="1"/>
  <c r="V13" a="1"/>
  <c r="V13" s="1"/>
  <c r="V17" a="1"/>
  <c r="V17" s="1"/>
  <c r="V19" a="1"/>
  <c r="V19" s="1"/>
  <c r="V21" a="1"/>
  <c r="V21" s="1"/>
  <c r="V23" a="1"/>
  <c r="V23" s="1"/>
  <c r="V25" a="1"/>
  <c r="V25" s="1"/>
  <c r="V27" a="1"/>
  <c r="V27" s="1"/>
  <c r="M211" i="524"/>
  <c r="K434" i="525"/>
  <c r="O434" s="1" a="1"/>
  <c r="O434" s="1"/>
  <c r="K434" i="524"/>
  <c r="O434" s="1" a="1"/>
  <c r="O434" s="1"/>
  <c r="K452" i="525"/>
  <c r="I452"/>
  <c r="AA417"/>
  <c r="AA415"/>
  <c r="AA418"/>
  <c r="AA412"/>
  <c r="AA419"/>
  <c r="S350"/>
  <c r="S321"/>
  <c r="S320"/>
  <c r="S313"/>
  <c r="S314"/>
  <c r="S271"/>
  <c r="S247"/>
  <c r="S249"/>
  <c r="S240"/>
  <c r="S239"/>
  <c r="AA208"/>
  <c r="AA206"/>
  <c r="AA209"/>
  <c r="AA203"/>
  <c r="S137"/>
  <c r="S141"/>
  <c r="S111"/>
  <c r="S62"/>
  <c r="S63"/>
  <c r="S103"/>
  <c r="S104"/>
  <c r="S32"/>
  <c r="S30"/>
  <c r="K452" i="524"/>
  <c r="H452"/>
  <c r="O452"/>
  <c r="AA417"/>
  <c r="AA416"/>
  <c r="AA415"/>
  <c r="AA418"/>
  <c r="AA412"/>
  <c r="AA419"/>
  <c r="S347"/>
  <c r="S346"/>
  <c r="S320"/>
  <c r="S291"/>
  <c r="S312"/>
  <c r="S272"/>
  <c r="S223"/>
  <c r="S241"/>
  <c r="AA208"/>
  <c r="AA206"/>
  <c r="AA209"/>
  <c r="AA204"/>
  <c r="AA203"/>
  <c r="S140"/>
  <c r="S139"/>
  <c r="S111"/>
  <c r="S82"/>
  <c r="S63"/>
  <c r="S14"/>
  <c r="K408" i="525" a="1"/>
  <c r="K408" s="1"/>
  <c r="V239" a="1"/>
  <c r="V239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3" a="1"/>
  <c r="V233" s="1"/>
  <c r="V234" a="1"/>
  <c r="V234" s="1"/>
  <c r="V237" a="1"/>
  <c r="V237" s="1"/>
  <c r="K433"/>
  <c r="O433" s="1" a="1"/>
  <c r="O433" s="1"/>
  <c r="K432"/>
  <c r="O432" s="1" a="1"/>
  <c r="O432" s="1"/>
  <c r="V31" a="1"/>
  <c r="V31" s="1"/>
  <c r="V33" a="1"/>
  <c r="V33" s="1"/>
  <c r="V37" a="1"/>
  <c r="V37" s="1"/>
  <c r="V41" a="1"/>
  <c r="V41" s="1"/>
  <c r="V45" a="1"/>
  <c r="V45" s="1"/>
  <c r="V53" a="1"/>
  <c r="V53" s="1"/>
  <c r="V63" a="1"/>
  <c r="V63" s="1"/>
  <c r="V112" a="1"/>
  <c r="V112" s="1"/>
  <c r="V115" a="1"/>
  <c r="V115" s="1"/>
  <c r="V119" a="1"/>
  <c r="V119" s="1"/>
  <c r="V127" a="1"/>
  <c r="V127" s="1"/>
  <c r="V135" a="1"/>
  <c r="V135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38" a="1"/>
  <c r="V138" s="1"/>
  <c r="V140" a="1"/>
  <c r="V140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K199" a="1"/>
  <c r="K199" s="1"/>
  <c r="C423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G424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P199"/>
  <c r="K433" i="524"/>
  <c r="O433" s="1" a="1"/>
  <c r="O433" s="1"/>
  <c r="K408" a="1"/>
  <c r="K408" s="1"/>
  <c r="V228" a="1"/>
  <c r="V228" s="1"/>
  <c r="V241" a="1"/>
  <c r="V241" s="1"/>
  <c r="V243" a="1"/>
  <c r="V243" s="1"/>
  <c r="V251" a="1"/>
  <c r="V251" s="1"/>
  <c r="V259" a="1"/>
  <c r="V259" s="1"/>
  <c r="V263" a="1"/>
  <c r="V263" s="1"/>
  <c r="V267" a="1"/>
  <c r="V267" s="1"/>
  <c r="V272" a="1"/>
  <c r="V272" s="1"/>
  <c r="V273" a="1"/>
  <c r="V273" s="1"/>
  <c r="V280" a="1"/>
  <c r="V280" s="1"/>
  <c r="V284" a="1"/>
  <c r="V284" s="1"/>
  <c r="V288" a="1"/>
  <c r="V288" s="1"/>
  <c r="V291" a="1"/>
  <c r="V291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1" a="1"/>
  <c r="V281" s="1"/>
  <c r="V282" a="1"/>
  <c r="V282" s="1"/>
  <c r="V285" a="1"/>
  <c r="V285" s="1"/>
  <c r="V286" a="1"/>
  <c r="V286" s="1"/>
  <c r="V289" a="1"/>
  <c r="V289" s="1"/>
  <c r="V261" a="1"/>
  <c r="V261" s="1"/>
  <c r="V262" a="1"/>
  <c r="V262" s="1"/>
  <c r="V265" a="1"/>
  <c r="V265" s="1"/>
  <c r="V268" a="1"/>
  <c r="V268" s="1"/>
  <c r="V271" a="1"/>
  <c r="V271" s="1"/>
  <c r="V252" a="1"/>
  <c r="V252" s="1"/>
  <c r="V244" a="1"/>
  <c r="V244" s="1"/>
  <c r="V245" a="1"/>
  <c r="V245" s="1"/>
  <c r="V250" a="1"/>
  <c r="V250" s="1"/>
  <c r="V253" a="1"/>
  <c r="V253" s="1"/>
  <c r="V254" a="1"/>
  <c r="V254" s="1"/>
  <c r="V239" a="1"/>
  <c r="V239" s="1"/>
  <c r="V240" a="1"/>
  <c r="V240" s="1"/>
  <c r="P408"/>
  <c r="V231" a="1"/>
  <c r="V231" s="1"/>
  <c r="V232" a="1"/>
  <c r="V232" s="1"/>
  <c r="V235" a="1"/>
  <c r="V235" s="1"/>
  <c r="V236" a="1"/>
  <c r="V236" s="1"/>
  <c r="R408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2"/>
  <c r="O432" s="1" a="1"/>
  <c r="O432" s="1"/>
  <c r="V140" a="1"/>
  <c r="V140" s="1"/>
  <c r="V111" a="1"/>
  <c r="V111" s="1"/>
  <c r="V19" a="1"/>
  <c r="V19" s="1"/>
  <c r="V23" a="1"/>
  <c r="V23" s="1"/>
  <c r="V27" a="1"/>
  <c r="V27" s="1"/>
  <c r="V31" a="1"/>
  <c r="V31" s="1"/>
  <c r="V35" a="1"/>
  <c r="V35" s="1"/>
  <c r="V43" a="1"/>
  <c r="V43" s="1"/>
  <c r="V51" a="1"/>
  <c r="V51" s="1"/>
  <c r="V55" a="1"/>
  <c r="V55" s="1"/>
  <c r="V59" a="1"/>
  <c r="V59" s="1"/>
  <c r="V63" a="1"/>
  <c r="V63" s="1"/>
  <c r="V71" a="1"/>
  <c r="V71" s="1"/>
  <c r="V75" a="1"/>
  <c r="V75" s="1"/>
  <c r="V79" a="1"/>
  <c r="V79" s="1"/>
  <c r="V82" a="1"/>
  <c r="V82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9" a="1"/>
  <c r="V139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S137"/>
  <c r="V137" a="1"/>
  <c r="V137" s="1"/>
  <c r="S138"/>
  <c r="V138" a="1"/>
  <c r="V138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S62"/>
  <c r="K199" a="1"/>
  <c r="K199" s="1"/>
  <c r="V62" a="1"/>
  <c r="V62" s="1"/>
  <c r="P199"/>
  <c r="R199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11" a="1"/>
  <c r="V11" s="1"/>
  <c r="V12" a="1"/>
  <c r="V12" s="1"/>
  <c r="S61" i="522"/>
  <c r="S81"/>
  <c r="V112" a="1"/>
  <c r="V112" s="1"/>
  <c r="S62"/>
  <c r="AA208" i="523"/>
  <c r="AA207"/>
  <c r="AA205"/>
  <c r="AA209"/>
  <c r="AA204"/>
  <c r="S14"/>
  <c r="K432"/>
  <c r="O432" s="1" a="1"/>
  <c r="O432" s="1"/>
  <c r="V217" a="1"/>
  <c r="V217" s="1"/>
  <c r="V221" a="1"/>
  <c r="V221" s="1"/>
  <c r="S225"/>
  <c r="S226"/>
  <c r="V228" a="1"/>
  <c r="V228" s="1"/>
  <c r="S229"/>
  <c r="S230"/>
  <c r="V232" a="1"/>
  <c r="V232" s="1"/>
  <c r="S233"/>
  <c r="S234"/>
  <c r="V236" a="1"/>
  <c r="V236" s="1"/>
  <c r="S237"/>
  <c r="S238"/>
  <c r="V242" a="1"/>
  <c r="V242" s="1"/>
  <c r="V246" a="1"/>
  <c r="V246" s="1"/>
  <c r="S250"/>
  <c r="V252" a="1"/>
  <c r="V252" s="1"/>
  <c r="S253"/>
  <c r="S254"/>
  <c r="S258"/>
  <c r="V260" a="1"/>
  <c r="V260" s="1"/>
  <c r="S261"/>
  <c r="S262"/>
  <c r="V264" a="1"/>
  <c r="V264" s="1"/>
  <c r="S265"/>
  <c r="S266"/>
  <c r="S271"/>
  <c r="V273" a="1"/>
  <c r="V273" s="1"/>
  <c r="S274"/>
  <c r="S278"/>
  <c r="V280" a="1"/>
  <c r="V280" s="1"/>
  <c r="S281"/>
  <c r="S282"/>
  <c r="V284" a="1"/>
  <c r="V284" s="1"/>
  <c r="S285"/>
  <c r="S286"/>
  <c r="V288" a="1"/>
  <c r="V288" s="1"/>
  <c r="S289"/>
  <c r="S290"/>
  <c r="V293" a="1"/>
  <c r="V293" s="1"/>
  <c r="S297"/>
  <c r="V299" a="1"/>
  <c r="V299" s="1"/>
  <c r="S300"/>
  <c r="S301"/>
  <c r="V303" a="1"/>
  <c r="V303" s="1"/>
  <c r="S304"/>
  <c r="S305"/>
  <c r="V307" a="1"/>
  <c r="V307" s="1"/>
  <c r="S308"/>
  <c r="S309"/>
  <c r="V311" a="1"/>
  <c r="V311" s="1"/>
  <c r="S312"/>
  <c r="V315" a="1"/>
  <c r="V315" s="1"/>
  <c r="S319"/>
  <c r="V321" a="1"/>
  <c r="V321" s="1"/>
  <c r="S322"/>
  <c r="S323"/>
  <c r="V325" a="1"/>
  <c r="V325" s="1"/>
  <c r="S326"/>
  <c r="S327"/>
  <c r="V329" a="1"/>
  <c r="V329" s="1"/>
  <c r="S330"/>
  <c r="S334"/>
  <c r="V336" a="1"/>
  <c r="V336" s="1"/>
  <c r="S337"/>
  <c r="S338"/>
  <c r="V341" a="1"/>
  <c r="V341" s="1"/>
  <c r="V345" a="1"/>
  <c r="V345" s="1"/>
  <c r="V349" a="1"/>
  <c r="V349" s="1"/>
  <c r="S354"/>
  <c r="V356" a="1"/>
  <c r="V356" s="1"/>
  <c r="S357"/>
  <c r="S358"/>
  <c r="S362"/>
  <c r="S366"/>
  <c r="S370"/>
  <c r="S374"/>
  <c r="V377" a="1"/>
  <c r="V377" s="1"/>
  <c r="V381" a="1"/>
  <c r="V381" s="1"/>
  <c r="V385" a="1"/>
  <c r="V385" s="1"/>
  <c r="V389" a="1"/>
  <c r="V389" s="1"/>
  <c r="V393" a="1"/>
  <c r="V393" s="1"/>
  <c r="V397" a="1"/>
  <c r="V397" s="1"/>
  <c r="S402"/>
  <c r="V405" a="1"/>
  <c r="V405" s="1"/>
  <c r="K408" a="1"/>
  <c r="K408" s="1"/>
  <c r="C423" s="1"/>
  <c r="R408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P408"/>
  <c r="O409" s="1" a="1"/>
  <c r="O409" s="1"/>
  <c r="AA412"/>
  <c r="AA414"/>
  <c r="AA416"/>
  <c r="AA418"/>
  <c r="AA419"/>
  <c r="K433"/>
  <c r="O433" s="1" a="1"/>
  <c r="O433" s="1"/>
  <c r="R199"/>
  <c r="G42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8" a="1"/>
  <c r="V8" s="1"/>
  <c r="V11" a="1"/>
  <c r="V11" s="1"/>
  <c r="E452" i="521"/>
  <c r="I452"/>
  <c r="H452"/>
  <c r="K452"/>
  <c r="AA417"/>
  <c r="AA416"/>
  <c r="AA415"/>
  <c r="AA414"/>
  <c r="AA418"/>
  <c r="AA413"/>
  <c r="AA419"/>
  <c r="S310"/>
  <c r="S286"/>
  <c r="S268"/>
  <c r="S223"/>
  <c r="S224"/>
  <c r="AA208"/>
  <c r="AA207"/>
  <c r="AA205"/>
  <c r="AA209"/>
  <c r="AA204"/>
  <c r="S76"/>
  <c r="S15"/>
  <c r="S13"/>
  <c r="S12"/>
  <c r="S9"/>
  <c r="K434"/>
  <c r="O434" s="1" a="1"/>
  <c r="O434" s="1"/>
  <c r="V268" a="1"/>
  <c r="V268" s="1"/>
  <c r="K408" a="1"/>
  <c r="K408" s="1"/>
  <c r="V227" a="1"/>
  <c r="V227" s="1"/>
  <c r="V231" a="1"/>
  <c r="V231" s="1"/>
  <c r="V235" a="1"/>
  <c r="V235" s="1"/>
  <c r="V239" a="1"/>
  <c r="V239" s="1"/>
  <c r="V243" a="1"/>
  <c r="V243" s="1"/>
  <c r="V251" a="1"/>
  <c r="V251" s="1"/>
  <c r="V259" a="1"/>
  <c r="V259" s="1"/>
  <c r="V263" a="1"/>
  <c r="V263" s="1"/>
  <c r="V287" a="1"/>
  <c r="V287" s="1"/>
  <c r="V291" a="1"/>
  <c r="V291" s="1"/>
  <c r="V298" a="1"/>
  <c r="V298" s="1"/>
  <c r="V302" a="1"/>
  <c r="V302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309" a="1"/>
  <c r="V309" s="1"/>
  <c r="V306" a="1"/>
  <c r="V306" s="1"/>
  <c r="V307" a="1"/>
  <c r="V3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71" a="1"/>
  <c r="V271" s="1"/>
  <c r="V281" a="1"/>
  <c r="V281" s="1"/>
  <c r="V282" a="1"/>
  <c r="V282" s="1"/>
  <c r="V285" a="1"/>
  <c r="V285" s="1"/>
  <c r="V267" a="1"/>
  <c r="V267" s="1"/>
  <c r="R408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P408"/>
  <c r="V225" a="1"/>
  <c r="V225" s="1"/>
  <c r="V217" a="1"/>
  <c r="V217" s="1"/>
  <c r="V218" a="1"/>
  <c r="V218" s="1"/>
  <c r="V221" a="1"/>
  <c r="V221" s="1"/>
  <c r="V222" a="1"/>
  <c r="V222" s="1"/>
  <c r="V216" a="1"/>
  <c r="V216" s="1"/>
  <c r="V219" a="1"/>
  <c r="V219" s="1"/>
  <c r="V220" a="1"/>
  <c r="V220" s="1"/>
  <c r="K433"/>
  <c r="O433" s="1" a="1"/>
  <c r="O433" s="1"/>
  <c r="K432"/>
  <c r="O432" s="1" a="1"/>
  <c r="O432" s="1"/>
  <c r="V107" a="1"/>
  <c r="V107" s="1"/>
  <c r="S108"/>
  <c r="S109"/>
  <c r="V115" a="1"/>
  <c r="V115" s="1"/>
  <c r="S116"/>
  <c r="S117"/>
  <c r="S124"/>
  <c r="S125"/>
  <c r="S132"/>
  <c r="S133"/>
  <c r="V139" a="1"/>
  <c r="V139" s="1"/>
  <c r="S140"/>
  <c r="S141"/>
  <c r="V147" a="1"/>
  <c r="V147" s="1"/>
  <c r="S148"/>
  <c r="S149"/>
  <c r="S156"/>
  <c r="S157"/>
  <c r="S164"/>
  <c r="S165"/>
  <c r="V171" a="1"/>
  <c r="V171" s="1"/>
  <c r="S172"/>
  <c r="S173"/>
  <c r="V179" a="1"/>
  <c r="V179" s="1"/>
  <c r="S180"/>
  <c r="S181"/>
  <c r="V187" a="1"/>
  <c r="V187" s="1"/>
  <c r="S188"/>
  <c r="S189"/>
  <c r="V195" a="1"/>
  <c r="V195" s="1"/>
  <c r="S196"/>
  <c r="S197"/>
  <c r="V101" a="1"/>
  <c r="V101" s="1"/>
  <c r="S102"/>
  <c r="S106"/>
  <c r="S110"/>
  <c r="V113" a="1"/>
  <c r="V113" s="1"/>
  <c r="S114"/>
  <c r="V117" a="1"/>
  <c r="V117" s="1"/>
  <c r="S118"/>
  <c r="S122"/>
  <c r="S126"/>
  <c r="V129" a="1"/>
  <c r="V129" s="1"/>
  <c r="S130"/>
  <c r="V133" a="1"/>
  <c r="V133" s="1"/>
  <c r="S134"/>
  <c r="V137" a="1"/>
  <c r="V137" s="1"/>
  <c r="S138"/>
  <c r="V141" a="1"/>
  <c r="V141" s="1"/>
  <c r="S142"/>
  <c r="S146"/>
  <c r="V149" a="1"/>
  <c r="V149" s="1"/>
  <c r="S150"/>
  <c r="S154"/>
  <c r="S158"/>
  <c r="S162"/>
  <c r="S166"/>
  <c r="V169" a="1"/>
  <c r="V169" s="1"/>
  <c r="S170"/>
  <c r="V173" a="1"/>
  <c r="V173" s="1"/>
  <c r="S174"/>
  <c r="V177" a="1"/>
  <c r="V177" s="1"/>
  <c r="S178"/>
  <c r="V181" a="1"/>
  <c r="V181" s="1"/>
  <c r="S182"/>
  <c r="V185" a="1"/>
  <c r="V185" s="1"/>
  <c r="S186"/>
  <c r="V189" a="1"/>
  <c r="V189" s="1"/>
  <c r="S190"/>
  <c r="S194"/>
  <c r="V197" a="1"/>
  <c r="V197" s="1"/>
  <c r="S198"/>
  <c r="V12" a="1"/>
  <c r="V12" s="1"/>
  <c r="V13" a="1"/>
  <c r="V13" s="1"/>
  <c r="V17" a="1"/>
  <c r="V17" s="1"/>
  <c r="V21" a="1"/>
  <c r="V21" s="1"/>
  <c r="V25" a="1"/>
  <c r="V25" s="1"/>
  <c r="V33" a="1"/>
  <c r="V33" s="1"/>
  <c r="V37" a="1"/>
  <c r="V37" s="1"/>
  <c r="V41" a="1"/>
  <c r="V41" s="1"/>
  <c r="V45" a="1"/>
  <c r="V45" s="1"/>
  <c r="V53" a="1"/>
  <c r="V53" s="1"/>
  <c r="V73" a="1"/>
  <c r="V73" s="1"/>
  <c r="V76" a="1"/>
  <c r="V76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62" a="1"/>
  <c r="V62" s="1"/>
  <c r="V64" a="1"/>
  <c r="V64" s="1"/>
  <c r="V70" a="1"/>
  <c r="V70" s="1"/>
  <c r="V72" a="1"/>
  <c r="V72" s="1"/>
  <c r="V74" a="1"/>
  <c r="V74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R199"/>
  <c r="K199" a="1"/>
  <c r="K199" s="1"/>
  <c r="V11" a="1"/>
  <c r="V11" s="1"/>
  <c r="V8" a="1"/>
  <c r="V8" s="1"/>
  <c r="V218" i="520" a="1"/>
  <c r="V218" s="1"/>
  <c r="K408" a="1"/>
  <c r="K408" s="1"/>
  <c r="K434"/>
  <c r="O434" s="1" a="1"/>
  <c r="O434" s="1"/>
  <c r="I452"/>
  <c r="K452"/>
  <c r="AA417"/>
  <c r="AA415"/>
  <c r="AA418"/>
  <c r="AA419"/>
  <c r="S311"/>
  <c r="S246"/>
  <c r="S224"/>
  <c r="S220"/>
  <c r="S218"/>
  <c r="AA208"/>
  <c r="AA206"/>
  <c r="AA209"/>
  <c r="AA203"/>
  <c r="S100"/>
  <c r="S77"/>
  <c r="S58"/>
  <c r="S59"/>
  <c r="S11"/>
  <c r="V268" a="1"/>
  <c r="V268" s="1"/>
  <c r="V253" a="1"/>
  <c r="V253" s="1"/>
  <c r="V261" a="1"/>
  <c r="V261" s="1"/>
  <c r="V271" a="1"/>
  <c r="V271" s="1"/>
  <c r="V281" a="1"/>
  <c r="V281" s="1"/>
  <c r="V285" a="1"/>
  <c r="V285" s="1"/>
  <c r="V286" a="1"/>
  <c r="V286" s="1"/>
  <c r="V288" a="1"/>
  <c r="V288" s="1"/>
  <c r="V293" a="1"/>
  <c r="V293" s="1"/>
  <c r="V299" a="1"/>
  <c r="V299" s="1"/>
  <c r="V303" a="1"/>
  <c r="V303" s="1"/>
  <c r="V307" a="1"/>
  <c r="V307" s="1"/>
  <c r="V311" a="1"/>
  <c r="V311" s="1"/>
  <c r="V220" a="1"/>
  <c r="V220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65" a="1"/>
  <c r="V265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S244"/>
  <c r="S245"/>
  <c r="S232"/>
  <c r="S221"/>
  <c r="R408"/>
  <c r="S225"/>
  <c r="S226"/>
  <c r="S229"/>
  <c r="S230"/>
  <c r="S233"/>
  <c r="S234"/>
  <c r="S237"/>
  <c r="S238"/>
  <c r="P408"/>
  <c r="V219" a="1"/>
  <c r="V219" s="1"/>
  <c r="V216" a="1"/>
  <c r="V216" s="1"/>
  <c r="V217" a="1"/>
  <c r="V217" s="1"/>
  <c r="K433"/>
  <c r="O433" s="1" a="1"/>
  <c r="O433" s="1"/>
  <c r="K432"/>
  <c r="O432" s="1" a="1"/>
  <c r="O432" s="1"/>
  <c r="V100" a="1"/>
  <c r="V100" s="1"/>
  <c r="V77" a="1"/>
  <c r="V77" s="1"/>
  <c r="V58" a="1"/>
  <c r="V58" s="1"/>
  <c r="V11" a="1"/>
  <c r="V11" s="1"/>
  <c r="V13" a="1"/>
  <c r="V13" s="1"/>
  <c r="V17" a="1"/>
  <c r="V17" s="1"/>
  <c r="V21" a="1"/>
  <c r="V21" s="1"/>
  <c r="V25" a="1"/>
  <c r="V25" s="1"/>
  <c r="V33" a="1"/>
  <c r="V33" s="1"/>
  <c r="V37" a="1"/>
  <c r="V37" s="1"/>
  <c r="V44" a="1"/>
  <c r="V44" s="1"/>
  <c r="V52" a="1"/>
  <c r="V52" s="1"/>
  <c r="V56" a="1"/>
  <c r="V56" s="1"/>
  <c r="V59" a="1"/>
  <c r="V59" s="1"/>
  <c r="V63" a="1"/>
  <c r="V63" s="1"/>
  <c r="V71" a="1"/>
  <c r="V71" s="1"/>
  <c r="V75" a="1"/>
  <c r="V75" s="1"/>
  <c r="V79" a="1"/>
  <c r="V79" s="1"/>
  <c r="V91" a="1"/>
  <c r="V91" s="1"/>
  <c r="V95" a="1"/>
  <c r="V95" s="1"/>
  <c r="V99" a="1"/>
  <c r="V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V76" a="1"/>
  <c r="V76" s="1"/>
  <c r="K199" a="1"/>
  <c r="K199" s="1"/>
  <c r="C423" s="1"/>
  <c r="R199"/>
  <c r="V62" a="1"/>
  <c r="V62" s="1"/>
  <c r="V64" a="1"/>
  <c r="V64" s="1"/>
  <c r="V70" a="1"/>
  <c r="V70" s="1"/>
  <c r="V72" a="1"/>
  <c r="V72" s="1"/>
  <c r="V74" a="1"/>
  <c r="V74" s="1"/>
  <c r="V41" a="1"/>
  <c r="V41" s="1"/>
  <c r="V43" a="1"/>
  <c r="V43" s="1"/>
  <c r="V45" a="1"/>
  <c r="V45" s="1"/>
  <c r="V51" a="1"/>
  <c r="V51" s="1"/>
  <c r="V53" a="1"/>
  <c r="V53" s="1"/>
  <c r="V55" a="1"/>
  <c r="V55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8" a="1"/>
  <c r="V8" s="1"/>
  <c r="S77" i="522"/>
  <c r="V100" a="1"/>
  <c r="V100" s="1"/>
  <c r="S58"/>
  <c r="V7" a="1"/>
  <c r="V7" s="1"/>
  <c r="L199" i="527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6"/>
  <c r="V6" a="1"/>
  <c r="V6" s="1"/>
  <c r="S6"/>
  <c r="S199" s="1" a="1"/>
  <c r="S199" s="1"/>
  <c r="W200"/>
  <c r="AA210"/>
  <c r="V215" a="1"/>
  <c r="V215" s="1"/>
  <c r="G211"/>
  <c r="S215"/>
  <c r="S408" s="1" a="1"/>
  <c r="S408" s="1"/>
  <c r="W409"/>
  <c r="I426" a="1"/>
  <c r="I426" s="1"/>
  <c r="S7" i="525"/>
  <c r="C424"/>
  <c r="V6" a="1"/>
  <c r="V6" s="1"/>
  <c r="L199"/>
  <c r="S6"/>
  <c r="V8" a="1"/>
  <c r="V8" s="1"/>
  <c r="W200"/>
  <c r="AA210"/>
  <c r="L408"/>
  <c r="V215" a="1"/>
  <c r="V215" s="1"/>
  <c r="S215"/>
  <c r="W409"/>
  <c r="I426" a="1"/>
  <c r="I426" s="1"/>
  <c r="L199" i="524"/>
  <c r="V6" a="1"/>
  <c r="V6" s="1"/>
  <c r="O200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523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C424" i="522"/>
  <c r="K424" s="1"/>
  <c r="O200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V6" a="1"/>
  <c r="V6" s="1"/>
  <c r="S57"/>
  <c r="S211" a="1"/>
  <c r="S211" s="1"/>
  <c r="M208" a="1"/>
  <c r="M208" s="1"/>
  <c r="M207" a="1"/>
  <c r="M207" s="1"/>
  <c r="M206" a="1"/>
  <c r="M206" s="1"/>
  <c r="V199"/>
  <c r="M209" a="1"/>
  <c r="M209" s="1"/>
  <c r="S6"/>
  <c r="S59"/>
  <c r="S63"/>
  <c r="S65"/>
  <c r="S66"/>
  <c r="S67"/>
  <c r="S68"/>
  <c r="S69"/>
  <c r="S70"/>
  <c r="S72"/>
  <c r="S74"/>
  <c r="S76"/>
  <c r="S78"/>
  <c r="S80"/>
  <c r="S83"/>
  <c r="S84"/>
  <c r="S89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W200"/>
  <c r="AA210"/>
  <c r="K430"/>
  <c r="K429"/>
  <c r="L408"/>
  <c r="G423" s="1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21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20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519"/>
  <c r="V6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V6" i="518" a="1"/>
  <c r="V6" s="1"/>
  <c r="P199"/>
  <c r="S6"/>
  <c r="S199" s="1" a="1"/>
  <c r="S199" s="1"/>
  <c r="W200"/>
  <c r="AA210"/>
  <c r="V215" a="1"/>
  <c r="V215" s="1"/>
  <c r="S215"/>
  <c r="S408" s="1" a="1"/>
  <c r="S408" s="1"/>
  <c r="W409"/>
  <c r="I426" a="1"/>
  <c r="I426" s="1"/>
  <c r="P199" i="517"/>
  <c r="S6"/>
  <c r="S199" s="1" a="1"/>
  <c r="S199" s="1"/>
  <c r="V6" a="1"/>
  <c r="V6" s="1"/>
  <c r="W200"/>
  <c r="AA210"/>
  <c r="V215" a="1"/>
  <c r="V215" s="1"/>
  <c r="S215"/>
  <c r="S408" s="1" a="1"/>
  <c r="S408" s="1"/>
  <c r="W409"/>
  <c r="I426" a="1"/>
  <c r="I426" s="1"/>
  <c r="L199" i="516"/>
  <c r="V6" a="1"/>
  <c r="V6" s="1"/>
  <c r="P199"/>
  <c r="S6"/>
  <c r="S199" s="1" a="1"/>
  <c r="S199" s="1"/>
  <c r="W200"/>
  <c r="AA210"/>
  <c r="L408"/>
  <c r="L408" i="486" s="1"/>
  <c r="V215" i="516" a="1"/>
  <c r="V215" s="1"/>
  <c r="S215"/>
  <c r="S408" s="1" a="1"/>
  <c r="S408" s="1"/>
  <c r="W409"/>
  <c r="I426" a="1"/>
  <c r="I426" s="1"/>
  <c r="O409" l="1" a="1"/>
  <c r="O409" s="1"/>
  <c r="O409" i="518" a="1"/>
  <c r="O409" s="1"/>
  <c r="K408" i="486"/>
  <c r="C423" i="518"/>
  <c r="G424"/>
  <c r="C423" i="519"/>
  <c r="V199" a="1"/>
  <c r="V199" s="1"/>
  <c r="G424" i="517"/>
  <c r="C423"/>
  <c r="O409" a="1"/>
  <c r="O409" s="1"/>
  <c r="O409" i="526" a="1"/>
  <c r="O409" s="1"/>
  <c r="G424"/>
  <c r="O409" i="527" a="1"/>
  <c r="O409" s="1"/>
  <c r="C424" i="526"/>
  <c r="C423" i="527"/>
  <c r="L199" i="486"/>
  <c r="C423" i="524"/>
  <c r="S408" i="525" a="1"/>
  <c r="S408" s="1"/>
  <c r="O200"/>
  <c r="P199" i="486"/>
  <c r="S199" i="525" a="1"/>
  <c r="S199" s="1"/>
  <c r="K424"/>
  <c r="P408" i="486"/>
  <c r="G424" i="524"/>
  <c r="R199" i="486"/>
  <c r="C424" i="524"/>
  <c r="K424" s="1"/>
  <c r="O409" a="1"/>
  <c r="O409" s="1"/>
  <c r="R408" i="486"/>
  <c r="G424" i="521"/>
  <c r="O409" a="1"/>
  <c r="O409" s="1"/>
  <c r="C423"/>
  <c r="G424" i="520"/>
  <c r="O409" a="1"/>
  <c r="O409" s="1"/>
  <c r="K199" i="486"/>
  <c r="C424" i="527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M416" i="526" a="1"/>
  <c r="M416" s="1"/>
  <c r="M415" a="1"/>
  <c r="M415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M416" i="525" a="1"/>
  <c r="M416" s="1"/>
  <c r="M415" a="1"/>
  <c r="M415" s="1"/>
  <c r="S420" a="1"/>
  <c r="S420" s="1"/>
  <c r="M418" a="1"/>
  <c r="M418" s="1"/>
  <c r="V408" a="1"/>
  <c r="V408" s="1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i="524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C424" i="523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7" a="1"/>
  <c r="M417" s="1"/>
  <c r="M416" a="1"/>
  <c r="M416" s="1"/>
  <c r="M415" a="1"/>
  <c r="M415" s="1"/>
  <c r="S420" a="1"/>
  <c r="S420" s="1"/>
  <c r="M418" a="1"/>
  <c r="M418" s="1"/>
  <c r="V408" a="1"/>
  <c r="V408" s="1"/>
  <c r="G429" i="522"/>
  <c r="O423"/>
  <c r="K423"/>
  <c r="G428"/>
  <c r="G426" a="1"/>
  <c r="G426" s="1"/>
  <c r="G430"/>
  <c r="G427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23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199" a="1"/>
  <c r="S199" s="1"/>
  <c r="C424" i="521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20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9"/>
  <c r="K424" s="1"/>
  <c r="O200"/>
  <c r="G423"/>
  <c r="S211" a="1"/>
  <c r="S211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8"/>
  <c r="K424" s="1"/>
  <c r="O200"/>
  <c r="G423"/>
  <c r="S211" a="1"/>
  <c r="S211" s="1"/>
  <c r="M207" a="1"/>
  <c r="M207" s="1"/>
  <c r="M206" a="1"/>
  <c r="M206" s="1"/>
  <c r="V199"/>
  <c r="M209" a="1"/>
  <c r="M209" s="1"/>
  <c r="O424"/>
  <c r="M416" a="1"/>
  <c r="M416" s="1"/>
  <c r="M415" a="1"/>
  <c r="M415" s="1"/>
  <c r="S420" a="1"/>
  <c r="S420" s="1"/>
  <c r="M418" a="1"/>
  <c r="M418" s="1"/>
  <c r="V408" a="1"/>
  <c r="V408" s="1"/>
  <c r="G423" i="517"/>
  <c r="S211" a="1"/>
  <c r="S211" s="1"/>
  <c r="M207" a="1"/>
  <c r="M207" s="1"/>
  <c r="M206" a="1"/>
  <c r="M206" s="1"/>
  <c r="V199"/>
  <c r="M209" a="1"/>
  <c r="M209" s="1"/>
  <c r="C424"/>
  <c r="K424" s="1"/>
  <c r="O200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516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24" i="518" l="1" a="1"/>
  <c r="S424" s="1"/>
  <c r="K424" i="526"/>
  <c r="G429" i="527"/>
  <c r="O423"/>
  <c r="K423"/>
  <c r="G426" a="1"/>
  <c r="G426" s="1"/>
  <c r="G430"/>
  <c r="G427"/>
  <c r="G429" i="526"/>
  <c r="O423"/>
  <c r="K423"/>
  <c r="G427"/>
  <c r="G426" a="1"/>
  <c r="G426" s="1"/>
  <c r="G430"/>
  <c r="G429" i="525"/>
  <c r="O423"/>
  <c r="K423"/>
  <c r="G427"/>
  <c r="G426" a="1"/>
  <c r="G426" s="1"/>
  <c r="G430"/>
  <c r="G429" i="524"/>
  <c r="O423"/>
  <c r="K423"/>
  <c r="G427"/>
  <c r="G426" a="1"/>
  <c r="G426" s="1"/>
  <c r="G430"/>
  <c r="G429" i="523"/>
  <c r="O423"/>
  <c r="K423"/>
  <c r="G426" a="1"/>
  <c r="G426" s="1"/>
  <c r="G430"/>
  <c r="G427"/>
  <c r="G429" i="521"/>
  <c r="O423"/>
  <c r="K423"/>
  <c r="G426" a="1"/>
  <c r="G426" s="1"/>
  <c r="G430"/>
  <c r="G427"/>
  <c r="G429" i="520"/>
  <c r="O423"/>
  <c r="K423"/>
  <c r="G426" a="1"/>
  <c r="G426" s="1"/>
  <c r="G430"/>
  <c r="G427"/>
  <c r="G429" i="519"/>
  <c r="O423"/>
  <c r="K423"/>
  <c r="G426" a="1"/>
  <c r="G426" s="1"/>
  <c r="G430"/>
  <c r="G427"/>
  <c r="G429" i="518"/>
  <c r="O423"/>
  <c r="K423"/>
  <c r="G426" a="1"/>
  <c r="G426" s="1"/>
  <c r="G430"/>
  <c r="G427"/>
  <c r="G429" i="517"/>
  <c r="O423"/>
  <c r="K423"/>
  <c r="G426" a="1"/>
  <c r="G426" s="1"/>
  <c r="G430"/>
  <c r="G427"/>
  <c r="G429" i="516"/>
  <c r="O423"/>
  <c r="K423"/>
  <c r="G426" a="1"/>
  <c r="G426" s="1"/>
  <c r="G430"/>
  <c r="G427"/>
  <c r="C451" i="514" l="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N30"/>
  <c r="P30" s="1"/>
  <c r="S30" s="1"/>
  <c r="L30"/>
  <c r="V30" s="1" a="1"/>
  <c r="V30" s="1"/>
  <c r="K30"/>
  <c r="R29"/>
  <c r="S29" s="1"/>
  <c r="N29"/>
  <c r="P29" s="1"/>
  <c r="L29"/>
  <c r="K29"/>
  <c r="R28"/>
  <c r="S28" s="1"/>
  <c r="N28"/>
  <c r="P28" s="1"/>
  <c r="L28"/>
  <c r="V28" s="1" a="1"/>
  <c r="V28" s="1"/>
  <c r="K28"/>
  <c r="R27"/>
  <c r="S27" s="1"/>
  <c r="N27"/>
  <c r="P27" s="1"/>
  <c r="L27"/>
  <c r="V27" s="1" a="1"/>
  <c r="V27" s="1"/>
  <c r="K27"/>
  <c r="R26"/>
  <c r="S26" s="1"/>
  <c r="N26"/>
  <c r="P26" s="1"/>
  <c r="L26"/>
  <c r="V26" s="1" a="1"/>
  <c r="V26" s="1"/>
  <c r="K26"/>
  <c r="R25"/>
  <c r="S25" s="1"/>
  <c r="N25"/>
  <c r="P25" s="1"/>
  <c r="L25"/>
  <c r="V25" s="1" a="1"/>
  <c r="V25" s="1"/>
  <c r="K25"/>
  <c r="R24"/>
  <c r="S24" s="1"/>
  <c r="N24"/>
  <c r="P24" s="1"/>
  <c r="L24"/>
  <c r="K24"/>
  <c r="V24" s="1" a="1"/>
  <c r="V24" s="1"/>
  <c r="R23"/>
  <c r="S23" s="1"/>
  <c r="N23"/>
  <c r="P23" s="1"/>
  <c r="L23"/>
  <c r="K23"/>
  <c r="V23" s="1" a="1"/>
  <c r="V23" s="1"/>
  <c r="R22"/>
  <c r="S22" s="1"/>
  <c r="N22"/>
  <c r="P22" s="1"/>
  <c r="L22"/>
  <c r="K22"/>
  <c r="V22" s="1" a="1"/>
  <c r="V22" s="1"/>
  <c r="R21"/>
  <c r="S21" s="1"/>
  <c r="N21"/>
  <c r="P21" s="1"/>
  <c r="L21"/>
  <c r="K21"/>
  <c r="V21" s="1" a="1"/>
  <c r="V21" s="1"/>
  <c r="R20"/>
  <c r="N20"/>
  <c r="P20" s="1"/>
  <c r="L20"/>
  <c r="K20"/>
  <c r="V20" s="1" a="1"/>
  <c r="V20" s="1"/>
  <c r="R19"/>
  <c r="N19"/>
  <c r="P19" s="1"/>
  <c r="L19"/>
  <c r="K19"/>
  <c r="V19" s="1" a="1"/>
  <c r="V19" s="1"/>
  <c r="R18"/>
  <c r="N18"/>
  <c r="P18" s="1"/>
  <c r="L18"/>
  <c r="K18"/>
  <c r="V18" s="1" a="1"/>
  <c r="V18" s="1"/>
  <c r="R17"/>
  <c r="N17"/>
  <c r="P17" s="1"/>
  <c r="L17"/>
  <c r="K17"/>
  <c r="V17" s="1" a="1"/>
  <c r="V17" s="1"/>
  <c r="R16"/>
  <c r="N16"/>
  <c r="P16" s="1"/>
  <c r="L16"/>
  <c r="K16"/>
  <c r="V16" s="1" a="1"/>
  <c r="V16" s="1"/>
  <c r="R15"/>
  <c r="N15"/>
  <c r="P15" s="1"/>
  <c r="L15"/>
  <c r="K15"/>
  <c r="R14"/>
  <c r="N14"/>
  <c r="P14" s="1"/>
  <c r="L14"/>
  <c r="K14"/>
  <c r="R13"/>
  <c r="N13"/>
  <c r="P13" s="1"/>
  <c r="L13"/>
  <c r="K13"/>
  <c r="V13" s="1" a="1"/>
  <c r="V13" s="1"/>
  <c r="R12"/>
  <c r="N12"/>
  <c r="P12" s="1"/>
  <c r="L12"/>
  <c r="K12"/>
  <c r="V12" s="1" a="1"/>
  <c r="V12" s="1"/>
  <c r="R11"/>
  <c r="N11"/>
  <c r="P11" s="1"/>
  <c r="L11"/>
  <c r="K11"/>
  <c r="V11" s="1" a="1"/>
  <c r="V11" s="1"/>
  <c r="R10"/>
  <c r="N10"/>
  <c r="P10" s="1"/>
  <c r="L10"/>
  <c r="K10"/>
  <c r="R9"/>
  <c r="N9"/>
  <c r="P9" s="1"/>
  <c r="L9"/>
  <c r="K9"/>
  <c r="R8"/>
  <c r="N8"/>
  <c r="P8" s="1"/>
  <c r="L8"/>
  <c r="K8"/>
  <c r="V8" s="1" a="1"/>
  <c r="V8" s="1"/>
  <c r="R7"/>
  <c r="N7"/>
  <c r="P7" s="1"/>
  <c r="L7"/>
  <c r="K7"/>
  <c r="V7" s="1" a="1"/>
  <c r="V7" s="1"/>
  <c r="R6"/>
  <c r="R199" s="1"/>
  <c r="G424" s="1"/>
  <c r="N6"/>
  <c r="P6" s="1"/>
  <c r="P199" s="1"/>
  <c r="L6"/>
  <c r="L199" s="1"/>
  <c r="K6"/>
  <c r="K199" s="1" a="1"/>
  <c r="K199" s="1"/>
  <c r="C423" s="1"/>
  <c r="C451" i="51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1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9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8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7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5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V11"/>
  <c r="R11"/>
  <c r="P11"/>
  <c r="S11" s="1"/>
  <c r="N11"/>
  <c r="L11"/>
  <c r="V11" s="1" a="1"/>
  <c r="K11"/>
  <c r="R10"/>
  <c r="P10"/>
  <c r="S10" s="1"/>
  <c r="N10"/>
  <c r="L10"/>
  <c r="K10"/>
  <c r="R9"/>
  <c r="P9"/>
  <c r="S9" s="1"/>
  <c r="N9"/>
  <c r="L9"/>
  <c r="K9"/>
  <c r="R8"/>
  <c r="P8"/>
  <c r="S8" s="1"/>
  <c r="N8"/>
  <c r="L8"/>
  <c r="V8" s="1" a="1"/>
  <c r="V8" s="1"/>
  <c r="K8"/>
  <c r="V7"/>
  <c r="R7"/>
  <c r="P7"/>
  <c r="S7" s="1"/>
  <c r="N7"/>
  <c r="L7"/>
  <c r="V7" s="1" a="1"/>
  <c r="K7"/>
  <c r="R6"/>
  <c r="R199" s="1"/>
  <c r="G424" s="1"/>
  <c r="P6"/>
  <c r="P199" s="1"/>
  <c r="N6"/>
  <c r="L6"/>
  <c r="K6"/>
  <c r="K199" s="1" a="1"/>
  <c r="K199" s="1"/>
  <c r="C423" s="1"/>
  <c r="C451" i="504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3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502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R399"/>
  <c r="P399"/>
  <c r="S399" s="1"/>
  <c r="N399"/>
  <c r="L399"/>
  <c r="V399" s="1" a="1"/>
  <c r="V399" s="1"/>
  <c r="K399"/>
  <c r="V398"/>
  <c r="R398"/>
  <c r="P398"/>
  <c r="S398" s="1"/>
  <c r="N398"/>
  <c r="L398"/>
  <c r="V398" s="1" a="1"/>
  <c r="K398"/>
  <c r="R397"/>
  <c r="P397"/>
  <c r="S397" s="1"/>
  <c r="N397"/>
  <c r="L397"/>
  <c r="V397" s="1" a="1"/>
  <c r="V397" s="1"/>
  <c r="K397"/>
  <c r="V396"/>
  <c r="R396"/>
  <c r="P396"/>
  <c r="S396" s="1"/>
  <c r="N396"/>
  <c r="L396"/>
  <c r="V396" s="1" a="1"/>
  <c r="K396"/>
  <c r="R395"/>
  <c r="P395"/>
  <c r="S395" s="1"/>
  <c r="N395"/>
  <c r="L395"/>
  <c r="V395" s="1" a="1"/>
  <c r="V395" s="1"/>
  <c r="K395"/>
  <c r="V394"/>
  <c r="R394"/>
  <c r="P394"/>
  <c r="S394" s="1"/>
  <c r="N394"/>
  <c r="L394"/>
  <c r="V394" s="1" a="1"/>
  <c r="K394"/>
  <c r="R393"/>
  <c r="P393"/>
  <c r="S393" s="1"/>
  <c r="N393"/>
  <c r="L393"/>
  <c r="V393" s="1" a="1"/>
  <c r="V393" s="1"/>
  <c r="K393"/>
  <c r="V392"/>
  <c r="R392"/>
  <c r="P392"/>
  <c r="S392" s="1"/>
  <c r="N392"/>
  <c r="L392"/>
  <c r="V392" s="1" a="1"/>
  <c r="K392"/>
  <c r="R391"/>
  <c r="P391"/>
  <c r="S391" s="1"/>
  <c r="N391"/>
  <c r="L391"/>
  <c r="V391" s="1" a="1"/>
  <c r="V391" s="1"/>
  <c r="K391"/>
  <c r="V390"/>
  <c r="R390"/>
  <c r="P390"/>
  <c r="S390" s="1"/>
  <c r="N390"/>
  <c r="L390"/>
  <c r="V390" s="1" a="1"/>
  <c r="K390"/>
  <c r="R389"/>
  <c r="P389"/>
  <c r="S389" s="1"/>
  <c r="N389"/>
  <c r="L389"/>
  <c r="V389" s="1" a="1"/>
  <c r="V389" s="1"/>
  <c r="K389"/>
  <c r="V388"/>
  <c r="R388"/>
  <c r="P388"/>
  <c r="S388" s="1"/>
  <c r="N388"/>
  <c r="L388"/>
  <c r="V388" s="1" a="1"/>
  <c r="K388"/>
  <c r="R387"/>
  <c r="P387"/>
  <c r="S387" s="1"/>
  <c r="N387"/>
  <c r="L387"/>
  <c r="V387" s="1" a="1"/>
  <c r="V387" s="1"/>
  <c r="K387"/>
  <c r="V386"/>
  <c r="R386"/>
  <c r="P386"/>
  <c r="S386" s="1"/>
  <c r="N386"/>
  <c r="L386"/>
  <c r="V386" s="1" a="1"/>
  <c r="K386"/>
  <c r="R385"/>
  <c r="P385"/>
  <c r="S385" s="1"/>
  <c r="N385"/>
  <c r="L385"/>
  <c r="V385" s="1" a="1"/>
  <c r="V385" s="1"/>
  <c r="K385"/>
  <c r="V384"/>
  <c r="R384"/>
  <c r="P384"/>
  <c r="S384" s="1"/>
  <c r="N384"/>
  <c r="L384"/>
  <c r="V384" s="1" a="1"/>
  <c r="K384"/>
  <c r="R383"/>
  <c r="P383"/>
  <c r="S383" s="1"/>
  <c r="N383"/>
  <c r="L383"/>
  <c r="V383" s="1" a="1"/>
  <c r="V383" s="1"/>
  <c r="K383"/>
  <c r="V382"/>
  <c r="R382"/>
  <c r="P382"/>
  <c r="S382" s="1"/>
  <c r="N382"/>
  <c r="L382"/>
  <c r="V382" s="1" a="1"/>
  <c r="K382"/>
  <c r="R381"/>
  <c r="P381"/>
  <c r="S381" s="1"/>
  <c r="N381"/>
  <c r="L381"/>
  <c r="V381" s="1" a="1"/>
  <c r="V381" s="1"/>
  <c r="K381"/>
  <c r="V380"/>
  <c r="R380"/>
  <c r="P380"/>
  <c r="S380" s="1"/>
  <c r="N380"/>
  <c r="L380"/>
  <c r="V380" s="1" a="1"/>
  <c r="K380"/>
  <c r="R379"/>
  <c r="P379"/>
  <c r="S379" s="1"/>
  <c r="N379"/>
  <c r="L379"/>
  <c r="V379" s="1" a="1"/>
  <c r="V379" s="1"/>
  <c r="K379"/>
  <c r="V378"/>
  <c r="R378"/>
  <c r="P378"/>
  <c r="S378" s="1"/>
  <c r="N378"/>
  <c r="L378"/>
  <c r="V378" s="1" a="1"/>
  <c r="K378"/>
  <c r="R377"/>
  <c r="P377"/>
  <c r="S377" s="1"/>
  <c r="N377"/>
  <c r="L377"/>
  <c r="V377" s="1" a="1"/>
  <c r="V377" s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V358"/>
  <c r="R358"/>
  <c r="P358"/>
  <c r="S358" s="1"/>
  <c r="N358"/>
  <c r="L358"/>
  <c r="V358" s="1" a="1"/>
  <c r="K358"/>
  <c r="R357"/>
  <c r="P357"/>
  <c r="S357" s="1"/>
  <c r="N357"/>
  <c r="L357"/>
  <c r="V357" s="1" a="1"/>
  <c r="V357" s="1"/>
  <c r="K357"/>
  <c r="V356"/>
  <c r="R356"/>
  <c r="P356"/>
  <c r="S356" s="1"/>
  <c r="N356"/>
  <c r="L356"/>
  <c r="V356" s="1" a="1"/>
  <c r="K356"/>
  <c r="R355"/>
  <c r="P355"/>
  <c r="S355" s="1"/>
  <c r="N355"/>
  <c r="L355"/>
  <c r="V355" s="1" a="1"/>
  <c r="V355" s="1"/>
  <c r="K355"/>
  <c r="R354"/>
  <c r="P354"/>
  <c r="S354" s="1"/>
  <c r="N354"/>
  <c r="L354"/>
  <c r="K354"/>
  <c r="R353"/>
  <c r="P353"/>
  <c r="S353" s="1"/>
  <c r="N353"/>
  <c r="L353"/>
  <c r="K353"/>
  <c r="V352"/>
  <c r="R352"/>
  <c r="P352"/>
  <c r="S352" s="1"/>
  <c r="N352"/>
  <c r="L352"/>
  <c r="V352" s="1" a="1"/>
  <c r="K352"/>
  <c r="R351"/>
  <c r="P351"/>
  <c r="S351" s="1"/>
  <c r="N351"/>
  <c r="L351"/>
  <c r="V351" s="1" a="1"/>
  <c r="V351" s="1"/>
  <c r="K351"/>
  <c r="V350"/>
  <c r="R350"/>
  <c r="P350"/>
  <c r="S350" s="1"/>
  <c r="N350"/>
  <c r="L350"/>
  <c r="V350" s="1" a="1"/>
  <c r="K350"/>
  <c r="R349"/>
  <c r="P349"/>
  <c r="S349" s="1"/>
  <c r="N349"/>
  <c r="L349"/>
  <c r="V349" s="1" a="1"/>
  <c r="V349" s="1"/>
  <c r="K349"/>
  <c r="V348"/>
  <c r="R348"/>
  <c r="P348"/>
  <c r="S348" s="1"/>
  <c r="N348"/>
  <c r="L348"/>
  <c r="V348" s="1" a="1"/>
  <c r="K348"/>
  <c r="R347"/>
  <c r="P347"/>
  <c r="S347" s="1"/>
  <c r="N347"/>
  <c r="L347"/>
  <c r="V347" s="1" a="1"/>
  <c r="V347" s="1"/>
  <c r="K347"/>
  <c r="V346"/>
  <c r="R346"/>
  <c r="P346"/>
  <c r="S346" s="1"/>
  <c r="N346"/>
  <c r="L346"/>
  <c r="V346" s="1" a="1"/>
  <c r="K346"/>
  <c r="R345"/>
  <c r="P345"/>
  <c r="S345" s="1"/>
  <c r="N345"/>
  <c r="L345"/>
  <c r="V345" s="1" a="1"/>
  <c r="V345" s="1"/>
  <c r="K345"/>
  <c r="V344"/>
  <c r="R344"/>
  <c r="P344"/>
  <c r="S344" s="1"/>
  <c r="N344"/>
  <c r="L344"/>
  <c r="V344" s="1" a="1"/>
  <c r="K344"/>
  <c r="R343"/>
  <c r="P343"/>
  <c r="S343" s="1"/>
  <c r="N343"/>
  <c r="L343"/>
  <c r="V343" s="1" a="1"/>
  <c r="V343" s="1"/>
  <c r="K343"/>
  <c r="V342"/>
  <c r="R342"/>
  <c r="P342"/>
  <c r="S342" s="1"/>
  <c r="N342"/>
  <c r="L342"/>
  <c r="V342" s="1" a="1"/>
  <c r="K342"/>
  <c r="R341"/>
  <c r="P341"/>
  <c r="S341" s="1"/>
  <c r="N341"/>
  <c r="L341"/>
  <c r="V341" s="1" a="1"/>
  <c r="V341" s="1"/>
  <c r="K341"/>
  <c r="R340"/>
  <c r="P340"/>
  <c r="S340" s="1"/>
  <c r="N340"/>
  <c r="L340"/>
  <c r="K340"/>
  <c r="R339"/>
  <c r="P339"/>
  <c r="S339" s="1"/>
  <c r="N339"/>
  <c r="L339"/>
  <c r="K339"/>
  <c r="V338"/>
  <c r="R338"/>
  <c r="P338"/>
  <c r="S338" s="1"/>
  <c r="N338"/>
  <c r="L338"/>
  <c r="V338" s="1" a="1"/>
  <c r="K338"/>
  <c r="R337"/>
  <c r="P337"/>
  <c r="S337" s="1"/>
  <c r="N337"/>
  <c r="L337"/>
  <c r="V337" s="1" a="1"/>
  <c r="V337" s="1"/>
  <c r="K337"/>
  <c r="V336"/>
  <c r="R336"/>
  <c r="P336"/>
  <c r="S336" s="1"/>
  <c r="N336"/>
  <c r="L336"/>
  <c r="V336" s="1" a="1"/>
  <c r="K336"/>
  <c r="R335"/>
  <c r="P335"/>
  <c r="S335" s="1"/>
  <c r="N335"/>
  <c r="L335"/>
  <c r="V335" s="1" a="1"/>
  <c r="V335" s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V329"/>
  <c r="R329"/>
  <c r="P329"/>
  <c r="S329" s="1"/>
  <c r="N329"/>
  <c r="L329"/>
  <c r="V329" s="1" a="1"/>
  <c r="K329"/>
  <c r="R328"/>
  <c r="P328"/>
  <c r="S328" s="1"/>
  <c r="N328"/>
  <c r="L328"/>
  <c r="V328" s="1" a="1"/>
  <c r="V328" s="1"/>
  <c r="K328"/>
  <c r="V327"/>
  <c r="R327"/>
  <c r="P327"/>
  <c r="S327" s="1"/>
  <c r="N327"/>
  <c r="L327"/>
  <c r="V327" s="1" a="1"/>
  <c r="K327"/>
  <c r="R326"/>
  <c r="P326"/>
  <c r="S326" s="1"/>
  <c r="N326"/>
  <c r="L326"/>
  <c r="V326" s="1" a="1"/>
  <c r="V326" s="1"/>
  <c r="K326"/>
  <c r="V325"/>
  <c r="R325"/>
  <c r="P325"/>
  <c r="S325" s="1"/>
  <c r="N325"/>
  <c r="L325"/>
  <c r="V325" s="1" a="1"/>
  <c r="K325"/>
  <c r="R324"/>
  <c r="P324"/>
  <c r="S324" s="1"/>
  <c r="N324"/>
  <c r="L324"/>
  <c r="V324" s="1" a="1"/>
  <c r="V324" s="1"/>
  <c r="K324"/>
  <c r="V323"/>
  <c r="R323"/>
  <c r="P323"/>
  <c r="S323" s="1"/>
  <c r="N323"/>
  <c r="L323"/>
  <c r="V323" s="1" a="1"/>
  <c r="K323"/>
  <c r="R322"/>
  <c r="P322"/>
  <c r="S322" s="1"/>
  <c r="N322"/>
  <c r="L322"/>
  <c r="V322" s="1" a="1"/>
  <c r="V322" s="1"/>
  <c r="K322"/>
  <c r="V321"/>
  <c r="R321"/>
  <c r="P321"/>
  <c r="S321" s="1"/>
  <c r="N321"/>
  <c r="L321"/>
  <c r="V321" s="1" a="1"/>
  <c r="K321"/>
  <c r="R320"/>
  <c r="P320"/>
  <c r="S320" s="1"/>
  <c r="N320"/>
  <c r="L320"/>
  <c r="V320" s="1" a="1"/>
  <c r="V320" s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V316"/>
  <c r="R316"/>
  <c r="P316"/>
  <c r="S316" s="1"/>
  <c r="N316"/>
  <c r="L316"/>
  <c r="V316" s="1" a="1"/>
  <c r="K316"/>
  <c r="R315"/>
  <c r="P315"/>
  <c r="S315" s="1"/>
  <c r="N315"/>
  <c r="L315"/>
  <c r="V315" s="1" a="1"/>
  <c r="V315" s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V311"/>
  <c r="R311"/>
  <c r="P311"/>
  <c r="S311" s="1"/>
  <c r="N311"/>
  <c r="L311"/>
  <c r="V311" s="1" a="1"/>
  <c r="K311"/>
  <c r="R310"/>
  <c r="P310"/>
  <c r="S310" s="1"/>
  <c r="N310"/>
  <c r="L310"/>
  <c r="V310" s="1" a="1"/>
  <c r="V310" s="1"/>
  <c r="K310"/>
  <c r="V309"/>
  <c r="R309"/>
  <c r="P309"/>
  <c r="S309" s="1"/>
  <c r="N309"/>
  <c r="L309"/>
  <c r="V309" s="1" a="1"/>
  <c r="K309"/>
  <c r="R308"/>
  <c r="P308"/>
  <c r="S308" s="1"/>
  <c r="N308"/>
  <c r="L308"/>
  <c r="V308" s="1" a="1"/>
  <c r="V308" s="1"/>
  <c r="K308"/>
  <c r="V307"/>
  <c r="R307"/>
  <c r="P307"/>
  <c r="S307" s="1"/>
  <c r="N307"/>
  <c r="L307"/>
  <c r="V307" s="1" a="1"/>
  <c r="K307"/>
  <c r="R306"/>
  <c r="P306"/>
  <c r="S306" s="1"/>
  <c r="N306"/>
  <c r="L306"/>
  <c r="V306" s="1" a="1"/>
  <c r="V306" s="1"/>
  <c r="K306"/>
  <c r="V305"/>
  <c r="R305"/>
  <c r="P305"/>
  <c r="S305" s="1"/>
  <c r="N305"/>
  <c r="L305"/>
  <c r="V305" s="1" a="1"/>
  <c r="K305"/>
  <c r="R304"/>
  <c r="P304"/>
  <c r="S304" s="1"/>
  <c r="N304"/>
  <c r="L304"/>
  <c r="V304" s="1" a="1"/>
  <c r="V304" s="1"/>
  <c r="K304"/>
  <c r="V303"/>
  <c r="R303"/>
  <c r="P303"/>
  <c r="S303" s="1"/>
  <c r="N303"/>
  <c r="L303"/>
  <c r="V303" s="1" a="1"/>
  <c r="K303"/>
  <c r="R302"/>
  <c r="P302"/>
  <c r="S302" s="1"/>
  <c r="N302"/>
  <c r="L302"/>
  <c r="V302" s="1" a="1"/>
  <c r="V302" s="1"/>
  <c r="K302"/>
  <c r="V301"/>
  <c r="R301"/>
  <c r="P301"/>
  <c r="S301" s="1"/>
  <c r="N301"/>
  <c r="L301"/>
  <c r="V301" s="1" a="1"/>
  <c r="K301"/>
  <c r="R300"/>
  <c r="P300"/>
  <c r="S300" s="1"/>
  <c r="N300"/>
  <c r="L300"/>
  <c r="V300" s="1" a="1"/>
  <c r="V300" s="1"/>
  <c r="K300"/>
  <c r="V299"/>
  <c r="R299"/>
  <c r="P299"/>
  <c r="S299" s="1"/>
  <c r="N299"/>
  <c r="L299"/>
  <c r="V299" s="1" a="1"/>
  <c r="K299"/>
  <c r="R298"/>
  <c r="P298"/>
  <c r="S298" s="1"/>
  <c r="N298"/>
  <c r="L298"/>
  <c r="V298" s="1" a="1"/>
  <c r="V298" s="1"/>
  <c r="K298"/>
  <c r="V297"/>
  <c r="R297"/>
  <c r="P297"/>
  <c r="S297" s="1"/>
  <c r="N297"/>
  <c r="L297"/>
  <c r="V297" s="1" a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P292"/>
  <c r="S292" s="1"/>
  <c r="N292"/>
  <c r="L292"/>
  <c r="K292"/>
  <c r="V291"/>
  <c r="R291"/>
  <c r="P291"/>
  <c r="S291" s="1"/>
  <c r="N291"/>
  <c r="L291"/>
  <c r="V291" s="1" a="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V288"/>
  <c r="R288"/>
  <c r="P288"/>
  <c r="S288" s="1"/>
  <c r="N288"/>
  <c r="L288"/>
  <c r="V288" s="1" a="1"/>
  <c r="K288"/>
  <c r="R287"/>
  <c r="P287"/>
  <c r="S287" s="1"/>
  <c r="N287"/>
  <c r="L287"/>
  <c r="V287" s="1" a="1"/>
  <c r="V287" s="1"/>
  <c r="K287"/>
  <c r="V286"/>
  <c r="R286"/>
  <c r="P286"/>
  <c r="S286" s="1"/>
  <c r="N286"/>
  <c r="L286"/>
  <c r="V286" s="1" a="1"/>
  <c r="K286"/>
  <c r="R285"/>
  <c r="P285"/>
  <c r="S285" s="1"/>
  <c r="N285"/>
  <c r="L285"/>
  <c r="V285" s="1" a="1"/>
  <c r="V285" s="1"/>
  <c r="K285"/>
  <c r="V284"/>
  <c r="R284"/>
  <c r="P284"/>
  <c r="S284" s="1"/>
  <c r="N284"/>
  <c r="L284"/>
  <c r="V284" s="1" a="1"/>
  <c r="K284"/>
  <c r="R283"/>
  <c r="P283"/>
  <c r="S283" s="1"/>
  <c r="N283"/>
  <c r="L283"/>
  <c r="V283" s="1" a="1"/>
  <c r="V283" s="1"/>
  <c r="K283"/>
  <c r="V282"/>
  <c r="R282"/>
  <c r="P282"/>
  <c r="S282" s="1"/>
  <c r="N282"/>
  <c r="L282"/>
  <c r="V282" s="1" a="1"/>
  <c r="K282"/>
  <c r="R281"/>
  <c r="P281"/>
  <c r="S281" s="1"/>
  <c r="N281"/>
  <c r="L281"/>
  <c r="V281" s="1" a="1"/>
  <c r="V281" s="1"/>
  <c r="K281"/>
  <c r="V280"/>
  <c r="R280"/>
  <c r="P280"/>
  <c r="S280" s="1"/>
  <c r="N280"/>
  <c r="L280"/>
  <c r="V280" s="1" a="1"/>
  <c r="K280"/>
  <c r="R279"/>
  <c r="P279"/>
  <c r="S279" s="1"/>
  <c r="N279"/>
  <c r="L279"/>
  <c r="V279" s="1" a="1"/>
  <c r="V279" s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V273"/>
  <c r="R273"/>
  <c r="P273"/>
  <c r="S273" s="1"/>
  <c r="N273"/>
  <c r="L273"/>
  <c r="V273" s="1" a="1"/>
  <c r="K273"/>
  <c r="R272"/>
  <c r="P272"/>
  <c r="S272" s="1"/>
  <c r="N272"/>
  <c r="L272"/>
  <c r="V272" s="1" a="1"/>
  <c r="V272" s="1"/>
  <c r="K272"/>
  <c r="V271"/>
  <c r="R271"/>
  <c r="P271"/>
  <c r="S271" s="1"/>
  <c r="N271"/>
  <c r="L271"/>
  <c r="V271" s="1" a="1"/>
  <c r="K271"/>
  <c r="R270"/>
  <c r="P270"/>
  <c r="S270" s="1"/>
  <c r="N270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V267"/>
  <c r="R267"/>
  <c r="P267"/>
  <c r="S267" s="1"/>
  <c r="N267"/>
  <c r="L267"/>
  <c r="V267" s="1" a="1"/>
  <c r="K267"/>
  <c r="R266"/>
  <c r="P266"/>
  <c r="S266" s="1"/>
  <c r="N266"/>
  <c r="L266"/>
  <c r="K266"/>
  <c r="R265"/>
  <c r="P265"/>
  <c r="S265" s="1"/>
  <c r="N265"/>
  <c r="L265"/>
  <c r="V265" s="1" a="1"/>
  <c r="V265" s="1"/>
  <c r="K265"/>
  <c r="V264"/>
  <c r="R264"/>
  <c r="P264"/>
  <c r="S264" s="1"/>
  <c r="N264"/>
  <c r="L264"/>
  <c r="V264" s="1" a="1"/>
  <c r="K264"/>
  <c r="R263"/>
  <c r="P263"/>
  <c r="S263" s="1"/>
  <c r="N263"/>
  <c r="L263"/>
  <c r="V263" s="1" a="1"/>
  <c r="V263" s="1"/>
  <c r="K263"/>
  <c r="V262"/>
  <c r="R262"/>
  <c r="P262"/>
  <c r="S262" s="1"/>
  <c r="N262"/>
  <c r="L262"/>
  <c r="V262" s="1" a="1"/>
  <c r="K262"/>
  <c r="R261"/>
  <c r="P261"/>
  <c r="S261" s="1"/>
  <c r="N261"/>
  <c r="L261"/>
  <c r="V261" s="1" a="1"/>
  <c r="V261" s="1"/>
  <c r="K261"/>
  <c r="V260"/>
  <c r="R260"/>
  <c r="P260"/>
  <c r="S260" s="1"/>
  <c r="N260"/>
  <c r="L260"/>
  <c r="V260" s="1" a="1"/>
  <c r="K260"/>
  <c r="R259"/>
  <c r="P259"/>
  <c r="S259" s="1"/>
  <c r="N259"/>
  <c r="L259"/>
  <c r="V259" s="1" a="1"/>
  <c r="V259" s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V254"/>
  <c r="R254"/>
  <c r="P254"/>
  <c r="S254" s="1"/>
  <c r="N254"/>
  <c r="L254"/>
  <c r="V254" s="1" a="1"/>
  <c r="K254"/>
  <c r="R253"/>
  <c r="P253"/>
  <c r="S253" s="1"/>
  <c r="N253"/>
  <c r="L253"/>
  <c r="V253" s="1" a="1"/>
  <c r="V253" s="1"/>
  <c r="K253"/>
  <c r="V252"/>
  <c r="R252"/>
  <c r="P252"/>
  <c r="S252" s="1"/>
  <c r="N252"/>
  <c r="L252"/>
  <c r="V252" s="1" a="1"/>
  <c r="K252"/>
  <c r="R251"/>
  <c r="P251"/>
  <c r="S251" s="1"/>
  <c r="N251"/>
  <c r="L251"/>
  <c r="V251" s="1" a="1"/>
  <c r="V251" s="1"/>
  <c r="K251"/>
  <c r="V250"/>
  <c r="R250"/>
  <c r="P250"/>
  <c r="S250" s="1"/>
  <c r="N250"/>
  <c r="L250"/>
  <c r="V250" s="1" a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V245"/>
  <c r="R245"/>
  <c r="P245"/>
  <c r="S245" s="1"/>
  <c r="N245"/>
  <c r="L245"/>
  <c r="V245" s="1" a="1"/>
  <c r="K245"/>
  <c r="R244"/>
  <c r="P244"/>
  <c r="S244" s="1"/>
  <c r="N244"/>
  <c r="L244"/>
  <c r="V244" s="1" a="1"/>
  <c r="V244" s="1"/>
  <c r="K244"/>
  <c r="V243"/>
  <c r="R243"/>
  <c r="P243"/>
  <c r="S243" s="1"/>
  <c r="N243"/>
  <c r="L243"/>
  <c r="V243" s="1" a="1"/>
  <c r="K243"/>
  <c r="R242"/>
  <c r="P242"/>
  <c r="S242" s="1"/>
  <c r="N242"/>
  <c r="L242"/>
  <c r="V242" s="1" a="1"/>
  <c r="V242" s="1"/>
  <c r="K242"/>
  <c r="V241"/>
  <c r="R241"/>
  <c r="P241"/>
  <c r="S241" s="1"/>
  <c r="N241"/>
  <c r="L241"/>
  <c r="V241" s="1" a="1"/>
  <c r="K241"/>
  <c r="R240"/>
  <c r="P240"/>
  <c r="S240" s="1"/>
  <c r="N240"/>
  <c r="L240"/>
  <c r="V240" s="1" a="1"/>
  <c r="V240" s="1"/>
  <c r="K240"/>
  <c r="V239"/>
  <c r="R239"/>
  <c r="P239"/>
  <c r="S239" s="1"/>
  <c r="N239"/>
  <c r="L239"/>
  <c r="V239" s="1" a="1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V236"/>
  <c r="R236"/>
  <c r="P236"/>
  <c r="S236" s="1"/>
  <c r="N236"/>
  <c r="L236"/>
  <c r="V236" s="1" a="1"/>
  <c r="K236"/>
  <c r="R235"/>
  <c r="P235"/>
  <c r="S235" s="1"/>
  <c r="N235"/>
  <c r="L235"/>
  <c r="V235" s="1" a="1"/>
  <c r="V235" s="1"/>
  <c r="K235"/>
  <c r="V234"/>
  <c r="R234"/>
  <c r="P234"/>
  <c r="S234" s="1"/>
  <c r="N234"/>
  <c r="L234"/>
  <c r="V234" s="1" a="1"/>
  <c r="K234"/>
  <c r="R233"/>
  <c r="P233"/>
  <c r="S233" s="1"/>
  <c r="N233"/>
  <c r="L233"/>
  <c r="V233" s="1" a="1"/>
  <c r="V233" s="1"/>
  <c r="K233"/>
  <c r="V232"/>
  <c r="R232"/>
  <c r="P232"/>
  <c r="S232" s="1"/>
  <c r="N232"/>
  <c r="L232"/>
  <c r="V232" s="1" a="1"/>
  <c r="K232"/>
  <c r="R231"/>
  <c r="P231"/>
  <c r="S231" s="1"/>
  <c r="N231"/>
  <c r="L231"/>
  <c r="V231" s="1" a="1"/>
  <c r="V231" s="1"/>
  <c r="K231"/>
  <c r="V230"/>
  <c r="R230"/>
  <c r="P230"/>
  <c r="S230" s="1"/>
  <c r="N230"/>
  <c r="L230"/>
  <c r="V230" s="1" a="1"/>
  <c r="K230"/>
  <c r="R229"/>
  <c r="P229"/>
  <c r="S229" s="1"/>
  <c r="N229"/>
  <c r="L229"/>
  <c r="V229" s="1" a="1"/>
  <c r="V229" s="1"/>
  <c r="K229"/>
  <c r="V228"/>
  <c r="R228"/>
  <c r="P228"/>
  <c r="S228" s="1"/>
  <c r="N228"/>
  <c r="L228"/>
  <c r="V228" s="1" a="1"/>
  <c r="K228"/>
  <c r="R227"/>
  <c r="P227"/>
  <c r="S227" s="1"/>
  <c r="N227"/>
  <c r="L227"/>
  <c r="V227" s="1" a="1"/>
  <c r="V227" s="1"/>
  <c r="K227"/>
  <c r="V226"/>
  <c r="R226"/>
  <c r="P226"/>
  <c r="S226" s="1"/>
  <c r="N226"/>
  <c r="L226"/>
  <c r="V226" s="1" a="1"/>
  <c r="K226"/>
  <c r="R225"/>
  <c r="P225"/>
  <c r="S225" s="1"/>
  <c r="N225"/>
  <c r="L225"/>
  <c r="V225" s="1" a="1"/>
  <c r="V225" s="1"/>
  <c r="K225"/>
  <c r="R224"/>
  <c r="P224"/>
  <c r="S224" s="1"/>
  <c r="N224"/>
  <c r="L224"/>
  <c r="K224"/>
  <c r="R223"/>
  <c r="P223"/>
  <c r="S223" s="1"/>
  <c r="N223"/>
  <c r="L223"/>
  <c r="K223"/>
  <c r="V222"/>
  <c r="R222"/>
  <c r="P222"/>
  <c r="S222" s="1"/>
  <c r="N222"/>
  <c r="L222"/>
  <c r="V222" s="1" a="1"/>
  <c r="K222"/>
  <c r="R221"/>
  <c r="P221"/>
  <c r="S221" s="1"/>
  <c r="N221"/>
  <c r="L221"/>
  <c r="V221" s="1" a="1"/>
  <c r="V221" s="1"/>
  <c r="K221"/>
  <c r="V220"/>
  <c r="R220"/>
  <c r="P220"/>
  <c r="S220" s="1"/>
  <c r="N220"/>
  <c r="L220"/>
  <c r="V220" s="1" a="1"/>
  <c r="K220"/>
  <c r="R219"/>
  <c r="P219"/>
  <c r="S219" s="1"/>
  <c r="N219"/>
  <c r="L219"/>
  <c r="V219" s="1" a="1"/>
  <c r="V219" s="1"/>
  <c r="K219"/>
  <c r="V218"/>
  <c r="R218"/>
  <c r="P218"/>
  <c r="S218" s="1"/>
  <c r="N218"/>
  <c r="L218"/>
  <c r="V218" s="1" a="1"/>
  <c r="K218"/>
  <c r="R217"/>
  <c r="P217"/>
  <c r="S217" s="1"/>
  <c r="N217"/>
  <c r="L217"/>
  <c r="V217" s="1" a="1"/>
  <c r="V217" s="1"/>
  <c r="K217"/>
  <c r="V216"/>
  <c r="R216"/>
  <c r="P216"/>
  <c r="S216" s="1"/>
  <c r="N216"/>
  <c r="L216"/>
  <c r="V216" s="1" a="1"/>
  <c r="K216"/>
  <c r="R215"/>
  <c r="R408" s="1"/>
  <c r="P215"/>
  <c r="P408" s="1"/>
  <c r="O409" s="1" a="1"/>
  <c r="O409" s="1"/>
  <c r="N215"/>
  <c r="L215"/>
  <c r="K215"/>
  <c r="K408" s="1" a="1"/>
  <c r="K408" s="1"/>
  <c r="U210"/>
  <c r="Y210" s="1"/>
  <c r="S210"/>
  <c r="W210" s="1"/>
  <c r="Y209"/>
  <c r="W209"/>
  <c r="AA209" s="1"/>
  <c r="Y208"/>
  <c r="AA208" s="1"/>
  <c r="W208"/>
  <c r="K208"/>
  <c r="C428" s="1"/>
  <c r="Y207"/>
  <c r="AA207" s="1"/>
  <c r="W207"/>
  <c r="K207"/>
  <c r="C427" s="1"/>
  <c r="Y206"/>
  <c r="AA206" s="1"/>
  <c r="W206"/>
  <c r="K206"/>
  <c r="C426" s="1"/>
  <c r="Y205"/>
  <c r="AA205" s="1"/>
  <c r="W205"/>
  <c r="Y204"/>
  <c r="W204"/>
  <c r="AA204" s="1"/>
  <c r="K204" a="1"/>
  <c r="K204" s="1"/>
  <c r="I204"/>
  <c r="Y203"/>
  <c r="W203"/>
  <c r="AA203" s="1"/>
  <c r="K203" a="1"/>
  <c r="K203" s="1"/>
  <c r="I203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R199"/>
  <c r="G424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V37"/>
  <c r="R37"/>
  <c r="P37"/>
  <c r="S37" s="1"/>
  <c r="N37"/>
  <c r="L37"/>
  <c r="V37" s="1" a="1"/>
  <c r="K37"/>
  <c r="R36"/>
  <c r="P36"/>
  <c r="S36" s="1"/>
  <c r="N36"/>
  <c r="L36"/>
  <c r="V36" s="1" a="1"/>
  <c r="V36" s="1"/>
  <c r="K36"/>
  <c r="V35"/>
  <c r="R35"/>
  <c r="P35"/>
  <c r="S35" s="1"/>
  <c r="N35"/>
  <c r="L35"/>
  <c r="V35" s="1" a="1"/>
  <c r="K35"/>
  <c r="R34"/>
  <c r="P34"/>
  <c r="S34" s="1"/>
  <c r="N34"/>
  <c r="L34"/>
  <c r="V34" s="1" a="1"/>
  <c r="V34" s="1"/>
  <c r="K34"/>
  <c r="V33"/>
  <c r="R33"/>
  <c r="P33"/>
  <c r="S33" s="1"/>
  <c r="N33"/>
  <c r="L33"/>
  <c r="V33" s="1" a="1"/>
  <c r="K33"/>
  <c r="R32"/>
  <c r="P32"/>
  <c r="S32" s="1"/>
  <c r="N32"/>
  <c r="L32"/>
  <c r="V32" s="1" a="1"/>
  <c r="V32" s="1"/>
  <c r="K32"/>
  <c r="V31"/>
  <c r="R31"/>
  <c r="P31"/>
  <c r="S31" s="1"/>
  <c r="N31"/>
  <c r="L31"/>
  <c r="V31" s="1" a="1"/>
  <c r="K31"/>
  <c r="R30"/>
  <c r="P30"/>
  <c r="S30" s="1"/>
  <c r="N30"/>
  <c r="L30"/>
  <c r="V30" s="1" a="1"/>
  <c r="V30" s="1"/>
  <c r="K30"/>
  <c r="R29"/>
  <c r="P29"/>
  <c r="S29" s="1"/>
  <c r="N29"/>
  <c r="L29"/>
  <c r="K29"/>
  <c r="V28"/>
  <c r="R28"/>
  <c r="P28"/>
  <c r="S28" s="1"/>
  <c r="N28"/>
  <c r="L28"/>
  <c r="V28" s="1" a="1"/>
  <c r="K28"/>
  <c r="R27"/>
  <c r="P27"/>
  <c r="S27" s="1"/>
  <c r="N27"/>
  <c r="L27"/>
  <c r="V27" s="1" a="1"/>
  <c r="V27" s="1"/>
  <c r="K27"/>
  <c r="V26"/>
  <c r="R26"/>
  <c r="P26"/>
  <c r="S26" s="1"/>
  <c r="N26"/>
  <c r="L26"/>
  <c r="V26" s="1" a="1"/>
  <c r="K26"/>
  <c r="R25"/>
  <c r="P25"/>
  <c r="S25" s="1"/>
  <c r="N25"/>
  <c r="L25"/>
  <c r="V25" s="1" a="1"/>
  <c r="V25" s="1"/>
  <c r="K25"/>
  <c r="V24"/>
  <c r="R24"/>
  <c r="P24"/>
  <c r="S24" s="1"/>
  <c r="N24"/>
  <c r="L24"/>
  <c r="V24" s="1" a="1"/>
  <c r="K24"/>
  <c r="R23"/>
  <c r="P23"/>
  <c r="S23" s="1"/>
  <c r="N23"/>
  <c r="L23"/>
  <c r="V23" s="1" a="1"/>
  <c r="V23" s="1"/>
  <c r="K23"/>
  <c r="V22"/>
  <c r="R22"/>
  <c r="P22"/>
  <c r="S22" s="1"/>
  <c r="N22"/>
  <c r="L22"/>
  <c r="V22" s="1" a="1"/>
  <c r="K22"/>
  <c r="R21"/>
  <c r="P21"/>
  <c r="S21" s="1"/>
  <c r="N21"/>
  <c r="L21"/>
  <c r="V21" s="1" a="1"/>
  <c r="V21" s="1"/>
  <c r="K21"/>
  <c r="V20"/>
  <c r="R20"/>
  <c r="P20"/>
  <c r="S20" s="1"/>
  <c r="N20"/>
  <c r="L20"/>
  <c r="V20" s="1" a="1"/>
  <c r="K20"/>
  <c r="R19"/>
  <c r="P19"/>
  <c r="S19" s="1"/>
  <c r="N19"/>
  <c r="L19"/>
  <c r="V19" s="1" a="1"/>
  <c r="V19" s="1"/>
  <c r="K19"/>
  <c r="V18"/>
  <c r="R18"/>
  <c r="P18"/>
  <c r="S18" s="1"/>
  <c r="N18"/>
  <c r="L18"/>
  <c r="V18" s="1" a="1"/>
  <c r="K18"/>
  <c r="R17"/>
  <c r="P17"/>
  <c r="S17" s="1"/>
  <c r="N17"/>
  <c r="L17"/>
  <c r="V17" s="1" a="1"/>
  <c r="V17" s="1"/>
  <c r="K17"/>
  <c r="V16"/>
  <c r="R16"/>
  <c r="P16"/>
  <c r="S16" s="1"/>
  <c r="N16"/>
  <c r="L16"/>
  <c r="V16" s="1" a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P6"/>
  <c r="N6"/>
  <c r="L6"/>
  <c r="K6"/>
  <c r="K199" s="1" a="1"/>
  <c r="K199" s="1"/>
  <c r="C423" s="1"/>
  <c r="X267" i="487"/>
  <c r="X246"/>
  <c r="K418"/>
  <c r="G417"/>
  <c r="G416"/>
  <c r="K209"/>
  <c r="G208"/>
  <c r="G207"/>
  <c r="L199" i="514" l="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C424" i="512"/>
  <c r="K424" s="1"/>
  <c r="O200"/>
  <c r="S7"/>
  <c r="S8"/>
  <c r="S9"/>
  <c r="S10"/>
  <c r="S11"/>
  <c r="S12"/>
  <c r="S13"/>
  <c r="S14"/>
  <c r="S15"/>
  <c r="S16"/>
  <c r="S17"/>
  <c r="S18"/>
  <c r="S19"/>
  <c r="S211" a="1"/>
  <c r="S211" s="1"/>
  <c r="M208" a="1"/>
  <c r="M208" s="1"/>
  <c r="M207" a="1"/>
  <c r="M207" s="1"/>
  <c r="M206" a="1"/>
  <c r="M206" s="1"/>
  <c r="V199"/>
  <c r="M209" a="1"/>
  <c r="M209" s="1"/>
  <c r="S6"/>
  <c r="S199" s="1" a="1"/>
  <c r="S199" s="1"/>
  <c r="S20"/>
  <c r="V6" a="1"/>
  <c r="V6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1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9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8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7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6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5"/>
  <c r="V6" a="1"/>
  <c r="V6" s="1"/>
  <c r="C424"/>
  <c r="K424" s="1"/>
  <c r="O200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4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503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W200" i="502"/>
  <c r="AA210"/>
  <c r="L199"/>
  <c r="V6" a="1"/>
  <c r="V6" s="1"/>
  <c r="P199"/>
  <c r="S6"/>
  <c r="S199" s="1" a="1"/>
  <c r="S199" s="1"/>
  <c r="M206" a="1"/>
  <c r="M206" s="1"/>
  <c r="M207" a="1"/>
  <c r="M207" s="1"/>
  <c r="M208" a="1"/>
  <c r="M208" s="1"/>
  <c r="M211"/>
  <c r="K430"/>
  <c r="K429"/>
  <c r="L408"/>
  <c r="V215" a="1"/>
  <c r="V215" s="1"/>
  <c r="C452"/>
  <c r="J452" s="1"/>
  <c r="Q452" s="1"/>
  <c r="S452" s="1" a="1"/>
  <c r="S452" s="1"/>
  <c r="G211"/>
  <c r="S215"/>
  <c r="S408" s="1" a="1"/>
  <c r="S408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I310" i="487"/>
  <c r="I309"/>
  <c r="I267"/>
  <c r="I246"/>
  <c r="I101"/>
  <c r="P399" i="489"/>
  <c r="O200"/>
  <c r="S450" i="514" l="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U452" a="1"/>
  <c r="U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12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G423"/>
  <c r="S450" i="51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1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9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8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7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O424"/>
  <c r="S424" s="1" a="1"/>
  <c r="S424" s="1"/>
  <c r="S450" i="50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1" i="505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V408" a="1"/>
  <c r="V408" s="1"/>
  <c r="S420" a="1"/>
  <c r="S420" s="1"/>
  <c r="M418" a="1"/>
  <c r="M418" s="1"/>
  <c r="G423"/>
  <c r="S211" a="1"/>
  <c r="S211" s="1"/>
  <c r="M208" a="1"/>
  <c r="M208" s="1"/>
  <c r="M207" a="1"/>
  <c r="M207" s="1"/>
  <c r="M206" a="1"/>
  <c r="M206" s="1"/>
  <c r="V199"/>
  <c r="M209" a="1"/>
  <c r="M209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U452" a="1"/>
  <c r="U452" s="1"/>
  <c r="O424"/>
  <c r="S424" s="1" a="1"/>
  <c r="S424" s="1"/>
  <c r="S450" i="504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503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M417" i="502" a="1"/>
  <c r="M417" s="1"/>
  <c r="M416" a="1"/>
  <c r="M416" s="1"/>
  <c r="M415" a="1"/>
  <c r="M415" s="1"/>
  <c r="V408" a="1"/>
  <c r="V408" s="1"/>
  <c r="S420" a="1"/>
  <c r="S420" s="1"/>
  <c r="M418" a="1"/>
  <c r="M418" s="1"/>
  <c r="S45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9" a="1"/>
  <c r="M209" s="1"/>
  <c r="V199"/>
  <c r="U452" a="1"/>
  <c r="U452" s="1"/>
  <c r="T452" a="1"/>
  <c r="T452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X399" i="488"/>
  <c r="K418"/>
  <c r="G417"/>
  <c r="G416"/>
  <c r="K209"/>
  <c r="G208"/>
  <c r="G207"/>
  <c r="K418" i="489"/>
  <c r="G417"/>
  <c r="G416"/>
  <c r="I207"/>
  <c r="G207"/>
  <c r="K209"/>
  <c r="G208"/>
  <c r="K206"/>
  <c r="V309" a="1"/>
  <c r="V309" s="1"/>
  <c r="V310" a="1"/>
  <c r="V310" s="1"/>
  <c r="V311" a="1"/>
  <c r="V311" s="1"/>
  <c r="V312" a="1"/>
  <c r="V312" s="1"/>
  <c r="V313" a="1"/>
  <c r="V313" s="1"/>
  <c r="V314" a="1"/>
  <c r="V314" s="1"/>
  <c r="V315" a="1"/>
  <c r="V315" s="1"/>
  <c r="V316" a="1"/>
  <c r="V316" s="1"/>
  <c r="V318" a="1"/>
  <c r="V318" s="1"/>
  <c r="V319" a="1"/>
  <c r="V319" s="1"/>
  <c r="V320" a="1"/>
  <c r="V320" s="1"/>
  <c r="V321" a="1"/>
  <c r="V321" s="1"/>
  <c r="V322" a="1"/>
  <c r="V322" s="1"/>
  <c r="V323" a="1"/>
  <c r="V323" s="1"/>
  <c r="V324" a="1"/>
  <c r="V324" s="1"/>
  <c r="V325" a="1"/>
  <c r="V325" s="1"/>
  <c r="V326" a="1"/>
  <c r="V326" s="1"/>
  <c r="V327" a="1"/>
  <c r="V327" s="1"/>
  <c r="V328" a="1"/>
  <c r="V328" s="1"/>
  <c r="V329" a="1"/>
  <c r="V329" s="1"/>
  <c r="V330" a="1"/>
  <c r="V330" s="1"/>
  <c r="V331" a="1"/>
  <c r="V331" s="1"/>
  <c r="V332" a="1"/>
  <c r="V332" s="1"/>
  <c r="V333" a="1"/>
  <c r="V333" s="1"/>
  <c r="V334" a="1"/>
  <c r="V334" s="1"/>
  <c r="V335" a="1"/>
  <c r="V335" s="1"/>
  <c r="V336" a="1"/>
  <c r="V336" s="1"/>
  <c r="V337" a="1"/>
  <c r="V337" s="1"/>
  <c r="V338" a="1"/>
  <c r="V338" s="1"/>
  <c r="V339" a="1"/>
  <c r="V339" s="1"/>
  <c r="V340" a="1"/>
  <c r="V340" s="1"/>
  <c r="V341" a="1"/>
  <c r="V341" s="1"/>
  <c r="V342" a="1"/>
  <c r="V342" s="1"/>
  <c r="V343" a="1"/>
  <c r="V343" s="1"/>
  <c r="V344" a="1"/>
  <c r="V344" s="1"/>
  <c r="V345" a="1"/>
  <c r="V345" s="1"/>
  <c r="V346" a="1"/>
  <c r="V346" s="1"/>
  <c r="V347" a="1"/>
  <c r="V347" s="1"/>
  <c r="V348" a="1"/>
  <c r="V348" s="1"/>
  <c r="V349" a="1"/>
  <c r="V349" s="1"/>
  <c r="V350" a="1"/>
  <c r="V350" s="1"/>
  <c r="V351" a="1"/>
  <c r="V351" s="1"/>
  <c r="V352" a="1"/>
  <c r="V352" s="1"/>
  <c r="V353" a="1"/>
  <c r="V353" s="1"/>
  <c r="V354" a="1"/>
  <c r="V354" s="1"/>
  <c r="V355" a="1"/>
  <c r="V355" s="1"/>
  <c r="V356" a="1"/>
  <c r="V356" s="1"/>
  <c r="V357" a="1"/>
  <c r="V357" s="1"/>
  <c r="V358" a="1"/>
  <c r="V358" s="1"/>
  <c r="V359" a="1"/>
  <c r="V359" s="1"/>
  <c r="V360" a="1"/>
  <c r="V360" s="1"/>
  <c r="V361" a="1"/>
  <c r="V361" s="1"/>
  <c r="V362" a="1"/>
  <c r="V362" s="1"/>
  <c r="V363" a="1"/>
  <c r="V363" s="1"/>
  <c r="V364" a="1"/>
  <c r="V364" s="1"/>
  <c r="V365" a="1"/>
  <c r="V365" s="1"/>
  <c r="V366" a="1"/>
  <c r="V366" s="1"/>
  <c r="V367" a="1"/>
  <c r="V367" s="1"/>
  <c r="V368" a="1"/>
  <c r="V368" s="1"/>
  <c r="V369" a="1"/>
  <c r="V369" s="1"/>
  <c r="V370" a="1"/>
  <c r="V370" s="1"/>
  <c r="V371" a="1"/>
  <c r="V371" s="1"/>
  <c r="V372" a="1"/>
  <c r="V372" s="1"/>
  <c r="V373" a="1"/>
  <c r="V373" s="1"/>
  <c r="V374" a="1"/>
  <c r="V374" s="1"/>
  <c r="V375" a="1"/>
  <c r="V375" s="1"/>
  <c r="V376" a="1"/>
  <c r="V376" s="1"/>
  <c r="V377" a="1"/>
  <c r="V377" s="1"/>
  <c r="V378" a="1"/>
  <c r="V378" s="1"/>
  <c r="V379" a="1"/>
  <c r="V379" s="1"/>
  <c r="V380" a="1"/>
  <c r="V380" s="1"/>
  <c r="V381" a="1"/>
  <c r="V381" s="1"/>
  <c r="V382" a="1"/>
  <c r="V382" s="1"/>
  <c r="V383" a="1"/>
  <c r="V383" s="1"/>
  <c r="V384" a="1"/>
  <c r="V384" s="1"/>
  <c r="V385" a="1"/>
  <c r="V385" s="1"/>
  <c r="V386" a="1"/>
  <c r="V386" s="1"/>
  <c r="V387" a="1"/>
  <c r="V387" s="1"/>
  <c r="V388" a="1"/>
  <c r="V388" s="1"/>
  <c r="V389" a="1"/>
  <c r="V389" s="1"/>
  <c r="V390" a="1"/>
  <c r="V390" s="1"/>
  <c r="V391" a="1"/>
  <c r="V391" s="1"/>
  <c r="V392" a="1"/>
  <c r="V392" s="1"/>
  <c r="V393" a="1"/>
  <c r="V393" s="1"/>
  <c r="V394" a="1"/>
  <c r="V394" s="1"/>
  <c r="V395" a="1"/>
  <c r="V395" s="1"/>
  <c r="W204"/>
  <c r="Y204"/>
  <c r="W205"/>
  <c r="Y205"/>
  <c r="W206"/>
  <c r="Y206"/>
  <c r="W207"/>
  <c r="Y207"/>
  <c r="W208"/>
  <c r="Y208"/>
  <c r="W209"/>
  <c r="Y209"/>
  <c r="W210"/>
  <c r="Y210"/>
  <c r="Y203"/>
  <c r="W203"/>
  <c r="D450"/>
  <c r="D443"/>
  <c r="G429" i="514" l="1"/>
  <c r="O423"/>
  <c r="S423"/>
  <c r="K423"/>
  <c r="G428"/>
  <c r="G426" a="1"/>
  <c r="G426" s="1"/>
  <c r="G430"/>
  <c r="G427"/>
  <c r="G429" i="513"/>
  <c r="O423"/>
  <c r="S423"/>
  <c r="K423"/>
  <c r="G428"/>
  <c r="G426" a="1"/>
  <c r="G426" s="1"/>
  <c r="G430"/>
  <c r="G427"/>
  <c r="G429" i="512"/>
  <c r="O423"/>
  <c r="K423"/>
  <c r="G427"/>
  <c r="G428"/>
  <c r="G426" a="1"/>
  <c r="G426" s="1"/>
  <c r="G430"/>
  <c r="R452"/>
  <c r="S423" s="1"/>
  <c r="G429" i="511"/>
  <c r="O423"/>
  <c r="S423"/>
  <c r="K423"/>
  <c r="G428"/>
  <c r="G426" a="1"/>
  <c r="G426" s="1"/>
  <c r="G430"/>
  <c r="G427"/>
  <c r="G429" i="510"/>
  <c r="O423"/>
  <c r="S423"/>
  <c r="K423"/>
  <c r="G428"/>
  <c r="G426" a="1"/>
  <c r="G426" s="1"/>
  <c r="G430"/>
  <c r="G427"/>
  <c r="G429" i="509"/>
  <c r="O423"/>
  <c r="S423"/>
  <c r="K423"/>
  <c r="G428"/>
  <c r="G426" a="1"/>
  <c r="G426" s="1"/>
  <c r="G430"/>
  <c r="G427"/>
  <c r="G429" i="508"/>
  <c r="O423"/>
  <c r="S423"/>
  <c r="K423"/>
  <c r="G428"/>
  <c r="G426" a="1"/>
  <c r="G426" s="1"/>
  <c r="G430"/>
  <c r="G427"/>
  <c r="G429" i="507"/>
  <c r="O423"/>
  <c r="S423"/>
  <c r="K423"/>
  <c r="G428"/>
  <c r="G426" a="1"/>
  <c r="G426" s="1"/>
  <c r="G430"/>
  <c r="G427"/>
  <c r="G429" i="506"/>
  <c r="O423"/>
  <c r="S423"/>
  <c r="K423"/>
  <c r="G428"/>
  <c r="G426" a="1"/>
  <c r="G426" s="1"/>
  <c r="G430"/>
  <c r="G427"/>
  <c r="G429" i="505"/>
  <c r="O423"/>
  <c r="K423"/>
  <c r="G427"/>
  <c r="G428"/>
  <c r="G426" a="1"/>
  <c r="G426" s="1"/>
  <c r="G430"/>
  <c r="R452"/>
  <c r="S423" s="1"/>
  <c r="G429" i="504"/>
  <c r="O423"/>
  <c r="S423"/>
  <c r="K423"/>
  <c r="G428"/>
  <c r="G426" a="1"/>
  <c r="G426" s="1"/>
  <c r="G430"/>
  <c r="G427"/>
  <c r="G429" i="503"/>
  <c r="O423"/>
  <c r="S423"/>
  <c r="K423"/>
  <c r="G428"/>
  <c r="G426" a="1"/>
  <c r="G426" s="1"/>
  <c r="G430"/>
  <c r="G427"/>
  <c r="G429" i="502"/>
  <c r="O423"/>
  <c r="S423"/>
  <c r="K423"/>
  <c r="G430"/>
  <c r="G426" a="1"/>
  <c r="G426" s="1"/>
  <c r="G428"/>
  <c r="G427"/>
  <c r="I187" i="489"/>
  <c r="V110" a="1"/>
  <c r="V110" s="1"/>
  <c r="V111" a="1"/>
  <c r="V111" s="1"/>
  <c r="V112" a="1"/>
  <c r="V112" s="1"/>
  <c r="V113" a="1"/>
  <c r="V113" s="1"/>
  <c r="V114" a="1"/>
  <c r="V114" s="1"/>
  <c r="V115" a="1"/>
  <c r="V115" s="1"/>
  <c r="V116" a="1"/>
  <c r="V116" s="1"/>
  <c r="V117" a="1"/>
  <c r="V117" s="1"/>
  <c r="V118" a="1"/>
  <c r="V118" s="1"/>
  <c r="V119" a="1"/>
  <c r="V119" s="1"/>
  <c r="V120" a="1"/>
  <c r="V120" s="1"/>
  <c r="V121" a="1"/>
  <c r="V121" s="1"/>
  <c r="V122" a="1"/>
  <c r="V122" s="1"/>
  <c r="V123" a="1"/>
  <c r="V123" s="1"/>
  <c r="V124" a="1"/>
  <c r="V124" s="1"/>
  <c r="V125" a="1"/>
  <c r="V125" s="1"/>
  <c r="V126" a="1"/>
  <c r="V126" s="1"/>
  <c r="V127" a="1"/>
  <c r="V127" s="1"/>
  <c r="V128" a="1"/>
  <c r="V128" s="1"/>
  <c r="V129" a="1"/>
  <c r="V129" s="1"/>
  <c r="V130" a="1"/>
  <c r="V130" s="1"/>
  <c r="V131" a="1"/>
  <c r="V131" s="1"/>
  <c r="V132" a="1"/>
  <c r="V132" s="1"/>
  <c r="V133" a="1"/>
  <c r="V133" s="1"/>
  <c r="V134" a="1"/>
  <c r="V134" s="1"/>
  <c r="V135" a="1"/>
  <c r="V135" s="1"/>
  <c r="V136" a="1"/>
  <c r="V136" s="1"/>
  <c r="V137" a="1"/>
  <c r="V137" s="1"/>
  <c r="V138" a="1"/>
  <c r="V138" s="1"/>
  <c r="V139" a="1"/>
  <c r="V139" s="1"/>
  <c r="V140" a="1"/>
  <c r="V140" s="1"/>
  <c r="V141" a="1"/>
  <c r="V141" s="1"/>
  <c r="V142" a="1"/>
  <c r="V142" s="1"/>
  <c r="V143" a="1"/>
  <c r="V143" s="1"/>
  <c r="V144" a="1"/>
  <c r="V144" s="1"/>
  <c r="V145" a="1"/>
  <c r="V145" s="1"/>
  <c r="V146" a="1"/>
  <c r="V146" s="1"/>
  <c r="V147" a="1"/>
  <c r="V147" s="1"/>
  <c r="V148" a="1"/>
  <c r="V148" s="1"/>
  <c r="V149" a="1"/>
  <c r="V149" s="1"/>
  <c r="V150" a="1"/>
  <c r="V150" s="1"/>
  <c r="V151" a="1"/>
  <c r="V151" s="1"/>
  <c r="V152" a="1"/>
  <c r="V152" s="1"/>
  <c r="V153" a="1"/>
  <c r="V153" s="1"/>
  <c r="V154" a="1"/>
  <c r="V154" s="1"/>
  <c r="V155" a="1"/>
  <c r="V155" s="1"/>
  <c r="V156" a="1"/>
  <c r="V156" s="1"/>
  <c r="V157" a="1"/>
  <c r="V157" s="1"/>
  <c r="V158" a="1"/>
  <c r="V158" s="1"/>
  <c r="V159" a="1"/>
  <c r="V159" s="1"/>
  <c r="V160" a="1"/>
  <c r="V160" s="1"/>
  <c r="V161" a="1"/>
  <c r="V161" s="1"/>
  <c r="V162" a="1"/>
  <c r="V162" s="1"/>
  <c r="V163" a="1"/>
  <c r="V163" s="1"/>
  <c r="V164" a="1"/>
  <c r="V164" s="1"/>
  <c r="V165" a="1"/>
  <c r="V165" s="1"/>
  <c r="V166" a="1"/>
  <c r="V166" s="1"/>
  <c r="V167" a="1"/>
  <c r="V167" s="1"/>
  <c r="V168" a="1"/>
  <c r="V168" s="1"/>
  <c r="V169" a="1"/>
  <c r="V169" s="1"/>
  <c r="V170" a="1"/>
  <c r="V170" s="1"/>
  <c r="V171" a="1"/>
  <c r="V171" s="1"/>
  <c r="V172" a="1"/>
  <c r="V172" s="1"/>
  <c r="V173" a="1"/>
  <c r="V173" s="1"/>
  <c r="V174" a="1"/>
  <c r="V174" s="1"/>
  <c r="V175" a="1"/>
  <c r="V175" s="1"/>
  <c r="V176" a="1"/>
  <c r="V176" s="1"/>
  <c r="V177" a="1"/>
  <c r="V177" s="1"/>
  <c r="V178" a="1"/>
  <c r="V178" s="1"/>
  <c r="V179" a="1"/>
  <c r="V179" s="1"/>
  <c r="V180" a="1"/>
  <c r="V180" s="1"/>
  <c r="V181" a="1"/>
  <c r="V181" s="1"/>
  <c r="V182" a="1"/>
  <c r="V182" s="1"/>
  <c r="V183" a="1"/>
  <c r="V183" s="1"/>
  <c r="V184" a="1"/>
  <c r="V184" s="1"/>
  <c r="V185" a="1"/>
  <c r="V185" s="1"/>
  <c r="V186" a="1"/>
  <c r="V186" s="1"/>
  <c r="V188" a="1"/>
  <c r="V188" s="1"/>
  <c r="V189" a="1"/>
  <c r="V189" s="1"/>
  <c r="V191" a="1"/>
  <c r="V191" s="1"/>
  <c r="V192" a="1"/>
  <c r="V192" s="1"/>
  <c r="V193" a="1"/>
  <c r="V193" s="1"/>
  <c r="V194" a="1"/>
  <c r="V194" s="1"/>
  <c r="V195" a="1"/>
  <c r="V195" s="1"/>
  <c r="V196" a="1"/>
  <c r="V196" s="1"/>
  <c r="V197" a="1"/>
  <c r="V197" s="1"/>
  <c r="V198" a="1"/>
  <c r="V198" s="1"/>
  <c r="V27" a="1"/>
  <c r="V27" s="1"/>
  <c r="V28" a="1"/>
  <c r="V28" s="1"/>
  <c r="V29" a="1"/>
  <c r="V29" s="1"/>
  <c r="V30" a="1"/>
  <c r="V30" s="1"/>
  <c r="V31" a="1"/>
  <c r="V31" s="1"/>
  <c r="V32" a="1"/>
  <c r="V32" s="1"/>
  <c r="V33" a="1"/>
  <c r="V33" s="1"/>
  <c r="V34" a="1"/>
  <c r="V34" s="1"/>
  <c r="V35" a="1"/>
  <c r="V35" s="1"/>
  <c r="V36" a="1"/>
  <c r="V36" s="1"/>
  <c r="V37" a="1"/>
  <c r="V37" s="1"/>
  <c r="V38" a="1"/>
  <c r="V38" s="1"/>
  <c r="V39" a="1"/>
  <c r="V39" s="1"/>
  <c r="V40" a="1"/>
  <c r="V40" s="1"/>
  <c r="V41" a="1"/>
  <c r="V41" s="1"/>
  <c r="V42" a="1"/>
  <c r="V42" s="1"/>
  <c r="V43" a="1"/>
  <c r="V43" s="1"/>
  <c r="V44" a="1"/>
  <c r="V44" s="1"/>
  <c r="V45" a="1"/>
  <c r="V45" s="1"/>
  <c r="V46" a="1"/>
  <c r="V46" s="1"/>
  <c r="V47" a="1"/>
  <c r="V47" s="1"/>
  <c r="V48" a="1"/>
  <c r="V48" s="1"/>
  <c r="V49" a="1"/>
  <c r="V49" s="1"/>
  <c r="V50" a="1"/>
  <c r="V50" s="1"/>
  <c r="V51" a="1"/>
  <c r="V51" s="1"/>
  <c r="V52" a="1"/>
  <c r="V52" s="1"/>
  <c r="V53" a="1"/>
  <c r="V53" s="1"/>
  <c r="V54" a="1"/>
  <c r="V54" s="1"/>
  <c r="V55" a="1"/>
  <c r="V55" s="1"/>
  <c r="V56" a="1"/>
  <c r="V56" s="1"/>
  <c r="V57" a="1"/>
  <c r="V57" s="1"/>
  <c r="V58" a="1"/>
  <c r="V58" s="1"/>
  <c r="V59" a="1"/>
  <c r="V59" s="1"/>
  <c r="V60" a="1"/>
  <c r="V60" s="1"/>
  <c r="V61" a="1"/>
  <c r="V61" s="1"/>
  <c r="V62" a="1"/>
  <c r="V62" s="1"/>
  <c r="V63" a="1"/>
  <c r="V63" s="1"/>
  <c r="V64" a="1"/>
  <c r="V64" s="1"/>
  <c r="V65" a="1"/>
  <c r="V65" s="1"/>
  <c r="V66" a="1"/>
  <c r="V66" s="1"/>
  <c r="V67" a="1"/>
  <c r="V67" s="1"/>
  <c r="V68" a="1"/>
  <c r="V68" s="1"/>
  <c r="V69" a="1"/>
  <c r="V69" s="1"/>
  <c r="V70" a="1"/>
  <c r="V70" s="1"/>
  <c r="V71" a="1"/>
  <c r="V71" s="1"/>
  <c r="V72" a="1"/>
  <c r="V72" s="1"/>
  <c r="V73" a="1"/>
  <c r="V73" s="1"/>
  <c r="V74" a="1"/>
  <c r="V74" s="1"/>
  <c r="V75" a="1"/>
  <c r="V75" s="1"/>
  <c r="V76" a="1"/>
  <c r="V76" s="1"/>
  <c r="V77" a="1"/>
  <c r="V77" s="1"/>
  <c r="V78" a="1"/>
  <c r="V78" s="1"/>
  <c r="V79" a="1"/>
  <c r="V79" s="1"/>
  <c r="V80" a="1"/>
  <c r="V80" s="1"/>
  <c r="V81" a="1"/>
  <c r="V81" s="1"/>
  <c r="V82" a="1"/>
  <c r="V82" s="1"/>
  <c r="V83" a="1"/>
  <c r="V83" s="1"/>
  <c r="V84" a="1"/>
  <c r="V84" s="1"/>
  <c r="V85" a="1"/>
  <c r="V85" s="1"/>
  <c r="V86" a="1"/>
  <c r="V86" s="1"/>
  <c r="V87" a="1"/>
  <c r="V87" s="1"/>
  <c r="V88" a="1"/>
  <c r="V88" s="1"/>
  <c r="V89" a="1"/>
  <c r="V89" s="1"/>
  <c r="V90" a="1"/>
  <c r="V90" s="1"/>
  <c r="V91" a="1"/>
  <c r="V91" s="1"/>
  <c r="V92" a="1"/>
  <c r="V92" s="1"/>
  <c r="V93" a="1"/>
  <c r="V93" s="1"/>
  <c r="V94" a="1"/>
  <c r="V94" s="1"/>
  <c r="V95" a="1"/>
  <c r="V95" s="1"/>
  <c r="V96" a="1"/>
  <c r="V96" s="1"/>
  <c r="V97" a="1"/>
  <c r="V97" s="1"/>
  <c r="V98" a="1"/>
  <c r="V98" s="1"/>
  <c r="V99" a="1"/>
  <c r="V99" s="1"/>
  <c r="V100" a="1"/>
  <c r="V100" s="1"/>
  <c r="V101" a="1"/>
  <c r="V101" s="1"/>
  <c r="V102" a="1"/>
  <c r="V102" s="1"/>
  <c r="V103" a="1"/>
  <c r="V103" s="1"/>
  <c r="V104" a="1"/>
  <c r="V104" s="1"/>
  <c r="V105" a="1"/>
  <c r="V105" s="1"/>
  <c r="V106" a="1"/>
  <c r="V106" s="1"/>
  <c r="V107" a="1"/>
  <c r="V107" s="1"/>
  <c r="V108" a="1"/>
  <c r="V108" s="1"/>
  <c r="I399" i="488" l="1"/>
  <c r="I190"/>
  <c r="I99"/>
  <c r="I396" i="489"/>
  <c r="I317"/>
  <c r="I308"/>
  <c r="C451" i="491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C451" i="490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K434" s="1"/>
  <c r="O434" s="1" a="1"/>
  <c r="O434" s="1"/>
  <c r="C434"/>
  <c r="G433"/>
  <c r="C433"/>
  <c r="K433" s="1"/>
  <c r="O433" s="1" a="1"/>
  <c r="O433" s="1"/>
  <c r="G432"/>
  <c r="K432" s="1"/>
  <c r="O432" s="1" a="1"/>
  <c r="O432" s="1"/>
  <c r="C432"/>
  <c r="C430"/>
  <c r="C429"/>
  <c r="M420"/>
  <c r="U419"/>
  <c r="Y419" s="1"/>
  <c r="AA419" s="1"/>
  <c r="S419"/>
  <c r="W419" s="1"/>
  <c r="Y418"/>
  <c r="AA418" s="1"/>
  <c r="W418"/>
  <c r="Y417"/>
  <c r="W417"/>
  <c r="AA417" s="1"/>
  <c r="K417"/>
  <c r="G420" s="1"/>
  <c r="Y416"/>
  <c r="W416"/>
  <c r="AA416" s="1"/>
  <c r="K416"/>
  <c r="Y415"/>
  <c r="W415"/>
  <c r="AA415" s="1"/>
  <c r="K415"/>
  <c r="Y414"/>
  <c r="W414"/>
  <c r="AA414" s="1"/>
  <c r="Y413"/>
  <c r="AA413" s="1"/>
  <c r="W413"/>
  <c r="I413"/>
  <c r="K413" s="1" a="1"/>
  <c r="K413" s="1"/>
  <c r="Y412"/>
  <c r="AA412" s="1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V407"/>
  <c r="R407"/>
  <c r="P407"/>
  <c r="S407" s="1"/>
  <c r="N407"/>
  <c r="L407"/>
  <c r="V407" s="1" a="1"/>
  <c r="K407"/>
  <c r="R406"/>
  <c r="P406"/>
  <c r="S406" s="1"/>
  <c r="N406"/>
  <c r="L406"/>
  <c r="V406" s="1" a="1"/>
  <c r="V406" s="1"/>
  <c r="K406"/>
  <c r="V405"/>
  <c r="R405"/>
  <c r="P405"/>
  <c r="S405" s="1"/>
  <c r="N405"/>
  <c r="L405"/>
  <c r="V405" s="1" a="1"/>
  <c r="K405"/>
  <c r="R404"/>
  <c r="P404"/>
  <c r="S404" s="1"/>
  <c r="N404"/>
  <c r="L404"/>
  <c r="V404" s="1" a="1"/>
  <c r="V404" s="1"/>
  <c r="K404"/>
  <c r="R403"/>
  <c r="P403"/>
  <c r="S403" s="1"/>
  <c r="N403"/>
  <c r="L403"/>
  <c r="K403"/>
  <c r="R402"/>
  <c r="P402"/>
  <c r="S402" s="1"/>
  <c r="N402"/>
  <c r="L402"/>
  <c r="K402"/>
  <c r="R401"/>
  <c r="P401"/>
  <c r="S401" s="1"/>
  <c r="N401"/>
  <c r="L401"/>
  <c r="K401"/>
  <c r="R400"/>
  <c r="P400"/>
  <c r="S400" s="1"/>
  <c r="N400"/>
  <c r="L400"/>
  <c r="K400"/>
  <c r="V399"/>
  <c r="R399"/>
  <c r="P399"/>
  <c r="S399" s="1"/>
  <c r="N399"/>
  <c r="L399"/>
  <c r="V399" s="1" a="1"/>
  <c r="K399"/>
  <c r="R398"/>
  <c r="P398"/>
  <c r="S398" s="1"/>
  <c r="N398"/>
  <c r="L398"/>
  <c r="V398" s="1" a="1"/>
  <c r="V398" s="1"/>
  <c r="K398"/>
  <c r="V397"/>
  <c r="R397"/>
  <c r="P397"/>
  <c r="S397" s="1"/>
  <c r="N397"/>
  <c r="L397"/>
  <c r="V397" s="1" a="1"/>
  <c r="K397"/>
  <c r="R396"/>
  <c r="P396"/>
  <c r="S396" s="1"/>
  <c r="N396"/>
  <c r="L396"/>
  <c r="V396" s="1" a="1"/>
  <c r="V396" s="1"/>
  <c r="K396"/>
  <c r="V395"/>
  <c r="R395"/>
  <c r="P395"/>
  <c r="S395" s="1"/>
  <c r="N395"/>
  <c r="L395"/>
  <c r="V395" s="1" a="1"/>
  <c r="K395"/>
  <c r="R394"/>
  <c r="P394"/>
  <c r="S394" s="1"/>
  <c r="N394"/>
  <c r="L394"/>
  <c r="V394" s="1" a="1"/>
  <c r="V394" s="1"/>
  <c r="K394"/>
  <c r="V393"/>
  <c r="R393"/>
  <c r="P393"/>
  <c r="S393" s="1"/>
  <c r="N393"/>
  <c r="L393"/>
  <c r="V393" s="1" a="1"/>
  <c r="K393"/>
  <c r="R392"/>
  <c r="P392"/>
  <c r="S392" s="1"/>
  <c r="N392"/>
  <c r="L392"/>
  <c r="V392" s="1" a="1"/>
  <c r="V392" s="1"/>
  <c r="K392"/>
  <c r="V391"/>
  <c r="R391"/>
  <c r="P391"/>
  <c r="S391" s="1"/>
  <c r="N391"/>
  <c r="L391"/>
  <c r="V391" s="1" a="1"/>
  <c r="K391"/>
  <c r="R390"/>
  <c r="P390"/>
  <c r="S390" s="1"/>
  <c r="N390"/>
  <c r="L390"/>
  <c r="V390" s="1" a="1"/>
  <c r="V390" s="1"/>
  <c r="K390"/>
  <c r="V389"/>
  <c r="R389"/>
  <c r="P389"/>
  <c r="S389" s="1"/>
  <c r="N389"/>
  <c r="L389"/>
  <c r="V389" s="1" a="1"/>
  <c r="K389"/>
  <c r="R388"/>
  <c r="P388"/>
  <c r="S388" s="1"/>
  <c r="N388"/>
  <c r="L388"/>
  <c r="V388" s="1" a="1"/>
  <c r="V388" s="1"/>
  <c r="K388"/>
  <c r="V387"/>
  <c r="R387"/>
  <c r="P387"/>
  <c r="S387" s="1"/>
  <c r="N387"/>
  <c r="L387"/>
  <c r="V387" s="1" a="1"/>
  <c r="K387"/>
  <c r="R386"/>
  <c r="P386"/>
  <c r="S386" s="1"/>
  <c r="N386"/>
  <c r="L386"/>
  <c r="V386" s="1" a="1"/>
  <c r="V386" s="1"/>
  <c r="K386"/>
  <c r="V385"/>
  <c r="R385"/>
  <c r="P385"/>
  <c r="S385" s="1"/>
  <c r="N385"/>
  <c r="L385"/>
  <c r="V385" s="1" a="1"/>
  <c r="K385"/>
  <c r="R384"/>
  <c r="P384"/>
  <c r="S384" s="1"/>
  <c r="N384"/>
  <c r="L384"/>
  <c r="V384" s="1" a="1"/>
  <c r="V384" s="1"/>
  <c r="K384"/>
  <c r="V383"/>
  <c r="R383"/>
  <c r="P383"/>
  <c r="S383" s="1"/>
  <c r="N383"/>
  <c r="L383"/>
  <c r="V383" s="1" a="1"/>
  <c r="K383"/>
  <c r="R382"/>
  <c r="P382"/>
  <c r="S382" s="1"/>
  <c r="N382"/>
  <c r="L382"/>
  <c r="V382" s="1" a="1"/>
  <c r="V382" s="1"/>
  <c r="K382"/>
  <c r="V381"/>
  <c r="R381"/>
  <c r="P381"/>
  <c r="S381" s="1"/>
  <c r="N381"/>
  <c r="L381"/>
  <c r="V381" s="1" a="1"/>
  <c r="K381"/>
  <c r="R380"/>
  <c r="P380"/>
  <c r="S380" s="1"/>
  <c r="N380"/>
  <c r="L380"/>
  <c r="V380" s="1" a="1"/>
  <c r="V380" s="1"/>
  <c r="K380"/>
  <c r="V379"/>
  <c r="R379"/>
  <c r="P379"/>
  <c r="S379" s="1"/>
  <c r="N379"/>
  <c r="L379"/>
  <c r="V379" s="1" a="1"/>
  <c r="K379"/>
  <c r="R378"/>
  <c r="P378"/>
  <c r="S378" s="1"/>
  <c r="N378"/>
  <c r="L378"/>
  <c r="V378" s="1" a="1"/>
  <c r="V378" s="1"/>
  <c r="K378"/>
  <c r="V377"/>
  <c r="R377"/>
  <c r="P377"/>
  <c r="S377" s="1"/>
  <c r="N377"/>
  <c r="L377"/>
  <c r="V377" s="1" a="1"/>
  <c r="K377"/>
  <c r="R376"/>
  <c r="P376"/>
  <c r="S376" s="1"/>
  <c r="N376"/>
  <c r="L376"/>
  <c r="K376"/>
  <c r="R375"/>
  <c r="P375"/>
  <c r="S375" s="1"/>
  <c r="N375"/>
  <c r="L375"/>
  <c r="K375"/>
  <c r="R374"/>
  <c r="P374"/>
  <c r="S374" s="1"/>
  <c r="N374"/>
  <c r="L374"/>
  <c r="K374"/>
  <c r="R373"/>
  <c r="P373"/>
  <c r="S373" s="1"/>
  <c r="N373"/>
  <c r="L373"/>
  <c r="K373"/>
  <c r="R372"/>
  <c r="P372"/>
  <c r="S372" s="1"/>
  <c r="N372"/>
  <c r="L372"/>
  <c r="K372"/>
  <c r="R371"/>
  <c r="P371"/>
  <c r="S371" s="1"/>
  <c r="N371"/>
  <c r="L371"/>
  <c r="K371"/>
  <c r="R370"/>
  <c r="P370"/>
  <c r="S370" s="1"/>
  <c r="N370"/>
  <c r="L370"/>
  <c r="K370"/>
  <c r="R369"/>
  <c r="P369"/>
  <c r="S369" s="1"/>
  <c r="N369"/>
  <c r="L369"/>
  <c r="K369"/>
  <c r="R368"/>
  <c r="P368"/>
  <c r="S368" s="1"/>
  <c r="N368"/>
  <c r="L368"/>
  <c r="K368"/>
  <c r="R367"/>
  <c r="P367"/>
  <c r="S367" s="1"/>
  <c r="N367"/>
  <c r="L367"/>
  <c r="K367"/>
  <c r="R366"/>
  <c r="P366"/>
  <c r="S366" s="1"/>
  <c r="N366"/>
  <c r="L366"/>
  <c r="K366"/>
  <c r="R365"/>
  <c r="P365"/>
  <c r="S365" s="1"/>
  <c r="N365"/>
  <c r="L365"/>
  <c r="K365"/>
  <c r="R364"/>
  <c r="P364"/>
  <c r="S364" s="1"/>
  <c r="N364"/>
  <c r="L364"/>
  <c r="K364"/>
  <c r="R363"/>
  <c r="P363"/>
  <c r="S363" s="1"/>
  <c r="N363"/>
  <c r="L363"/>
  <c r="K363"/>
  <c r="R362"/>
  <c r="P362"/>
  <c r="S362" s="1"/>
  <c r="N362"/>
  <c r="L362"/>
  <c r="K362"/>
  <c r="R361"/>
  <c r="P361"/>
  <c r="S361" s="1"/>
  <c r="N361"/>
  <c r="L361"/>
  <c r="K361"/>
  <c r="R360"/>
  <c r="P360"/>
  <c r="S360" s="1"/>
  <c r="N360"/>
  <c r="L360"/>
  <c r="K360"/>
  <c r="R359"/>
  <c r="P359"/>
  <c r="S359" s="1"/>
  <c r="N359"/>
  <c r="L359"/>
  <c r="K359"/>
  <c r="R358"/>
  <c r="P358"/>
  <c r="S358" s="1"/>
  <c r="N358"/>
  <c r="L358"/>
  <c r="V358" s="1" a="1"/>
  <c r="V358" s="1"/>
  <c r="K358"/>
  <c r="V357"/>
  <c r="R357"/>
  <c r="P357"/>
  <c r="S357" s="1"/>
  <c r="N357"/>
  <c r="L357"/>
  <c r="V357" s="1" a="1"/>
  <c r="K357"/>
  <c r="R356"/>
  <c r="P356"/>
  <c r="S356" s="1"/>
  <c r="N356"/>
  <c r="L356"/>
  <c r="V356" s="1" a="1"/>
  <c r="V356" s="1"/>
  <c r="K356"/>
  <c r="V355"/>
  <c r="R355"/>
  <c r="P355"/>
  <c r="S355" s="1"/>
  <c r="N355"/>
  <c r="L355"/>
  <c r="V355" s="1" a="1"/>
  <c r="K355"/>
  <c r="R354"/>
  <c r="P354"/>
  <c r="S354" s="1"/>
  <c r="N354"/>
  <c r="L354"/>
  <c r="K354"/>
  <c r="R353"/>
  <c r="P353"/>
  <c r="S353" s="1"/>
  <c r="N353"/>
  <c r="L353"/>
  <c r="K353"/>
  <c r="R352"/>
  <c r="P352"/>
  <c r="S352" s="1"/>
  <c r="N352"/>
  <c r="L352"/>
  <c r="V352" s="1" a="1"/>
  <c r="V352" s="1"/>
  <c r="K352"/>
  <c r="V351"/>
  <c r="R351"/>
  <c r="P351"/>
  <c r="S351" s="1"/>
  <c r="N351"/>
  <c r="L351"/>
  <c r="V351" s="1" a="1"/>
  <c r="K351"/>
  <c r="R350"/>
  <c r="P350"/>
  <c r="S350" s="1"/>
  <c r="N350"/>
  <c r="L350"/>
  <c r="V350" s="1" a="1"/>
  <c r="V350" s="1"/>
  <c r="K350"/>
  <c r="V349"/>
  <c r="R349"/>
  <c r="P349"/>
  <c r="S349" s="1"/>
  <c r="N349"/>
  <c r="L349"/>
  <c r="V349" s="1" a="1"/>
  <c r="K349"/>
  <c r="R348"/>
  <c r="P348"/>
  <c r="S348" s="1"/>
  <c r="N348"/>
  <c r="L348"/>
  <c r="V348" s="1" a="1"/>
  <c r="V348" s="1"/>
  <c r="K348"/>
  <c r="V347"/>
  <c r="R347"/>
  <c r="P347"/>
  <c r="S347" s="1"/>
  <c r="N347"/>
  <c r="L347"/>
  <c r="V347" s="1" a="1"/>
  <c r="K347"/>
  <c r="R346"/>
  <c r="P346"/>
  <c r="S346" s="1"/>
  <c r="N346"/>
  <c r="L346"/>
  <c r="V346" s="1" a="1"/>
  <c r="V346" s="1"/>
  <c r="K346"/>
  <c r="V345"/>
  <c r="R345"/>
  <c r="P345"/>
  <c r="S345" s="1"/>
  <c r="N345"/>
  <c r="L345"/>
  <c r="V345" s="1" a="1"/>
  <c r="K345"/>
  <c r="R344"/>
  <c r="P344"/>
  <c r="S344" s="1"/>
  <c r="N344"/>
  <c r="L344"/>
  <c r="V344" s="1" a="1"/>
  <c r="V344" s="1"/>
  <c r="K344"/>
  <c r="V343"/>
  <c r="R343"/>
  <c r="P343"/>
  <c r="S343" s="1"/>
  <c r="N343"/>
  <c r="L343"/>
  <c r="V343" s="1" a="1"/>
  <c r="K343"/>
  <c r="R342"/>
  <c r="P342"/>
  <c r="S342" s="1"/>
  <c r="N342"/>
  <c r="L342"/>
  <c r="V342" s="1" a="1"/>
  <c r="V342" s="1"/>
  <c r="K342"/>
  <c r="V341"/>
  <c r="R341"/>
  <c r="P341"/>
  <c r="S341" s="1"/>
  <c r="N341"/>
  <c r="L341"/>
  <c r="V341" s="1" a="1"/>
  <c r="K341"/>
  <c r="R340"/>
  <c r="P340"/>
  <c r="S340" s="1"/>
  <c r="N340"/>
  <c r="L340"/>
  <c r="K340"/>
  <c r="R339"/>
  <c r="P339"/>
  <c r="S339" s="1"/>
  <c r="N339"/>
  <c r="L339"/>
  <c r="K339"/>
  <c r="R338"/>
  <c r="P338"/>
  <c r="S338" s="1"/>
  <c r="N338"/>
  <c r="L338"/>
  <c r="V338" s="1" a="1"/>
  <c r="V338" s="1"/>
  <c r="K338"/>
  <c r="V337"/>
  <c r="R337"/>
  <c r="P337"/>
  <c r="S337" s="1"/>
  <c r="N337"/>
  <c r="L337"/>
  <c r="V337" s="1" a="1"/>
  <c r="K337"/>
  <c r="R336"/>
  <c r="P336"/>
  <c r="S336" s="1"/>
  <c r="N336"/>
  <c r="L336"/>
  <c r="V336" s="1" a="1"/>
  <c r="V336" s="1"/>
  <c r="K336"/>
  <c r="V335"/>
  <c r="R335"/>
  <c r="P335"/>
  <c r="S335" s="1"/>
  <c r="N335"/>
  <c r="L335"/>
  <c r="V335" s="1" a="1"/>
  <c r="K335"/>
  <c r="R334"/>
  <c r="P334"/>
  <c r="S334" s="1"/>
  <c r="N334"/>
  <c r="L334"/>
  <c r="K334"/>
  <c r="R333"/>
  <c r="P333"/>
  <c r="S333" s="1"/>
  <c r="N333"/>
  <c r="L333"/>
  <c r="K333"/>
  <c r="R332"/>
  <c r="P332"/>
  <c r="S332" s="1"/>
  <c r="N332"/>
  <c r="L332"/>
  <c r="K332"/>
  <c r="R331"/>
  <c r="P331"/>
  <c r="S331" s="1"/>
  <c r="N331"/>
  <c r="L331"/>
  <c r="K331"/>
  <c r="R330"/>
  <c r="P330"/>
  <c r="S330" s="1"/>
  <c r="N330"/>
  <c r="L330"/>
  <c r="K330"/>
  <c r="R329"/>
  <c r="P329"/>
  <c r="S329" s="1"/>
  <c r="N329"/>
  <c r="L329"/>
  <c r="V329" s="1" a="1"/>
  <c r="V329" s="1"/>
  <c r="K329"/>
  <c r="V328"/>
  <c r="R328"/>
  <c r="P328"/>
  <c r="S328" s="1"/>
  <c r="N328"/>
  <c r="L328"/>
  <c r="V328" s="1" a="1"/>
  <c r="K328"/>
  <c r="R327"/>
  <c r="P327"/>
  <c r="S327" s="1"/>
  <c r="N327"/>
  <c r="L327"/>
  <c r="V327" s="1" a="1"/>
  <c r="V327" s="1"/>
  <c r="K327"/>
  <c r="V326"/>
  <c r="R326"/>
  <c r="P326"/>
  <c r="S326" s="1"/>
  <c r="N326"/>
  <c r="L326"/>
  <c r="V326" s="1" a="1"/>
  <c r="K326"/>
  <c r="R325"/>
  <c r="P325"/>
  <c r="S325" s="1"/>
  <c r="N325"/>
  <c r="L325"/>
  <c r="V325" s="1" a="1"/>
  <c r="V325" s="1"/>
  <c r="K325"/>
  <c r="V324"/>
  <c r="R324"/>
  <c r="P324"/>
  <c r="S324" s="1"/>
  <c r="N324"/>
  <c r="L324"/>
  <c r="V324" s="1" a="1"/>
  <c r="K324"/>
  <c r="R323"/>
  <c r="P323"/>
  <c r="S323" s="1"/>
  <c r="N323"/>
  <c r="L323"/>
  <c r="V323" s="1" a="1"/>
  <c r="V323" s="1"/>
  <c r="K323"/>
  <c r="V322"/>
  <c r="R322"/>
  <c r="P322"/>
  <c r="S322" s="1"/>
  <c r="N322"/>
  <c r="L322"/>
  <c r="V322" s="1" a="1"/>
  <c r="K322"/>
  <c r="R321"/>
  <c r="P321"/>
  <c r="S321" s="1"/>
  <c r="N321"/>
  <c r="L321"/>
  <c r="V321" s="1" a="1"/>
  <c r="V321" s="1"/>
  <c r="K321"/>
  <c r="V320"/>
  <c r="R320"/>
  <c r="P320"/>
  <c r="S320" s="1"/>
  <c r="N320"/>
  <c r="L320"/>
  <c r="V320" s="1" a="1"/>
  <c r="K320"/>
  <c r="R319"/>
  <c r="P319"/>
  <c r="S319" s="1"/>
  <c r="N319"/>
  <c r="L319"/>
  <c r="K319"/>
  <c r="R318"/>
  <c r="P318"/>
  <c r="S318" s="1"/>
  <c r="N318"/>
  <c r="L318"/>
  <c r="K318"/>
  <c r="R317"/>
  <c r="P317"/>
  <c r="S317" s="1"/>
  <c r="N317"/>
  <c r="L317"/>
  <c r="K317"/>
  <c r="R316"/>
  <c r="P316"/>
  <c r="S316" s="1"/>
  <c r="N316"/>
  <c r="L316"/>
  <c r="V316" s="1" a="1"/>
  <c r="V316" s="1"/>
  <c r="K316"/>
  <c r="V315"/>
  <c r="R315"/>
  <c r="P315"/>
  <c r="S315" s="1"/>
  <c r="N315"/>
  <c r="L315"/>
  <c r="V315" s="1" a="1"/>
  <c r="K315"/>
  <c r="R314"/>
  <c r="P314"/>
  <c r="S314" s="1"/>
  <c r="N314"/>
  <c r="L314"/>
  <c r="K314"/>
  <c r="R313"/>
  <c r="P313"/>
  <c r="S313" s="1"/>
  <c r="N313"/>
  <c r="L313"/>
  <c r="K313"/>
  <c r="R312"/>
  <c r="P312"/>
  <c r="S312" s="1"/>
  <c r="N312"/>
  <c r="L312"/>
  <c r="K312"/>
  <c r="R311"/>
  <c r="P311"/>
  <c r="S311" s="1"/>
  <c r="N311"/>
  <c r="L311"/>
  <c r="V311" s="1" a="1"/>
  <c r="V311" s="1"/>
  <c r="K311"/>
  <c r="V310"/>
  <c r="R310"/>
  <c r="P310"/>
  <c r="S310" s="1"/>
  <c r="N310"/>
  <c r="L310"/>
  <c r="V310" s="1" a="1"/>
  <c r="K310"/>
  <c r="R309"/>
  <c r="P309"/>
  <c r="S309" s="1"/>
  <c r="N309"/>
  <c r="L309"/>
  <c r="V309" s="1" a="1"/>
  <c r="V309" s="1"/>
  <c r="K309"/>
  <c r="V308"/>
  <c r="R308"/>
  <c r="P308"/>
  <c r="S308" s="1"/>
  <c r="N308"/>
  <c r="L308"/>
  <c r="V308" s="1" a="1"/>
  <c r="K308"/>
  <c r="R307"/>
  <c r="P307"/>
  <c r="S307" s="1"/>
  <c r="N307"/>
  <c r="L307"/>
  <c r="V307" s="1" a="1"/>
  <c r="V307" s="1"/>
  <c r="K307"/>
  <c r="V306"/>
  <c r="R306"/>
  <c r="P306"/>
  <c r="S306" s="1"/>
  <c r="N306"/>
  <c r="L306"/>
  <c r="V306" s="1" a="1"/>
  <c r="K306"/>
  <c r="R305"/>
  <c r="P305"/>
  <c r="S305" s="1"/>
  <c r="N305"/>
  <c r="L305"/>
  <c r="V305" s="1" a="1"/>
  <c r="V305" s="1"/>
  <c r="K305"/>
  <c r="V304"/>
  <c r="R304"/>
  <c r="P304"/>
  <c r="S304" s="1"/>
  <c r="N304"/>
  <c r="L304"/>
  <c r="V304" s="1" a="1"/>
  <c r="K304"/>
  <c r="R303"/>
  <c r="P303"/>
  <c r="S303" s="1"/>
  <c r="N303"/>
  <c r="L303"/>
  <c r="V303" s="1" a="1"/>
  <c r="V303" s="1"/>
  <c r="K303"/>
  <c r="V302"/>
  <c r="R302"/>
  <c r="P302"/>
  <c r="S302" s="1"/>
  <c r="N302"/>
  <c r="L302"/>
  <c r="V302" s="1" a="1"/>
  <c r="K302"/>
  <c r="R301"/>
  <c r="P301"/>
  <c r="S301" s="1"/>
  <c r="N301"/>
  <c r="L301"/>
  <c r="V301" s="1" a="1"/>
  <c r="V301" s="1"/>
  <c r="K301"/>
  <c r="V300"/>
  <c r="R300"/>
  <c r="P300"/>
  <c r="S300" s="1"/>
  <c r="N300"/>
  <c r="L300"/>
  <c r="V300" s="1" a="1"/>
  <c r="K300"/>
  <c r="R299"/>
  <c r="P299"/>
  <c r="S299" s="1"/>
  <c r="N299"/>
  <c r="L299"/>
  <c r="V299" s="1" a="1"/>
  <c r="V299" s="1"/>
  <c r="K299"/>
  <c r="V298"/>
  <c r="R298"/>
  <c r="P298"/>
  <c r="S298" s="1"/>
  <c r="N298"/>
  <c r="L298"/>
  <c r="V298" s="1" a="1"/>
  <c r="K298"/>
  <c r="R297"/>
  <c r="P297"/>
  <c r="S297" s="1"/>
  <c r="N297"/>
  <c r="L297"/>
  <c r="V297" s="1" a="1"/>
  <c r="V297" s="1"/>
  <c r="K297"/>
  <c r="R296"/>
  <c r="P296"/>
  <c r="S296" s="1"/>
  <c r="N296"/>
  <c r="L296"/>
  <c r="K296"/>
  <c r="R295"/>
  <c r="P295"/>
  <c r="S295" s="1"/>
  <c r="N295"/>
  <c r="L295"/>
  <c r="K295"/>
  <c r="R294"/>
  <c r="P294"/>
  <c r="S294" s="1"/>
  <c r="N294"/>
  <c r="L294"/>
  <c r="K294"/>
  <c r="V293"/>
  <c r="R293"/>
  <c r="P293"/>
  <c r="S293" s="1"/>
  <c r="N293"/>
  <c r="L293"/>
  <c r="V293" s="1" a="1"/>
  <c r="K293"/>
  <c r="R292"/>
  <c r="P292"/>
  <c r="S292" s="1"/>
  <c r="N292"/>
  <c r="L292"/>
  <c r="K292"/>
  <c r="R291"/>
  <c r="P291"/>
  <c r="S291" s="1"/>
  <c r="N291"/>
  <c r="L291"/>
  <c r="V291" s="1" a="1"/>
  <c r="V291" s="1"/>
  <c r="K291"/>
  <c r="R290"/>
  <c r="P290"/>
  <c r="S290" s="1"/>
  <c r="N290"/>
  <c r="L290"/>
  <c r="K290"/>
  <c r="V289"/>
  <c r="R289"/>
  <c r="P289"/>
  <c r="S289" s="1"/>
  <c r="N289"/>
  <c r="L289"/>
  <c r="V289" s="1" a="1"/>
  <c r="K289"/>
  <c r="R288"/>
  <c r="P288"/>
  <c r="S288" s="1"/>
  <c r="N288"/>
  <c r="L288"/>
  <c r="V288" s="1" a="1"/>
  <c r="V288" s="1"/>
  <c r="K288"/>
  <c r="V287"/>
  <c r="R287"/>
  <c r="P287"/>
  <c r="S287" s="1"/>
  <c r="N287"/>
  <c r="L287"/>
  <c r="V287" s="1" a="1"/>
  <c r="K287"/>
  <c r="R286"/>
  <c r="P286"/>
  <c r="S286" s="1"/>
  <c r="N286"/>
  <c r="L286"/>
  <c r="V286" s="1" a="1"/>
  <c r="V286" s="1"/>
  <c r="K286"/>
  <c r="V285"/>
  <c r="R285"/>
  <c r="P285"/>
  <c r="S285" s="1"/>
  <c r="N285"/>
  <c r="L285"/>
  <c r="V285" s="1" a="1"/>
  <c r="K285"/>
  <c r="R284"/>
  <c r="P284"/>
  <c r="S284" s="1"/>
  <c r="N284"/>
  <c r="L284"/>
  <c r="V284" s="1" a="1"/>
  <c r="V284" s="1"/>
  <c r="K284"/>
  <c r="V283"/>
  <c r="R283"/>
  <c r="P283"/>
  <c r="S283" s="1"/>
  <c r="N283"/>
  <c r="L283"/>
  <c r="V283" s="1" a="1"/>
  <c r="K283"/>
  <c r="R282"/>
  <c r="P282"/>
  <c r="S282" s="1"/>
  <c r="N282"/>
  <c r="L282"/>
  <c r="V282" s="1" a="1"/>
  <c r="V282" s="1"/>
  <c r="K282"/>
  <c r="V281"/>
  <c r="R281"/>
  <c r="P281"/>
  <c r="S281" s="1"/>
  <c r="N281"/>
  <c r="L281"/>
  <c r="V281" s="1" a="1"/>
  <c r="K281"/>
  <c r="R280"/>
  <c r="P280"/>
  <c r="S280" s="1"/>
  <c r="N280"/>
  <c r="L280"/>
  <c r="V280" s="1" a="1"/>
  <c r="V280" s="1"/>
  <c r="K280"/>
  <c r="V279"/>
  <c r="R279"/>
  <c r="P279"/>
  <c r="S279" s="1"/>
  <c r="N279"/>
  <c r="L279"/>
  <c r="V279" s="1" a="1"/>
  <c r="K279"/>
  <c r="R278"/>
  <c r="P278"/>
  <c r="S278" s="1"/>
  <c r="N278"/>
  <c r="L278"/>
  <c r="K278"/>
  <c r="R277"/>
  <c r="P277"/>
  <c r="S277" s="1"/>
  <c r="N277"/>
  <c r="L277"/>
  <c r="K277"/>
  <c r="R276"/>
  <c r="P276"/>
  <c r="S276" s="1"/>
  <c r="N276"/>
  <c r="L276"/>
  <c r="K276"/>
  <c r="R275"/>
  <c r="P275"/>
  <c r="S275" s="1"/>
  <c r="N275"/>
  <c r="L275"/>
  <c r="K275"/>
  <c r="R274"/>
  <c r="P274"/>
  <c r="S274" s="1"/>
  <c r="N274"/>
  <c r="L274"/>
  <c r="K274"/>
  <c r="R273"/>
  <c r="P273"/>
  <c r="S273" s="1"/>
  <c r="N273"/>
  <c r="L273"/>
  <c r="V273" s="1" a="1"/>
  <c r="V273" s="1"/>
  <c r="K273"/>
  <c r="V272"/>
  <c r="R272"/>
  <c r="P272"/>
  <c r="S272" s="1"/>
  <c r="N272"/>
  <c r="L272"/>
  <c r="V272" s="1" a="1"/>
  <c r="K272"/>
  <c r="R271"/>
  <c r="P271"/>
  <c r="S271" s="1"/>
  <c r="N271"/>
  <c r="L271"/>
  <c r="V271" s="1" a="1"/>
  <c r="V271" s="1"/>
  <c r="K271"/>
  <c r="R270"/>
  <c r="P270"/>
  <c r="S270" s="1"/>
  <c r="N270"/>
  <c r="L270"/>
  <c r="K270"/>
  <c r="R269"/>
  <c r="P269"/>
  <c r="S269" s="1"/>
  <c r="N269"/>
  <c r="L269"/>
  <c r="K269"/>
  <c r="V268"/>
  <c r="R268"/>
  <c r="P268"/>
  <c r="S268" s="1"/>
  <c r="N268"/>
  <c r="L268"/>
  <c r="V268" s="1" a="1"/>
  <c r="K268"/>
  <c r="R267"/>
  <c r="P267"/>
  <c r="S267" s="1"/>
  <c r="N267"/>
  <c r="L267"/>
  <c r="V267" s="1" a="1"/>
  <c r="V267" s="1"/>
  <c r="K267"/>
  <c r="R266"/>
  <c r="P266"/>
  <c r="S266" s="1"/>
  <c r="N266"/>
  <c r="L266"/>
  <c r="K266"/>
  <c r="V265"/>
  <c r="R265"/>
  <c r="P265"/>
  <c r="S265" s="1"/>
  <c r="N265"/>
  <c r="L265"/>
  <c r="V265" s="1" a="1"/>
  <c r="K265"/>
  <c r="R264"/>
  <c r="P264"/>
  <c r="S264" s="1"/>
  <c r="N264"/>
  <c r="L264"/>
  <c r="V264" s="1" a="1"/>
  <c r="V264" s="1"/>
  <c r="K264"/>
  <c r="V263"/>
  <c r="R263"/>
  <c r="P263"/>
  <c r="S263" s="1"/>
  <c r="N263"/>
  <c r="L263"/>
  <c r="V263" s="1" a="1"/>
  <c r="K263"/>
  <c r="R262"/>
  <c r="P262"/>
  <c r="S262" s="1"/>
  <c r="N262"/>
  <c r="L262"/>
  <c r="V262" s="1" a="1"/>
  <c r="V262" s="1"/>
  <c r="K262"/>
  <c r="V261"/>
  <c r="R261"/>
  <c r="P261"/>
  <c r="S261" s="1"/>
  <c r="N261"/>
  <c r="L261"/>
  <c r="V261" s="1" a="1"/>
  <c r="K261"/>
  <c r="R260"/>
  <c r="P260"/>
  <c r="S260" s="1"/>
  <c r="N260"/>
  <c r="L260"/>
  <c r="V260" s="1" a="1"/>
  <c r="V260" s="1"/>
  <c r="K260"/>
  <c r="V259"/>
  <c r="R259"/>
  <c r="P259"/>
  <c r="S259" s="1"/>
  <c r="N259"/>
  <c r="L259"/>
  <c r="V259" s="1" a="1"/>
  <c r="K259"/>
  <c r="R258"/>
  <c r="P258"/>
  <c r="S258" s="1"/>
  <c r="N258"/>
  <c r="L258"/>
  <c r="K258"/>
  <c r="R257"/>
  <c r="P257"/>
  <c r="S257" s="1"/>
  <c r="N257"/>
  <c r="L257"/>
  <c r="K257"/>
  <c r="R256"/>
  <c r="P256"/>
  <c r="S256" s="1"/>
  <c r="N256"/>
  <c r="L256"/>
  <c r="K256"/>
  <c r="R255"/>
  <c r="P255"/>
  <c r="S255" s="1"/>
  <c r="N255"/>
  <c r="L255"/>
  <c r="K255"/>
  <c r="R254"/>
  <c r="P254"/>
  <c r="S254" s="1"/>
  <c r="N254"/>
  <c r="L254"/>
  <c r="V254" s="1" a="1"/>
  <c r="V254" s="1"/>
  <c r="K254"/>
  <c r="V253"/>
  <c r="R253"/>
  <c r="P253"/>
  <c r="S253" s="1"/>
  <c r="N253"/>
  <c r="L253"/>
  <c r="V253" s="1" a="1"/>
  <c r="K253"/>
  <c r="R252"/>
  <c r="P252"/>
  <c r="S252" s="1"/>
  <c r="N252"/>
  <c r="L252"/>
  <c r="V252" s="1" a="1"/>
  <c r="V252" s="1"/>
  <c r="K252"/>
  <c r="V251"/>
  <c r="R251"/>
  <c r="P251"/>
  <c r="S251" s="1"/>
  <c r="N251"/>
  <c r="L251"/>
  <c r="V251" s="1" a="1"/>
  <c r="K251"/>
  <c r="R250"/>
  <c r="P250"/>
  <c r="S250" s="1"/>
  <c r="N250"/>
  <c r="L250"/>
  <c r="V250" s="1" a="1"/>
  <c r="V250" s="1"/>
  <c r="K250"/>
  <c r="R249"/>
  <c r="P249"/>
  <c r="S249" s="1"/>
  <c r="N249"/>
  <c r="L249"/>
  <c r="K249"/>
  <c r="R248"/>
  <c r="P248"/>
  <c r="S248" s="1"/>
  <c r="N248"/>
  <c r="L248"/>
  <c r="K248"/>
  <c r="R247"/>
  <c r="P247"/>
  <c r="S247" s="1"/>
  <c r="N247"/>
  <c r="L247"/>
  <c r="K247"/>
  <c r="V246"/>
  <c r="R246"/>
  <c r="P246"/>
  <c r="S246" s="1"/>
  <c r="N246"/>
  <c r="L246"/>
  <c r="V246" s="1" a="1"/>
  <c r="K246"/>
  <c r="R245"/>
  <c r="P245"/>
  <c r="S245" s="1"/>
  <c r="N245"/>
  <c r="L245"/>
  <c r="V245" s="1" a="1"/>
  <c r="V245" s="1"/>
  <c r="K245"/>
  <c r="V244"/>
  <c r="R244"/>
  <c r="P244"/>
  <c r="S244" s="1"/>
  <c r="N244"/>
  <c r="L244"/>
  <c r="V244" s="1" a="1"/>
  <c r="K244"/>
  <c r="R243"/>
  <c r="P243"/>
  <c r="S243" s="1"/>
  <c r="N243"/>
  <c r="L243"/>
  <c r="V243" s="1" a="1"/>
  <c r="V243" s="1"/>
  <c r="K243"/>
  <c r="V242"/>
  <c r="R242"/>
  <c r="P242"/>
  <c r="S242" s="1"/>
  <c r="N242"/>
  <c r="L242"/>
  <c r="V242" s="1" a="1"/>
  <c r="K242"/>
  <c r="R241"/>
  <c r="P241"/>
  <c r="S241" s="1"/>
  <c r="N241"/>
  <c r="L241"/>
  <c r="V241" s="1" a="1"/>
  <c r="V241" s="1"/>
  <c r="K241"/>
  <c r="V240"/>
  <c r="R240"/>
  <c r="P240"/>
  <c r="S240" s="1"/>
  <c r="N240"/>
  <c r="L240"/>
  <c r="V240" s="1" a="1"/>
  <c r="K240"/>
  <c r="R239"/>
  <c r="P239"/>
  <c r="S239" s="1"/>
  <c r="N239"/>
  <c r="L239"/>
  <c r="V239" s="1" a="1"/>
  <c r="V239" s="1"/>
  <c r="K239"/>
  <c r="R238"/>
  <c r="P238"/>
  <c r="S238" s="1"/>
  <c r="N238"/>
  <c r="L238"/>
  <c r="K238"/>
  <c r="V237"/>
  <c r="R237"/>
  <c r="P237"/>
  <c r="S237" s="1"/>
  <c r="N237"/>
  <c r="L237"/>
  <c r="V237" s="1" a="1"/>
  <c r="K237"/>
  <c r="R236"/>
  <c r="P236"/>
  <c r="S236" s="1"/>
  <c r="N236"/>
  <c r="L236"/>
  <c r="V236" s="1" a="1"/>
  <c r="V236" s="1"/>
  <c r="K236"/>
  <c r="V235"/>
  <c r="R235"/>
  <c r="P235"/>
  <c r="S235" s="1"/>
  <c r="N235"/>
  <c r="L235"/>
  <c r="V235" s="1" a="1"/>
  <c r="K235"/>
  <c r="R234"/>
  <c r="P234"/>
  <c r="S234" s="1"/>
  <c r="N234"/>
  <c r="L234"/>
  <c r="V234" s="1" a="1"/>
  <c r="V234" s="1"/>
  <c r="K234"/>
  <c r="V233"/>
  <c r="R233"/>
  <c r="P233"/>
  <c r="S233" s="1"/>
  <c r="N233"/>
  <c r="L233"/>
  <c r="V233" s="1" a="1"/>
  <c r="K233"/>
  <c r="R232"/>
  <c r="P232"/>
  <c r="S232" s="1"/>
  <c r="N232"/>
  <c r="L232"/>
  <c r="V232" s="1" a="1"/>
  <c r="V232" s="1"/>
  <c r="K232"/>
  <c r="V231"/>
  <c r="R231"/>
  <c r="P231"/>
  <c r="S231" s="1"/>
  <c r="N231"/>
  <c r="L231"/>
  <c r="V231" s="1" a="1"/>
  <c r="K231"/>
  <c r="R230"/>
  <c r="P230"/>
  <c r="S230" s="1"/>
  <c r="N230"/>
  <c r="L230"/>
  <c r="V230" s="1" a="1"/>
  <c r="V230" s="1"/>
  <c r="K230"/>
  <c r="V229"/>
  <c r="R229"/>
  <c r="P229"/>
  <c r="S229" s="1"/>
  <c r="N229"/>
  <c r="L229"/>
  <c r="V229" s="1" a="1"/>
  <c r="K229"/>
  <c r="R228"/>
  <c r="P228"/>
  <c r="S228" s="1"/>
  <c r="N228"/>
  <c r="L228"/>
  <c r="V228" s="1" a="1"/>
  <c r="V228" s="1"/>
  <c r="K228"/>
  <c r="V227"/>
  <c r="R227"/>
  <c r="P227"/>
  <c r="S227" s="1"/>
  <c r="N227"/>
  <c r="L227"/>
  <c r="V227" s="1" a="1"/>
  <c r="K227"/>
  <c r="R226"/>
  <c r="P226"/>
  <c r="S226" s="1"/>
  <c r="N226"/>
  <c r="L226"/>
  <c r="V226" s="1" a="1"/>
  <c r="V226" s="1"/>
  <c r="K226"/>
  <c r="V225"/>
  <c r="R225"/>
  <c r="P225"/>
  <c r="S225" s="1"/>
  <c r="N225"/>
  <c r="L225"/>
  <c r="V225" s="1" a="1"/>
  <c r="K225"/>
  <c r="R224"/>
  <c r="P224"/>
  <c r="S224" s="1"/>
  <c r="N224"/>
  <c r="L224"/>
  <c r="K224"/>
  <c r="R223"/>
  <c r="P223"/>
  <c r="S223" s="1"/>
  <c r="N223"/>
  <c r="L223"/>
  <c r="K223"/>
  <c r="R222"/>
  <c r="P222"/>
  <c r="S222" s="1"/>
  <c r="N222"/>
  <c r="L222"/>
  <c r="V222" s="1" a="1"/>
  <c r="V222" s="1"/>
  <c r="K222"/>
  <c r="V221"/>
  <c r="R221"/>
  <c r="P221"/>
  <c r="S221" s="1"/>
  <c r="N221"/>
  <c r="L221"/>
  <c r="V221" s="1" a="1"/>
  <c r="K221"/>
  <c r="R220"/>
  <c r="P220"/>
  <c r="S220" s="1"/>
  <c r="N220"/>
  <c r="L220"/>
  <c r="V220" s="1" a="1"/>
  <c r="V220" s="1"/>
  <c r="K220"/>
  <c r="V219"/>
  <c r="R219"/>
  <c r="P219"/>
  <c r="S219" s="1"/>
  <c r="N219"/>
  <c r="L219"/>
  <c r="V219" s="1" a="1"/>
  <c r="K219"/>
  <c r="R218"/>
  <c r="P218"/>
  <c r="S218" s="1"/>
  <c r="N218"/>
  <c r="L218"/>
  <c r="V218" s="1" a="1"/>
  <c r="V218" s="1"/>
  <c r="K218"/>
  <c r="V217"/>
  <c r="R217"/>
  <c r="P217"/>
  <c r="S217" s="1"/>
  <c r="N217"/>
  <c r="L217"/>
  <c r="V217" s="1" a="1"/>
  <c r="K217"/>
  <c r="R216"/>
  <c r="P216"/>
  <c r="S216" s="1"/>
  <c r="N216"/>
  <c r="L216"/>
  <c r="V216" s="1" a="1"/>
  <c r="V216" s="1"/>
  <c r="K216"/>
  <c r="R215"/>
  <c r="R408" s="1"/>
  <c r="P215"/>
  <c r="P408" s="1"/>
  <c r="O409" s="1" a="1"/>
  <c r="O409" s="1"/>
  <c r="N215"/>
  <c r="L215"/>
  <c r="K215"/>
  <c r="K408" s="1" a="1"/>
  <c r="K408" s="1"/>
  <c r="M211"/>
  <c r="U210"/>
  <c r="Y210" s="1"/>
  <c r="S210"/>
  <c r="W210" s="1"/>
  <c r="Y209"/>
  <c r="AA209" s="1"/>
  <c r="W209"/>
  <c r="Y208"/>
  <c r="W208"/>
  <c r="AA208" s="1"/>
  <c r="K208"/>
  <c r="C428" s="1"/>
  <c r="Y207"/>
  <c r="W207"/>
  <c r="AA207" s="1"/>
  <c r="K207"/>
  <c r="C427" s="1"/>
  <c r="Y206"/>
  <c r="W206"/>
  <c r="AA206" s="1"/>
  <c r="K206"/>
  <c r="C426" s="1"/>
  <c r="Y205"/>
  <c r="W205"/>
  <c r="AA205" s="1"/>
  <c r="Y204"/>
  <c r="AA204" s="1"/>
  <c r="W204"/>
  <c r="I204"/>
  <c r="K204" s="1" a="1"/>
  <c r="K204" s="1"/>
  <c r="Y203"/>
  <c r="AA203" s="1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S198" s="1"/>
  <c r="N198"/>
  <c r="L198"/>
  <c r="V198" s="1" a="1"/>
  <c r="V198" s="1"/>
  <c r="K198"/>
  <c r="R197"/>
  <c r="P197"/>
  <c r="S197" s="1"/>
  <c r="N197"/>
  <c r="L197"/>
  <c r="V197" s="1" a="1"/>
  <c r="V197" s="1"/>
  <c r="K197"/>
  <c r="R196"/>
  <c r="P196"/>
  <c r="S196" s="1"/>
  <c r="N196"/>
  <c r="L196"/>
  <c r="V196" s="1" a="1"/>
  <c r="V196" s="1"/>
  <c r="K196"/>
  <c r="R195"/>
  <c r="P195"/>
  <c r="S195" s="1"/>
  <c r="N195"/>
  <c r="L195"/>
  <c r="V195" s="1" a="1"/>
  <c r="V195" s="1"/>
  <c r="K195"/>
  <c r="R194"/>
  <c r="P194"/>
  <c r="S194" s="1"/>
  <c r="N194"/>
  <c r="L194"/>
  <c r="K194"/>
  <c r="R193"/>
  <c r="P193"/>
  <c r="S193" s="1"/>
  <c r="N193"/>
  <c r="L193"/>
  <c r="K193"/>
  <c r="R192"/>
  <c r="P192"/>
  <c r="S192" s="1"/>
  <c r="N192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V189" s="1" a="1"/>
  <c r="V189" s="1"/>
  <c r="K189"/>
  <c r="R188"/>
  <c r="P188"/>
  <c r="S188" s="1"/>
  <c r="N188"/>
  <c r="L188"/>
  <c r="V188" s="1" a="1"/>
  <c r="V188" s="1"/>
  <c r="K188"/>
  <c r="R187"/>
  <c r="P187"/>
  <c r="S187" s="1"/>
  <c r="N187"/>
  <c r="L187"/>
  <c r="V187" s="1" a="1"/>
  <c r="V187" s="1"/>
  <c r="K187"/>
  <c r="R186"/>
  <c r="P186"/>
  <c r="S186" s="1"/>
  <c r="N186"/>
  <c r="L186"/>
  <c r="V186" s="1" a="1"/>
  <c r="V186" s="1"/>
  <c r="K186"/>
  <c r="R185"/>
  <c r="P185"/>
  <c r="S185" s="1"/>
  <c r="N185"/>
  <c r="L185"/>
  <c r="V185" s="1" a="1"/>
  <c r="V185" s="1"/>
  <c r="K185"/>
  <c r="R184"/>
  <c r="P184"/>
  <c r="S184" s="1"/>
  <c r="N184"/>
  <c r="L184"/>
  <c r="V184" s="1" a="1"/>
  <c r="V184" s="1"/>
  <c r="K184"/>
  <c r="R183"/>
  <c r="P183"/>
  <c r="S183" s="1"/>
  <c r="N183"/>
  <c r="L183"/>
  <c r="V183" s="1" a="1"/>
  <c r="V183" s="1"/>
  <c r="K183"/>
  <c r="R182"/>
  <c r="P182"/>
  <c r="S182" s="1"/>
  <c r="N182"/>
  <c r="L182"/>
  <c r="V182" s="1" a="1"/>
  <c r="V182" s="1"/>
  <c r="K182"/>
  <c r="R181"/>
  <c r="P181"/>
  <c r="S181" s="1"/>
  <c r="N181"/>
  <c r="L181"/>
  <c r="V181" s="1" a="1"/>
  <c r="V181" s="1"/>
  <c r="K181"/>
  <c r="R180"/>
  <c r="P180"/>
  <c r="S180" s="1"/>
  <c r="N180"/>
  <c r="L180"/>
  <c r="V180" s="1" a="1"/>
  <c r="V180" s="1"/>
  <c r="K180"/>
  <c r="R179"/>
  <c r="P179"/>
  <c r="S179" s="1"/>
  <c r="N179"/>
  <c r="L179"/>
  <c r="V179" s="1" a="1"/>
  <c r="V179" s="1"/>
  <c r="K179"/>
  <c r="R178"/>
  <c r="P178"/>
  <c r="S178" s="1"/>
  <c r="N178"/>
  <c r="L178"/>
  <c r="V178" s="1" a="1"/>
  <c r="V178" s="1"/>
  <c r="K178"/>
  <c r="R177"/>
  <c r="P177"/>
  <c r="S177" s="1"/>
  <c r="N177"/>
  <c r="L177"/>
  <c r="V177" s="1" a="1"/>
  <c r="V177" s="1"/>
  <c r="K177"/>
  <c r="R176"/>
  <c r="P176"/>
  <c r="S176" s="1"/>
  <c r="N176"/>
  <c r="L176"/>
  <c r="V176" s="1" a="1"/>
  <c r="V176" s="1"/>
  <c r="K176"/>
  <c r="R175"/>
  <c r="P175"/>
  <c r="S175" s="1"/>
  <c r="N175"/>
  <c r="L175"/>
  <c r="V175" s="1" a="1"/>
  <c r="V175" s="1"/>
  <c r="K175"/>
  <c r="R174"/>
  <c r="P174"/>
  <c r="S174" s="1"/>
  <c r="N174"/>
  <c r="L174"/>
  <c r="V174" s="1" a="1"/>
  <c r="V174" s="1"/>
  <c r="K174"/>
  <c r="R173"/>
  <c r="P173"/>
  <c r="S173" s="1"/>
  <c r="N173"/>
  <c r="L173"/>
  <c r="V173" s="1" a="1"/>
  <c r="V173" s="1"/>
  <c r="K173"/>
  <c r="R172"/>
  <c r="P172"/>
  <c r="S172" s="1"/>
  <c r="N172"/>
  <c r="L172"/>
  <c r="V172" s="1" a="1"/>
  <c r="V172" s="1"/>
  <c r="K172"/>
  <c r="R171"/>
  <c r="P171"/>
  <c r="S171" s="1"/>
  <c r="N171"/>
  <c r="L171"/>
  <c r="V171" s="1" a="1"/>
  <c r="V171" s="1"/>
  <c r="K171"/>
  <c r="R170"/>
  <c r="P170"/>
  <c r="S170" s="1"/>
  <c r="N170"/>
  <c r="L170"/>
  <c r="V170" s="1" a="1"/>
  <c r="V170" s="1"/>
  <c r="K170"/>
  <c r="R169"/>
  <c r="P169"/>
  <c r="S169" s="1"/>
  <c r="N169"/>
  <c r="L169"/>
  <c r="V169" s="1" a="1"/>
  <c r="V169" s="1"/>
  <c r="K169"/>
  <c r="R168"/>
  <c r="P168"/>
  <c r="S168" s="1"/>
  <c r="N168"/>
  <c r="L168"/>
  <c r="V168" s="1" a="1"/>
  <c r="V168" s="1"/>
  <c r="K168"/>
  <c r="R167"/>
  <c r="P167"/>
  <c r="S167" s="1"/>
  <c r="N167"/>
  <c r="L167"/>
  <c r="K167"/>
  <c r="R166"/>
  <c r="P166"/>
  <c r="S166" s="1"/>
  <c r="N166"/>
  <c r="L166"/>
  <c r="K166"/>
  <c r="R165"/>
  <c r="P165"/>
  <c r="S165" s="1"/>
  <c r="N165"/>
  <c r="L165"/>
  <c r="K165"/>
  <c r="R164"/>
  <c r="P164"/>
  <c r="S164" s="1"/>
  <c r="N164"/>
  <c r="L164"/>
  <c r="K164"/>
  <c r="R163"/>
  <c r="P163"/>
  <c r="S163" s="1"/>
  <c r="N163"/>
  <c r="L163"/>
  <c r="K163"/>
  <c r="R162"/>
  <c r="P162"/>
  <c r="S162" s="1"/>
  <c r="N162"/>
  <c r="L162"/>
  <c r="K162"/>
  <c r="R161"/>
  <c r="P161"/>
  <c r="S161" s="1"/>
  <c r="N161"/>
  <c r="L161"/>
  <c r="K161"/>
  <c r="R160"/>
  <c r="P160"/>
  <c r="S160" s="1"/>
  <c r="N160"/>
  <c r="L160"/>
  <c r="K160"/>
  <c r="R159"/>
  <c r="P159"/>
  <c r="S159" s="1"/>
  <c r="N159"/>
  <c r="L159"/>
  <c r="K159"/>
  <c r="R158"/>
  <c r="P158"/>
  <c r="S158" s="1"/>
  <c r="N158"/>
  <c r="L158"/>
  <c r="K158"/>
  <c r="R157"/>
  <c r="P157"/>
  <c r="S157" s="1"/>
  <c r="N157"/>
  <c r="L157"/>
  <c r="K157"/>
  <c r="R156"/>
  <c r="P156"/>
  <c r="S156" s="1"/>
  <c r="N156"/>
  <c r="L156"/>
  <c r="K156"/>
  <c r="R155"/>
  <c r="P155"/>
  <c r="S155" s="1"/>
  <c r="N155"/>
  <c r="L155"/>
  <c r="K155"/>
  <c r="R154"/>
  <c r="P154"/>
  <c r="S154" s="1"/>
  <c r="N154"/>
  <c r="L154"/>
  <c r="K154"/>
  <c r="R153"/>
  <c r="P153"/>
  <c r="S153" s="1"/>
  <c r="N153"/>
  <c r="L153"/>
  <c r="K153"/>
  <c r="R152"/>
  <c r="P152"/>
  <c r="S152" s="1"/>
  <c r="N152"/>
  <c r="L152"/>
  <c r="K152"/>
  <c r="R151"/>
  <c r="P151"/>
  <c r="S151" s="1"/>
  <c r="N151"/>
  <c r="L151"/>
  <c r="K151"/>
  <c r="R150"/>
  <c r="P150"/>
  <c r="S150" s="1"/>
  <c r="N150"/>
  <c r="L150"/>
  <c r="K150"/>
  <c r="R149"/>
  <c r="P149"/>
  <c r="S149" s="1"/>
  <c r="N149"/>
  <c r="L149"/>
  <c r="V149" s="1" a="1"/>
  <c r="V149" s="1"/>
  <c r="K149"/>
  <c r="R148"/>
  <c r="P148"/>
  <c r="S148" s="1"/>
  <c r="N148"/>
  <c r="L148"/>
  <c r="V148" s="1" a="1"/>
  <c r="V148" s="1"/>
  <c r="K148"/>
  <c r="R147"/>
  <c r="P147"/>
  <c r="S147" s="1"/>
  <c r="N147"/>
  <c r="L147"/>
  <c r="V147" s="1" a="1"/>
  <c r="V147" s="1"/>
  <c r="K147"/>
  <c r="R146"/>
  <c r="P146"/>
  <c r="S146" s="1"/>
  <c r="N146"/>
  <c r="L146"/>
  <c r="V146" s="1" a="1"/>
  <c r="V146" s="1"/>
  <c r="K146"/>
  <c r="R145"/>
  <c r="P145"/>
  <c r="S145" s="1"/>
  <c r="N145"/>
  <c r="L145"/>
  <c r="K145"/>
  <c r="R144"/>
  <c r="P144"/>
  <c r="S144" s="1"/>
  <c r="N144"/>
  <c r="L144"/>
  <c r="K144"/>
  <c r="R143"/>
  <c r="P143"/>
  <c r="S143" s="1"/>
  <c r="N143"/>
  <c r="L143"/>
  <c r="V143" s="1" a="1"/>
  <c r="V143" s="1"/>
  <c r="K143"/>
  <c r="R142"/>
  <c r="P142"/>
  <c r="S142" s="1"/>
  <c r="N142"/>
  <c r="L142"/>
  <c r="V142" s="1" a="1"/>
  <c r="V142" s="1"/>
  <c r="K142"/>
  <c r="R141"/>
  <c r="P141"/>
  <c r="S141" s="1"/>
  <c r="N141"/>
  <c r="L141"/>
  <c r="V141" s="1" a="1"/>
  <c r="V141" s="1"/>
  <c r="K141"/>
  <c r="R140"/>
  <c r="P140"/>
  <c r="S140" s="1"/>
  <c r="N140"/>
  <c r="L140"/>
  <c r="V140" s="1" a="1"/>
  <c r="V140" s="1"/>
  <c r="K140"/>
  <c r="R139"/>
  <c r="P139"/>
  <c r="S139" s="1"/>
  <c r="N139"/>
  <c r="L139"/>
  <c r="V139" s="1" a="1"/>
  <c r="V139" s="1"/>
  <c r="K139"/>
  <c r="R138"/>
  <c r="P138"/>
  <c r="S138" s="1"/>
  <c r="N138"/>
  <c r="L138"/>
  <c r="V138" s="1" a="1"/>
  <c r="V138" s="1"/>
  <c r="K138"/>
  <c r="R137"/>
  <c r="P137"/>
  <c r="S137" s="1"/>
  <c r="N137"/>
  <c r="L137"/>
  <c r="V137" s="1" a="1"/>
  <c r="V137" s="1"/>
  <c r="K137"/>
  <c r="R136"/>
  <c r="P136"/>
  <c r="S136" s="1"/>
  <c r="N136"/>
  <c r="L136"/>
  <c r="V136" s="1" a="1"/>
  <c r="V136" s="1"/>
  <c r="K136"/>
  <c r="R135"/>
  <c r="P135"/>
  <c r="S135" s="1"/>
  <c r="N135"/>
  <c r="L135"/>
  <c r="V135" s="1" a="1"/>
  <c r="V135" s="1"/>
  <c r="K135"/>
  <c r="R134"/>
  <c r="P134"/>
  <c r="S134" s="1"/>
  <c r="N134"/>
  <c r="L134"/>
  <c r="V134" s="1" a="1"/>
  <c r="V134" s="1"/>
  <c r="K134"/>
  <c r="R133"/>
  <c r="P133"/>
  <c r="S133" s="1"/>
  <c r="N133"/>
  <c r="L133"/>
  <c r="V133" s="1" a="1"/>
  <c r="V133" s="1"/>
  <c r="K133"/>
  <c r="R132"/>
  <c r="P132"/>
  <c r="S132" s="1"/>
  <c r="N132"/>
  <c r="L132"/>
  <c r="V132" s="1" a="1"/>
  <c r="V132" s="1"/>
  <c r="K132"/>
  <c r="R131"/>
  <c r="P131"/>
  <c r="S131" s="1"/>
  <c r="N131"/>
  <c r="L131"/>
  <c r="K131"/>
  <c r="R130"/>
  <c r="P130"/>
  <c r="S130" s="1"/>
  <c r="N130"/>
  <c r="L130"/>
  <c r="K130"/>
  <c r="R129"/>
  <c r="P129"/>
  <c r="S129" s="1"/>
  <c r="N129"/>
  <c r="L129"/>
  <c r="V129" s="1" a="1"/>
  <c r="V129" s="1"/>
  <c r="K129"/>
  <c r="R128"/>
  <c r="P128"/>
  <c r="S128" s="1"/>
  <c r="N128"/>
  <c r="L128"/>
  <c r="V128" s="1" a="1"/>
  <c r="V128" s="1"/>
  <c r="K128"/>
  <c r="R127"/>
  <c r="P127"/>
  <c r="S127" s="1"/>
  <c r="N127"/>
  <c r="L127"/>
  <c r="V127" s="1" a="1"/>
  <c r="V127" s="1"/>
  <c r="K127"/>
  <c r="R126"/>
  <c r="P126"/>
  <c r="S126" s="1"/>
  <c r="N126"/>
  <c r="L126"/>
  <c r="V126" s="1" a="1"/>
  <c r="V126" s="1"/>
  <c r="K126"/>
  <c r="R125"/>
  <c r="P125"/>
  <c r="S125" s="1"/>
  <c r="N125"/>
  <c r="L125"/>
  <c r="K125"/>
  <c r="R124"/>
  <c r="P124"/>
  <c r="S124" s="1"/>
  <c r="N124"/>
  <c r="L124"/>
  <c r="K124"/>
  <c r="R123"/>
  <c r="P123"/>
  <c r="S123" s="1"/>
  <c r="N123"/>
  <c r="L123"/>
  <c r="K123"/>
  <c r="R122"/>
  <c r="P122"/>
  <c r="S122" s="1"/>
  <c r="N122"/>
  <c r="L122"/>
  <c r="K122"/>
  <c r="R121"/>
  <c r="P121"/>
  <c r="S121" s="1"/>
  <c r="N121"/>
  <c r="L121"/>
  <c r="K121"/>
  <c r="R120"/>
  <c r="P120"/>
  <c r="S120" s="1"/>
  <c r="N120"/>
  <c r="L120"/>
  <c r="V120" s="1" a="1"/>
  <c r="V120" s="1"/>
  <c r="K120"/>
  <c r="R119"/>
  <c r="P119"/>
  <c r="S119" s="1"/>
  <c r="N119"/>
  <c r="L119"/>
  <c r="V119" s="1" a="1"/>
  <c r="V119" s="1"/>
  <c r="K119"/>
  <c r="R118"/>
  <c r="P118"/>
  <c r="S118" s="1"/>
  <c r="N118"/>
  <c r="L118"/>
  <c r="V118" s="1" a="1"/>
  <c r="V118" s="1"/>
  <c r="K118"/>
  <c r="R117"/>
  <c r="P117"/>
  <c r="S117" s="1"/>
  <c r="N117"/>
  <c r="L117"/>
  <c r="V117" s="1" a="1"/>
  <c r="V117" s="1"/>
  <c r="K117"/>
  <c r="R116"/>
  <c r="P116"/>
  <c r="S116" s="1"/>
  <c r="N116"/>
  <c r="L116"/>
  <c r="V116" s="1" a="1"/>
  <c r="V116" s="1"/>
  <c r="K116"/>
  <c r="R115"/>
  <c r="P115"/>
  <c r="S115" s="1"/>
  <c r="N115"/>
  <c r="L115"/>
  <c r="V115" s="1" a="1"/>
  <c r="V115" s="1"/>
  <c r="K115"/>
  <c r="R114"/>
  <c r="P114"/>
  <c r="S114" s="1"/>
  <c r="N114"/>
  <c r="L114"/>
  <c r="V114" s="1" a="1"/>
  <c r="V114" s="1"/>
  <c r="K114"/>
  <c r="R113"/>
  <c r="P113"/>
  <c r="S113" s="1"/>
  <c r="N113"/>
  <c r="L113"/>
  <c r="V113" s="1" a="1"/>
  <c r="V113" s="1"/>
  <c r="K113"/>
  <c r="R112"/>
  <c r="P112"/>
  <c r="S112" s="1"/>
  <c r="N112"/>
  <c r="L112"/>
  <c r="V112" s="1" a="1"/>
  <c r="V112" s="1"/>
  <c r="K112"/>
  <c r="R111"/>
  <c r="P111"/>
  <c r="S111" s="1"/>
  <c r="N111"/>
  <c r="L111"/>
  <c r="V111" s="1" a="1"/>
  <c r="V111" s="1"/>
  <c r="K111"/>
  <c r="R110"/>
  <c r="P110"/>
  <c r="S110" s="1"/>
  <c r="N110"/>
  <c r="L110"/>
  <c r="K110"/>
  <c r="R109"/>
  <c r="P109"/>
  <c r="S109" s="1"/>
  <c r="N109"/>
  <c r="L109"/>
  <c r="K109"/>
  <c r="R108"/>
  <c r="P108"/>
  <c r="S108" s="1"/>
  <c r="N108"/>
  <c r="L108"/>
  <c r="K108"/>
  <c r="R107"/>
  <c r="P107"/>
  <c r="S107" s="1"/>
  <c r="N107"/>
  <c r="L107"/>
  <c r="V107" s="1" a="1"/>
  <c r="V107" s="1"/>
  <c r="K107"/>
  <c r="R106"/>
  <c r="P106"/>
  <c r="S106" s="1"/>
  <c r="N106"/>
  <c r="L106"/>
  <c r="V106" s="1" a="1"/>
  <c r="V106" s="1"/>
  <c r="K106"/>
  <c r="R105"/>
  <c r="P105"/>
  <c r="S105" s="1"/>
  <c r="N105"/>
  <c r="L105"/>
  <c r="K105"/>
  <c r="R104"/>
  <c r="P104"/>
  <c r="S104" s="1"/>
  <c r="N104"/>
  <c r="L104"/>
  <c r="K104"/>
  <c r="R103"/>
  <c r="P103"/>
  <c r="S103" s="1"/>
  <c r="N103"/>
  <c r="L103"/>
  <c r="K103"/>
  <c r="R102"/>
  <c r="P102"/>
  <c r="S102" s="1"/>
  <c r="N102"/>
  <c r="L102"/>
  <c r="V102" s="1" a="1"/>
  <c r="V102" s="1"/>
  <c r="K102"/>
  <c r="R101"/>
  <c r="P101"/>
  <c r="S101" s="1"/>
  <c r="N101"/>
  <c r="L101"/>
  <c r="V101" s="1" a="1"/>
  <c r="V101" s="1"/>
  <c r="K101"/>
  <c r="R100"/>
  <c r="P100"/>
  <c r="S100" s="1"/>
  <c r="N100"/>
  <c r="L100"/>
  <c r="V100" s="1" a="1"/>
  <c r="V100" s="1"/>
  <c r="K100"/>
  <c r="R99"/>
  <c r="P99"/>
  <c r="S99" s="1"/>
  <c r="N99"/>
  <c r="L99"/>
  <c r="V99" s="1" a="1"/>
  <c r="V99" s="1"/>
  <c r="K99"/>
  <c r="R98"/>
  <c r="P98"/>
  <c r="S98" s="1"/>
  <c r="N98"/>
  <c r="L98"/>
  <c r="V98" s="1" a="1"/>
  <c r="V98" s="1"/>
  <c r="K98"/>
  <c r="R97"/>
  <c r="P97"/>
  <c r="S97" s="1"/>
  <c r="N97"/>
  <c r="L97"/>
  <c r="V97" s="1" a="1"/>
  <c r="V97" s="1"/>
  <c r="K97"/>
  <c r="R96"/>
  <c r="P96"/>
  <c r="S96" s="1"/>
  <c r="N96"/>
  <c r="L96"/>
  <c r="V96" s="1" a="1"/>
  <c r="V96" s="1"/>
  <c r="K96"/>
  <c r="R95"/>
  <c r="P95"/>
  <c r="S95" s="1"/>
  <c r="N95"/>
  <c r="L95"/>
  <c r="V95" s="1" a="1"/>
  <c r="V95" s="1"/>
  <c r="K95"/>
  <c r="R94"/>
  <c r="P94"/>
  <c r="S94" s="1"/>
  <c r="N94"/>
  <c r="L94"/>
  <c r="V94" s="1" a="1"/>
  <c r="V94" s="1"/>
  <c r="K94"/>
  <c r="R93"/>
  <c r="P93"/>
  <c r="S93" s="1"/>
  <c r="N93"/>
  <c r="L93"/>
  <c r="V93" s="1" a="1"/>
  <c r="V93" s="1"/>
  <c r="K93"/>
  <c r="R92"/>
  <c r="P92"/>
  <c r="S92" s="1"/>
  <c r="N92"/>
  <c r="L92"/>
  <c r="V92" s="1" a="1"/>
  <c r="V92" s="1"/>
  <c r="K92"/>
  <c r="R91"/>
  <c r="P91"/>
  <c r="S91" s="1"/>
  <c r="N91"/>
  <c r="L91"/>
  <c r="V91" s="1" a="1"/>
  <c r="V91" s="1"/>
  <c r="K91"/>
  <c r="R90"/>
  <c r="P90"/>
  <c r="S90" s="1"/>
  <c r="N90"/>
  <c r="L90"/>
  <c r="V90" s="1" a="1"/>
  <c r="V90" s="1"/>
  <c r="K90"/>
  <c r="R89"/>
  <c r="P89"/>
  <c r="S89" s="1"/>
  <c r="N89"/>
  <c r="L89"/>
  <c r="V89" s="1" a="1"/>
  <c r="V89" s="1"/>
  <c r="K89"/>
  <c r="R88"/>
  <c r="P88"/>
  <c r="S88" s="1"/>
  <c r="N88"/>
  <c r="L88"/>
  <c r="V88" s="1" a="1"/>
  <c r="V88" s="1"/>
  <c r="K88"/>
  <c r="R87"/>
  <c r="P87"/>
  <c r="S87" s="1"/>
  <c r="N87"/>
  <c r="L87"/>
  <c r="K87"/>
  <c r="R86"/>
  <c r="P86"/>
  <c r="S86" s="1"/>
  <c r="N86"/>
  <c r="L86"/>
  <c r="K86"/>
  <c r="R85"/>
  <c r="P85"/>
  <c r="S85" s="1"/>
  <c r="N85"/>
  <c r="L85"/>
  <c r="K85"/>
  <c r="R84"/>
  <c r="P84"/>
  <c r="S84" s="1"/>
  <c r="N84"/>
  <c r="L84"/>
  <c r="V84" s="1" a="1"/>
  <c r="V84" s="1"/>
  <c r="K84"/>
  <c r="R83"/>
  <c r="P83"/>
  <c r="S83" s="1"/>
  <c r="N83"/>
  <c r="L83"/>
  <c r="K83"/>
  <c r="R82"/>
  <c r="P82"/>
  <c r="S82" s="1"/>
  <c r="N82"/>
  <c r="L82"/>
  <c r="V82" s="1" a="1"/>
  <c r="V82" s="1"/>
  <c r="K82"/>
  <c r="R81"/>
  <c r="P81"/>
  <c r="S81" s="1"/>
  <c r="N81"/>
  <c r="L81"/>
  <c r="K81"/>
  <c r="R80"/>
  <c r="P80"/>
  <c r="S80" s="1"/>
  <c r="N80"/>
  <c r="L80"/>
  <c r="V80" s="1" a="1"/>
  <c r="V80" s="1"/>
  <c r="K80"/>
  <c r="R79"/>
  <c r="P79"/>
  <c r="S79" s="1"/>
  <c r="N79"/>
  <c r="L79"/>
  <c r="V79" s="1" a="1"/>
  <c r="V79" s="1"/>
  <c r="K79"/>
  <c r="R78"/>
  <c r="P78"/>
  <c r="S78" s="1"/>
  <c r="N78"/>
  <c r="L78"/>
  <c r="V78" s="1" a="1"/>
  <c r="V78" s="1"/>
  <c r="K78"/>
  <c r="R77"/>
  <c r="P77"/>
  <c r="S77" s="1"/>
  <c r="N77"/>
  <c r="L77"/>
  <c r="V77" s="1" a="1"/>
  <c r="V77" s="1"/>
  <c r="K77"/>
  <c r="R76"/>
  <c r="P76"/>
  <c r="S76" s="1"/>
  <c r="N76"/>
  <c r="L76"/>
  <c r="V76" s="1" a="1"/>
  <c r="V76" s="1"/>
  <c r="K76"/>
  <c r="R75"/>
  <c r="P75"/>
  <c r="S75" s="1"/>
  <c r="N75"/>
  <c r="L75"/>
  <c r="V75" s="1" a="1"/>
  <c r="V75" s="1"/>
  <c r="K75"/>
  <c r="R74"/>
  <c r="P74"/>
  <c r="S74" s="1"/>
  <c r="N74"/>
  <c r="L74"/>
  <c r="V74" s="1" a="1"/>
  <c r="V74" s="1"/>
  <c r="K74"/>
  <c r="R73"/>
  <c r="P73"/>
  <c r="S73" s="1"/>
  <c r="N73"/>
  <c r="L73"/>
  <c r="V73" s="1" a="1"/>
  <c r="V73" s="1"/>
  <c r="K73"/>
  <c r="R72"/>
  <c r="P72"/>
  <c r="S72" s="1"/>
  <c r="N72"/>
  <c r="L72"/>
  <c r="V72" s="1" a="1"/>
  <c r="V72" s="1"/>
  <c r="K72"/>
  <c r="R71"/>
  <c r="P71"/>
  <c r="S71" s="1"/>
  <c r="N71"/>
  <c r="L71"/>
  <c r="V71" s="1" a="1"/>
  <c r="V71" s="1"/>
  <c r="K71"/>
  <c r="R70"/>
  <c r="P70"/>
  <c r="S70" s="1"/>
  <c r="N70"/>
  <c r="L70"/>
  <c r="V70" s="1" a="1"/>
  <c r="V70" s="1"/>
  <c r="K70"/>
  <c r="R69"/>
  <c r="P69"/>
  <c r="S69" s="1"/>
  <c r="N69"/>
  <c r="L69"/>
  <c r="K69"/>
  <c r="R68"/>
  <c r="P68"/>
  <c r="S68" s="1"/>
  <c r="N68"/>
  <c r="L68"/>
  <c r="K68"/>
  <c r="R67"/>
  <c r="P67"/>
  <c r="S67" s="1"/>
  <c r="N67"/>
  <c r="L67"/>
  <c r="K67"/>
  <c r="R66"/>
  <c r="P66"/>
  <c r="S66" s="1"/>
  <c r="N66"/>
  <c r="L66"/>
  <c r="K66"/>
  <c r="R65"/>
  <c r="P65"/>
  <c r="S65" s="1"/>
  <c r="N65"/>
  <c r="L65"/>
  <c r="K65"/>
  <c r="R64"/>
  <c r="P64"/>
  <c r="S64" s="1"/>
  <c r="N64"/>
  <c r="L64"/>
  <c r="V64" s="1" a="1"/>
  <c r="V64" s="1"/>
  <c r="K64"/>
  <c r="R63"/>
  <c r="P63"/>
  <c r="S63" s="1"/>
  <c r="N63"/>
  <c r="L63"/>
  <c r="V63" s="1" a="1"/>
  <c r="V63" s="1"/>
  <c r="K63"/>
  <c r="R62"/>
  <c r="P62"/>
  <c r="S62" s="1"/>
  <c r="N62"/>
  <c r="L62"/>
  <c r="V62" s="1" a="1"/>
  <c r="V62" s="1"/>
  <c r="K62"/>
  <c r="R61"/>
  <c r="P61"/>
  <c r="S61" s="1"/>
  <c r="N61"/>
  <c r="L61"/>
  <c r="K61"/>
  <c r="R60"/>
  <c r="P60"/>
  <c r="S60" s="1"/>
  <c r="N60"/>
  <c r="L60"/>
  <c r="K60"/>
  <c r="R59"/>
  <c r="P59"/>
  <c r="S59" s="1"/>
  <c r="N59"/>
  <c r="L59"/>
  <c r="V59" s="1" a="1"/>
  <c r="V59" s="1"/>
  <c r="K59"/>
  <c r="R58"/>
  <c r="P58"/>
  <c r="S58" s="1"/>
  <c r="N58"/>
  <c r="L58"/>
  <c r="V58" s="1" a="1"/>
  <c r="V58" s="1"/>
  <c r="K58"/>
  <c r="R57"/>
  <c r="P57"/>
  <c r="S57" s="1"/>
  <c r="N57"/>
  <c r="L57"/>
  <c r="K57"/>
  <c r="R56"/>
  <c r="P56"/>
  <c r="S56" s="1"/>
  <c r="N56"/>
  <c r="L56"/>
  <c r="V56" s="1" a="1"/>
  <c r="V56" s="1"/>
  <c r="K56"/>
  <c r="R55"/>
  <c r="P55"/>
  <c r="S55" s="1"/>
  <c r="N55"/>
  <c r="L55"/>
  <c r="V55" s="1" a="1"/>
  <c r="V55" s="1"/>
  <c r="K55"/>
  <c r="R54"/>
  <c r="P54"/>
  <c r="S54" s="1"/>
  <c r="N54"/>
  <c r="L54"/>
  <c r="V54" s="1" a="1"/>
  <c r="V54" s="1"/>
  <c r="K54"/>
  <c r="R53"/>
  <c r="P53"/>
  <c r="S53" s="1"/>
  <c r="N53"/>
  <c r="L53"/>
  <c r="V53" s="1" a="1"/>
  <c r="V53" s="1"/>
  <c r="K53"/>
  <c r="R52"/>
  <c r="P52"/>
  <c r="S52" s="1"/>
  <c r="N52"/>
  <c r="L52"/>
  <c r="V52" s="1" a="1"/>
  <c r="V52" s="1"/>
  <c r="K52"/>
  <c r="R51"/>
  <c r="P51"/>
  <c r="S51" s="1"/>
  <c r="N51"/>
  <c r="L51"/>
  <c r="V51" s="1" a="1"/>
  <c r="V51" s="1"/>
  <c r="K51"/>
  <c r="R50"/>
  <c r="P50"/>
  <c r="S50" s="1"/>
  <c r="N50"/>
  <c r="L50"/>
  <c r="V50" s="1" a="1"/>
  <c r="V50" s="1"/>
  <c r="K50"/>
  <c r="R49"/>
  <c r="P49"/>
  <c r="S49" s="1"/>
  <c r="N49"/>
  <c r="L49"/>
  <c r="K49"/>
  <c r="R48"/>
  <c r="P48"/>
  <c r="S48" s="1"/>
  <c r="N48"/>
  <c r="L48"/>
  <c r="K48"/>
  <c r="R47"/>
  <c r="P47"/>
  <c r="S47" s="1"/>
  <c r="N47"/>
  <c r="L47"/>
  <c r="K47"/>
  <c r="R46"/>
  <c r="P46"/>
  <c r="S46" s="1"/>
  <c r="N46"/>
  <c r="L46"/>
  <c r="K46"/>
  <c r="R45"/>
  <c r="P45"/>
  <c r="S45" s="1"/>
  <c r="N45"/>
  <c r="L45"/>
  <c r="V45" s="1" a="1"/>
  <c r="V45" s="1"/>
  <c r="K45"/>
  <c r="R44"/>
  <c r="P44"/>
  <c r="S44" s="1"/>
  <c r="N44"/>
  <c r="L44"/>
  <c r="V44" s="1" a="1"/>
  <c r="V44" s="1"/>
  <c r="K44"/>
  <c r="R43"/>
  <c r="P43"/>
  <c r="S43" s="1"/>
  <c r="N43"/>
  <c r="L43"/>
  <c r="V43" s="1" a="1"/>
  <c r="V43" s="1"/>
  <c r="K43"/>
  <c r="R42"/>
  <c r="P42"/>
  <c r="S42" s="1"/>
  <c r="N42"/>
  <c r="L42"/>
  <c r="V42" s="1" a="1"/>
  <c r="V42" s="1"/>
  <c r="K42"/>
  <c r="R41"/>
  <c r="P41"/>
  <c r="S41" s="1"/>
  <c r="N41"/>
  <c r="L41"/>
  <c r="V41" s="1" a="1"/>
  <c r="V41" s="1"/>
  <c r="K41"/>
  <c r="R40"/>
  <c r="P40"/>
  <c r="S40" s="1"/>
  <c r="N40"/>
  <c r="L40"/>
  <c r="K40"/>
  <c r="R39"/>
  <c r="P39"/>
  <c r="S39" s="1"/>
  <c r="N39"/>
  <c r="L39"/>
  <c r="K39"/>
  <c r="R38"/>
  <c r="P38"/>
  <c r="S38" s="1"/>
  <c r="N38"/>
  <c r="L38"/>
  <c r="K38"/>
  <c r="R37"/>
  <c r="P37"/>
  <c r="S37" s="1"/>
  <c r="N37"/>
  <c r="L37"/>
  <c r="V37" s="1" a="1"/>
  <c r="V37" s="1"/>
  <c r="K37"/>
  <c r="R36"/>
  <c r="P36"/>
  <c r="S36" s="1"/>
  <c r="N36"/>
  <c r="L36"/>
  <c r="V36" s="1" a="1"/>
  <c r="V36" s="1"/>
  <c r="K36"/>
  <c r="R35"/>
  <c r="P35"/>
  <c r="S35" s="1"/>
  <c r="N35"/>
  <c r="L35"/>
  <c r="V35" s="1" a="1"/>
  <c r="V35" s="1"/>
  <c r="K35"/>
  <c r="R34"/>
  <c r="P34"/>
  <c r="S34" s="1"/>
  <c r="N34"/>
  <c r="L34"/>
  <c r="V34" s="1" a="1"/>
  <c r="V34" s="1"/>
  <c r="K34"/>
  <c r="R33"/>
  <c r="P33"/>
  <c r="S33" s="1"/>
  <c r="N33"/>
  <c r="L33"/>
  <c r="V33" s="1" a="1"/>
  <c r="V33" s="1"/>
  <c r="K33"/>
  <c r="R32"/>
  <c r="P32"/>
  <c r="S32" s="1"/>
  <c r="N32"/>
  <c r="L32"/>
  <c r="V32" s="1" a="1"/>
  <c r="V32" s="1"/>
  <c r="K32"/>
  <c r="R31"/>
  <c r="P31"/>
  <c r="S31" s="1"/>
  <c r="N31"/>
  <c r="L31"/>
  <c r="V31" s="1" a="1"/>
  <c r="V31" s="1"/>
  <c r="K31"/>
  <c r="R30"/>
  <c r="P30"/>
  <c r="S30" s="1"/>
  <c r="N30"/>
  <c r="L30"/>
  <c r="V30" s="1" a="1"/>
  <c r="V30" s="1"/>
  <c r="K30"/>
  <c r="R29"/>
  <c r="P29"/>
  <c r="S29" s="1"/>
  <c r="N29"/>
  <c r="L29"/>
  <c r="K29"/>
  <c r="R28"/>
  <c r="P28"/>
  <c r="S28" s="1"/>
  <c r="N28"/>
  <c r="L28"/>
  <c r="V28" s="1" a="1"/>
  <c r="V28" s="1"/>
  <c r="K28"/>
  <c r="R27"/>
  <c r="P27"/>
  <c r="S27" s="1"/>
  <c r="N27"/>
  <c r="L27"/>
  <c r="V27" s="1" a="1"/>
  <c r="V27" s="1"/>
  <c r="K27"/>
  <c r="R26"/>
  <c r="P26"/>
  <c r="S26" s="1"/>
  <c r="N26"/>
  <c r="L26"/>
  <c r="V26" s="1" a="1"/>
  <c r="V26" s="1"/>
  <c r="K26"/>
  <c r="R25"/>
  <c r="P25"/>
  <c r="S25" s="1"/>
  <c r="N25"/>
  <c r="L25"/>
  <c r="V25" s="1" a="1"/>
  <c r="V25" s="1"/>
  <c r="K25"/>
  <c r="R24"/>
  <c r="P24"/>
  <c r="S24" s="1"/>
  <c r="N24"/>
  <c r="L24"/>
  <c r="V24" s="1" a="1"/>
  <c r="V24" s="1"/>
  <c r="K24"/>
  <c r="R23"/>
  <c r="P23"/>
  <c r="S23" s="1"/>
  <c r="N23"/>
  <c r="L23"/>
  <c r="V23" s="1" a="1"/>
  <c r="V23" s="1"/>
  <c r="K23"/>
  <c r="R22"/>
  <c r="P22"/>
  <c r="S22" s="1"/>
  <c r="N22"/>
  <c r="L22"/>
  <c r="V22" s="1" a="1"/>
  <c r="V22" s="1"/>
  <c r="K22"/>
  <c r="R21"/>
  <c r="P21"/>
  <c r="S21" s="1"/>
  <c r="N21"/>
  <c r="L21"/>
  <c r="V21" s="1" a="1"/>
  <c r="V21" s="1"/>
  <c r="K21"/>
  <c r="R20"/>
  <c r="P20"/>
  <c r="S20" s="1"/>
  <c r="N20"/>
  <c r="L20"/>
  <c r="V20" s="1" a="1"/>
  <c r="V20" s="1"/>
  <c r="K20"/>
  <c r="R19"/>
  <c r="P19"/>
  <c r="S19" s="1"/>
  <c r="N19"/>
  <c r="L19"/>
  <c r="V19" s="1" a="1"/>
  <c r="V19" s="1"/>
  <c r="K19"/>
  <c r="R18"/>
  <c r="P18"/>
  <c r="S18" s="1"/>
  <c r="N18"/>
  <c r="L18"/>
  <c r="V18" s="1" a="1"/>
  <c r="V18" s="1"/>
  <c r="K18"/>
  <c r="R17"/>
  <c r="P17"/>
  <c r="S17" s="1"/>
  <c r="N17"/>
  <c r="L17"/>
  <c r="V17" s="1" a="1"/>
  <c r="V17" s="1"/>
  <c r="K17"/>
  <c r="R16"/>
  <c r="P16"/>
  <c r="S16" s="1"/>
  <c r="N16"/>
  <c r="L16"/>
  <c r="V16" s="1" a="1"/>
  <c r="V16" s="1"/>
  <c r="K16"/>
  <c r="R15"/>
  <c r="P15"/>
  <c r="S15" s="1"/>
  <c r="N15"/>
  <c r="L15"/>
  <c r="K15"/>
  <c r="R14"/>
  <c r="P14"/>
  <c r="S14" s="1"/>
  <c r="N14"/>
  <c r="L14"/>
  <c r="K14"/>
  <c r="R13"/>
  <c r="P13"/>
  <c r="S13" s="1"/>
  <c r="N13"/>
  <c r="L13"/>
  <c r="V13" s="1" a="1"/>
  <c r="V13" s="1"/>
  <c r="K13"/>
  <c r="V12"/>
  <c r="R12"/>
  <c r="P12"/>
  <c r="S12" s="1"/>
  <c r="N12"/>
  <c r="L12"/>
  <c r="V12" s="1" a="1"/>
  <c r="K12"/>
  <c r="R11"/>
  <c r="P11"/>
  <c r="S11" s="1"/>
  <c r="N11"/>
  <c r="L11"/>
  <c r="V11" s="1" a="1"/>
  <c r="V11" s="1"/>
  <c r="K11"/>
  <c r="R10"/>
  <c r="P10"/>
  <c r="S10" s="1"/>
  <c r="N10"/>
  <c r="L10"/>
  <c r="K10"/>
  <c r="R9"/>
  <c r="P9"/>
  <c r="S9" s="1"/>
  <c r="N9"/>
  <c r="L9"/>
  <c r="K9"/>
  <c r="V8"/>
  <c r="R8"/>
  <c r="P8"/>
  <c r="S8" s="1"/>
  <c r="N8"/>
  <c r="L8"/>
  <c r="V8" s="1" a="1"/>
  <c r="K8"/>
  <c r="R7"/>
  <c r="P7"/>
  <c r="S7" s="1"/>
  <c r="N7"/>
  <c r="L7"/>
  <c r="V7" s="1" a="1"/>
  <c r="V7" s="1"/>
  <c r="K7"/>
  <c r="R6"/>
  <c r="R199" s="1"/>
  <c r="G424" s="1"/>
  <c r="P6"/>
  <c r="N6"/>
  <c r="L6"/>
  <c r="K6"/>
  <c r="K199" s="1" a="1"/>
  <c r="K199" s="1"/>
  <c r="C423" s="1"/>
  <c r="P450" i="489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V407" s="1" a="1"/>
  <c r="V407" s="1"/>
  <c r="K407"/>
  <c r="R406"/>
  <c r="N406"/>
  <c r="P406" s="1"/>
  <c r="S406" s="1"/>
  <c r="L406"/>
  <c r="K406"/>
  <c r="R405"/>
  <c r="N405"/>
  <c r="P405" s="1"/>
  <c r="S405" s="1"/>
  <c r="L405"/>
  <c r="K405"/>
  <c r="R404"/>
  <c r="P404"/>
  <c r="S404" s="1"/>
  <c r="N404"/>
  <c r="L404"/>
  <c r="V404" s="1" a="1"/>
  <c r="V404" s="1"/>
  <c r="K404"/>
  <c r="R403"/>
  <c r="N403"/>
  <c r="P403" s="1"/>
  <c r="S403" s="1"/>
  <c r="L403"/>
  <c r="K403"/>
  <c r="R402"/>
  <c r="P402"/>
  <c r="S402" s="1"/>
  <c r="N402"/>
  <c r="L402"/>
  <c r="K402"/>
  <c r="R401"/>
  <c r="N401"/>
  <c r="P401" s="1"/>
  <c r="S401" s="1"/>
  <c r="L401"/>
  <c r="K401"/>
  <c r="R400"/>
  <c r="P400"/>
  <c r="S400" s="1"/>
  <c r="N400"/>
  <c r="L400"/>
  <c r="K400"/>
  <c r="R399"/>
  <c r="N399"/>
  <c r="L399"/>
  <c r="K399"/>
  <c r="R398"/>
  <c r="P398"/>
  <c r="N398"/>
  <c r="L398"/>
  <c r="K398"/>
  <c r="R397"/>
  <c r="N397"/>
  <c r="P397" s="1"/>
  <c r="S397" s="1"/>
  <c r="L397"/>
  <c r="K397"/>
  <c r="R396"/>
  <c r="P396"/>
  <c r="N396"/>
  <c r="L396"/>
  <c r="K396"/>
  <c r="R395"/>
  <c r="P395"/>
  <c r="S395" s="1"/>
  <c r="N395"/>
  <c r="L395"/>
  <c r="K395"/>
  <c r="R394"/>
  <c r="N394"/>
  <c r="P394" s="1"/>
  <c r="S394" s="1"/>
  <c r="L394"/>
  <c r="K394"/>
  <c r="R393"/>
  <c r="N393"/>
  <c r="P393" s="1"/>
  <c r="S393" s="1"/>
  <c r="L393"/>
  <c r="K393"/>
  <c r="R392"/>
  <c r="P392"/>
  <c r="S392" s="1"/>
  <c r="N392"/>
  <c r="L392"/>
  <c r="K392"/>
  <c r="R391"/>
  <c r="P391"/>
  <c r="S391" s="1"/>
  <c r="N391"/>
  <c r="L391"/>
  <c r="K391"/>
  <c r="R390"/>
  <c r="N390"/>
  <c r="P390" s="1"/>
  <c r="S390" s="1"/>
  <c r="L390"/>
  <c r="K390"/>
  <c r="R389"/>
  <c r="N389"/>
  <c r="P389" s="1"/>
  <c r="S389" s="1"/>
  <c r="L389"/>
  <c r="K389"/>
  <c r="R388"/>
  <c r="P388"/>
  <c r="S388" s="1"/>
  <c r="N388"/>
  <c r="L388"/>
  <c r="K388"/>
  <c r="R387"/>
  <c r="P387"/>
  <c r="S387" s="1"/>
  <c r="N387"/>
  <c r="L387"/>
  <c r="K387"/>
  <c r="R386"/>
  <c r="N386"/>
  <c r="P386" s="1"/>
  <c r="S386" s="1"/>
  <c r="L386"/>
  <c r="K386"/>
  <c r="R385"/>
  <c r="N385"/>
  <c r="P385" s="1"/>
  <c r="S385" s="1"/>
  <c r="L385"/>
  <c r="K385"/>
  <c r="R384"/>
  <c r="P384"/>
  <c r="S384" s="1"/>
  <c r="N384"/>
  <c r="L384"/>
  <c r="K384"/>
  <c r="R383"/>
  <c r="P383"/>
  <c r="S383" s="1"/>
  <c r="N383"/>
  <c r="L383"/>
  <c r="K383"/>
  <c r="R382"/>
  <c r="N382"/>
  <c r="P382" s="1"/>
  <c r="S382" s="1"/>
  <c r="L382"/>
  <c r="K382"/>
  <c r="R381"/>
  <c r="N381"/>
  <c r="P381" s="1"/>
  <c r="S381" s="1"/>
  <c r="L381"/>
  <c r="K381"/>
  <c r="R380"/>
  <c r="P380"/>
  <c r="S380" s="1"/>
  <c r="N380"/>
  <c r="L380"/>
  <c r="K380"/>
  <c r="R379"/>
  <c r="P379"/>
  <c r="S379" s="1"/>
  <c r="N379"/>
  <c r="L379"/>
  <c r="K379"/>
  <c r="R378"/>
  <c r="N378"/>
  <c r="P378" s="1"/>
  <c r="S378" s="1"/>
  <c r="L378"/>
  <c r="K378"/>
  <c r="R377"/>
  <c r="N377"/>
  <c r="P377" s="1"/>
  <c r="S377" s="1"/>
  <c r="L377"/>
  <c r="K377"/>
  <c r="R376"/>
  <c r="P376"/>
  <c r="S376" s="1"/>
  <c r="N376"/>
  <c r="L376"/>
  <c r="K376"/>
  <c r="R375"/>
  <c r="N375"/>
  <c r="P375" s="1"/>
  <c r="S375" s="1"/>
  <c r="L375"/>
  <c r="K375"/>
  <c r="R374"/>
  <c r="P374"/>
  <c r="S374" s="1"/>
  <c r="N374"/>
  <c r="L374"/>
  <c r="K374"/>
  <c r="R373"/>
  <c r="N373"/>
  <c r="P373" s="1"/>
  <c r="S373" s="1"/>
  <c r="L373"/>
  <c r="K373"/>
  <c r="R372"/>
  <c r="P372"/>
  <c r="S372" s="1"/>
  <c r="N372"/>
  <c r="L372"/>
  <c r="K372"/>
  <c r="R371"/>
  <c r="N371"/>
  <c r="P371" s="1"/>
  <c r="S371" s="1"/>
  <c r="L371"/>
  <c r="K371"/>
  <c r="R370"/>
  <c r="P370"/>
  <c r="S370" s="1"/>
  <c r="N370"/>
  <c r="L370"/>
  <c r="K370"/>
  <c r="R369"/>
  <c r="N369"/>
  <c r="P369" s="1"/>
  <c r="S369" s="1"/>
  <c r="L369"/>
  <c r="K369"/>
  <c r="R368"/>
  <c r="P368"/>
  <c r="S368" s="1"/>
  <c r="N368"/>
  <c r="L368"/>
  <c r="K368"/>
  <c r="R367"/>
  <c r="N367"/>
  <c r="P367" s="1"/>
  <c r="S367" s="1"/>
  <c r="L367"/>
  <c r="K367"/>
  <c r="R366"/>
  <c r="P366"/>
  <c r="S366" s="1"/>
  <c r="N366"/>
  <c r="L366"/>
  <c r="K366"/>
  <c r="R365"/>
  <c r="N365"/>
  <c r="P365" s="1"/>
  <c r="S365" s="1"/>
  <c r="L365"/>
  <c r="K365"/>
  <c r="R364"/>
  <c r="P364"/>
  <c r="S364" s="1"/>
  <c r="N364"/>
  <c r="L364"/>
  <c r="K364"/>
  <c r="R363"/>
  <c r="N363"/>
  <c r="P363" s="1"/>
  <c r="S363" s="1"/>
  <c r="L363"/>
  <c r="K363"/>
  <c r="R362"/>
  <c r="P362"/>
  <c r="S362" s="1"/>
  <c r="N362"/>
  <c r="L362"/>
  <c r="K362"/>
  <c r="R361"/>
  <c r="N361"/>
  <c r="P361" s="1"/>
  <c r="S361" s="1"/>
  <c r="L361"/>
  <c r="K361"/>
  <c r="R360"/>
  <c r="P360"/>
  <c r="S360" s="1"/>
  <c r="N360"/>
  <c r="L360"/>
  <c r="K360"/>
  <c r="R359"/>
  <c r="N359"/>
  <c r="P359" s="1"/>
  <c r="S359" s="1"/>
  <c r="L359"/>
  <c r="K359"/>
  <c r="R358"/>
  <c r="P358"/>
  <c r="S358" s="1"/>
  <c r="N358"/>
  <c r="L358"/>
  <c r="K358"/>
  <c r="R357"/>
  <c r="P357"/>
  <c r="S357" s="1"/>
  <c r="N357"/>
  <c r="L357"/>
  <c r="K357"/>
  <c r="R356"/>
  <c r="N356"/>
  <c r="P356" s="1"/>
  <c r="S356" s="1"/>
  <c r="L356"/>
  <c r="K356"/>
  <c r="R355"/>
  <c r="N355"/>
  <c r="P355" s="1"/>
  <c r="S355" s="1"/>
  <c r="L355"/>
  <c r="K355"/>
  <c r="R354"/>
  <c r="P354"/>
  <c r="S354" s="1"/>
  <c r="N354"/>
  <c r="L354"/>
  <c r="K354"/>
  <c r="R353"/>
  <c r="N353"/>
  <c r="P353" s="1"/>
  <c r="S353" s="1"/>
  <c r="L353"/>
  <c r="K353"/>
  <c r="R352"/>
  <c r="P352"/>
  <c r="S352" s="1"/>
  <c r="N352"/>
  <c r="L352"/>
  <c r="K352"/>
  <c r="R351"/>
  <c r="P351"/>
  <c r="S351" s="1"/>
  <c r="N351"/>
  <c r="L351"/>
  <c r="K351"/>
  <c r="R350"/>
  <c r="N350"/>
  <c r="P350" s="1"/>
  <c r="S350" s="1"/>
  <c r="L350"/>
  <c r="K350"/>
  <c r="R349"/>
  <c r="N349"/>
  <c r="P349" s="1"/>
  <c r="S349" s="1"/>
  <c r="L349"/>
  <c r="K349"/>
  <c r="R348"/>
  <c r="P348"/>
  <c r="S348" s="1"/>
  <c r="N348"/>
  <c r="L348"/>
  <c r="K348"/>
  <c r="R347"/>
  <c r="P347"/>
  <c r="S347" s="1"/>
  <c r="N347"/>
  <c r="L347"/>
  <c r="K347"/>
  <c r="R346"/>
  <c r="N346"/>
  <c r="P346" s="1"/>
  <c r="S346" s="1"/>
  <c r="L346"/>
  <c r="K346"/>
  <c r="R345"/>
  <c r="N345"/>
  <c r="P345" s="1"/>
  <c r="S345" s="1"/>
  <c r="L345"/>
  <c r="K345"/>
  <c r="R344"/>
  <c r="P344"/>
  <c r="S344" s="1"/>
  <c r="N344"/>
  <c r="L344"/>
  <c r="K344"/>
  <c r="R343"/>
  <c r="P343"/>
  <c r="S343" s="1"/>
  <c r="N343"/>
  <c r="L343"/>
  <c r="K343"/>
  <c r="R342"/>
  <c r="N342"/>
  <c r="P342" s="1"/>
  <c r="S342" s="1"/>
  <c r="L342"/>
  <c r="K342"/>
  <c r="R341"/>
  <c r="N341"/>
  <c r="P341" s="1"/>
  <c r="S341" s="1"/>
  <c r="L341"/>
  <c r="K341"/>
  <c r="R340"/>
  <c r="P340"/>
  <c r="S340" s="1"/>
  <c r="N340"/>
  <c r="L340"/>
  <c r="K340"/>
  <c r="R339"/>
  <c r="N339"/>
  <c r="P339" s="1"/>
  <c r="S339" s="1"/>
  <c r="L339"/>
  <c r="K339"/>
  <c r="R338"/>
  <c r="P338"/>
  <c r="S338" s="1"/>
  <c r="N338"/>
  <c r="L338"/>
  <c r="K338"/>
  <c r="R337"/>
  <c r="P337"/>
  <c r="S337" s="1"/>
  <c r="N337"/>
  <c r="L337"/>
  <c r="K337"/>
  <c r="R336"/>
  <c r="N336"/>
  <c r="P336" s="1"/>
  <c r="S336" s="1"/>
  <c r="L336"/>
  <c r="K336"/>
  <c r="R335"/>
  <c r="N335"/>
  <c r="P335" s="1"/>
  <c r="S335" s="1"/>
  <c r="L335"/>
  <c r="K335"/>
  <c r="R334"/>
  <c r="P334"/>
  <c r="S334" s="1"/>
  <c r="N334"/>
  <c r="L334"/>
  <c r="K334"/>
  <c r="R333"/>
  <c r="N333"/>
  <c r="P333" s="1"/>
  <c r="S333" s="1"/>
  <c r="L333"/>
  <c r="K333"/>
  <c r="R332"/>
  <c r="P332"/>
  <c r="S332" s="1"/>
  <c r="N332"/>
  <c r="L332"/>
  <c r="K332"/>
  <c r="R331"/>
  <c r="N331"/>
  <c r="P331" s="1"/>
  <c r="S331" s="1"/>
  <c r="L331"/>
  <c r="K331"/>
  <c r="R330"/>
  <c r="P330"/>
  <c r="S330" s="1"/>
  <c r="N330"/>
  <c r="L330"/>
  <c r="K330"/>
  <c r="R329"/>
  <c r="N329"/>
  <c r="P329" s="1"/>
  <c r="S329" s="1"/>
  <c r="L329"/>
  <c r="K329"/>
  <c r="R328"/>
  <c r="N328"/>
  <c r="P328" s="1"/>
  <c r="S328" s="1"/>
  <c r="L328"/>
  <c r="K328"/>
  <c r="R327"/>
  <c r="P327"/>
  <c r="S327" s="1"/>
  <c r="N327"/>
  <c r="L327"/>
  <c r="K327"/>
  <c r="R326"/>
  <c r="P326"/>
  <c r="S326" s="1"/>
  <c r="N326"/>
  <c r="L326"/>
  <c r="K326"/>
  <c r="R325"/>
  <c r="N325"/>
  <c r="P325" s="1"/>
  <c r="S325" s="1"/>
  <c r="L325"/>
  <c r="K325"/>
  <c r="R324"/>
  <c r="N324"/>
  <c r="P324" s="1"/>
  <c r="S324" s="1"/>
  <c r="L324"/>
  <c r="K324"/>
  <c r="R323"/>
  <c r="P323"/>
  <c r="S323" s="1"/>
  <c r="N323"/>
  <c r="L323"/>
  <c r="K323"/>
  <c r="R322"/>
  <c r="P322"/>
  <c r="S322" s="1"/>
  <c r="N322"/>
  <c r="L322"/>
  <c r="K322"/>
  <c r="R321"/>
  <c r="N321"/>
  <c r="P321" s="1"/>
  <c r="S321" s="1"/>
  <c r="L321"/>
  <c r="K321"/>
  <c r="R320"/>
  <c r="N320"/>
  <c r="P320" s="1"/>
  <c r="S320" s="1"/>
  <c r="L320"/>
  <c r="K320"/>
  <c r="R319"/>
  <c r="P319"/>
  <c r="N319"/>
  <c r="L319"/>
  <c r="K319"/>
  <c r="R318"/>
  <c r="N318"/>
  <c r="P318" s="1"/>
  <c r="S318" s="1"/>
  <c r="L318"/>
  <c r="K318"/>
  <c r="R317"/>
  <c r="P317"/>
  <c r="N317"/>
  <c r="L317"/>
  <c r="K317"/>
  <c r="V317" s="1" a="1"/>
  <c r="V317" s="1"/>
  <c r="R316"/>
  <c r="N316"/>
  <c r="P316" s="1"/>
  <c r="S316" s="1"/>
  <c r="L316"/>
  <c r="K316"/>
  <c r="R315"/>
  <c r="N315"/>
  <c r="P315" s="1"/>
  <c r="S315" s="1"/>
  <c r="L315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K311"/>
  <c r="R310"/>
  <c r="P310"/>
  <c r="S310" s="1"/>
  <c r="N310"/>
  <c r="L310"/>
  <c r="K310"/>
  <c r="R309"/>
  <c r="N309"/>
  <c r="P309" s="1"/>
  <c r="S309" s="1"/>
  <c r="L309"/>
  <c r="K309"/>
  <c r="R308"/>
  <c r="P308"/>
  <c r="N308"/>
  <c r="L308"/>
  <c r="K308"/>
  <c r="R307"/>
  <c r="P307"/>
  <c r="N307"/>
  <c r="L307"/>
  <c r="V307" s="1" a="1"/>
  <c r="V307" s="1"/>
  <c r="K307"/>
  <c r="R306"/>
  <c r="N306"/>
  <c r="P306" s="1"/>
  <c r="S306" s="1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P287"/>
  <c r="S287" s="1"/>
  <c r="N287"/>
  <c r="L287"/>
  <c r="V287" s="1" a="1"/>
  <c r="V287" s="1"/>
  <c r="K287"/>
  <c r="R286"/>
  <c r="N286"/>
  <c r="P286" s="1"/>
  <c r="S286" s="1"/>
  <c r="L286"/>
  <c r="K286"/>
  <c r="R285"/>
  <c r="N285"/>
  <c r="P285" s="1"/>
  <c r="S285" s="1"/>
  <c r="L285"/>
  <c r="K285"/>
  <c r="R284"/>
  <c r="P284"/>
  <c r="S284" s="1"/>
  <c r="N284"/>
  <c r="L284"/>
  <c r="V284" s="1" a="1"/>
  <c r="V284" s="1"/>
  <c r="K284"/>
  <c r="R283"/>
  <c r="P283"/>
  <c r="S283" s="1"/>
  <c r="N283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P280"/>
  <c r="S280" s="1"/>
  <c r="N280"/>
  <c r="L280"/>
  <c r="V280" s="1" a="1"/>
  <c r="V280" s="1"/>
  <c r="K280"/>
  <c r="R279"/>
  <c r="P279"/>
  <c r="S279" s="1"/>
  <c r="N279"/>
  <c r="L279"/>
  <c r="V279" s="1" a="1"/>
  <c r="V279" s="1"/>
  <c r="K279"/>
  <c r="R278"/>
  <c r="N278"/>
  <c r="P278" s="1"/>
  <c r="S278" s="1"/>
  <c r="L278"/>
  <c r="K278"/>
  <c r="R277"/>
  <c r="P277"/>
  <c r="S277" s="1"/>
  <c r="N277"/>
  <c r="L277"/>
  <c r="K277"/>
  <c r="R276"/>
  <c r="N276"/>
  <c r="P276" s="1"/>
  <c r="S276" s="1"/>
  <c r="L276"/>
  <c r="K276"/>
  <c r="R275"/>
  <c r="P275"/>
  <c r="S275" s="1"/>
  <c r="N275"/>
  <c r="L275"/>
  <c r="K275"/>
  <c r="R274"/>
  <c r="N274"/>
  <c r="P274" s="1"/>
  <c r="S274" s="1"/>
  <c r="L274"/>
  <c r="K274"/>
  <c r="R273"/>
  <c r="P273"/>
  <c r="S273" s="1"/>
  <c r="N273"/>
  <c r="L273"/>
  <c r="V273" s="1" a="1"/>
  <c r="V273" s="1"/>
  <c r="K273"/>
  <c r="R272"/>
  <c r="P272"/>
  <c r="S272" s="1"/>
  <c r="N272"/>
  <c r="L272"/>
  <c r="V272" s="1" a="1"/>
  <c r="V272" s="1"/>
  <c r="K272"/>
  <c r="R271"/>
  <c r="N271"/>
  <c r="P271" s="1"/>
  <c r="S271" s="1"/>
  <c r="L271"/>
  <c r="K271"/>
  <c r="R270"/>
  <c r="P270"/>
  <c r="S270" s="1"/>
  <c r="N270"/>
  <c r="L270"/>
  <c r="K270"/>
  <c r="R269"/>
  <c r="N269"/>
  <c r="P269" s="1"/>
  <c r="S269" s="1"/>
  <c r="L269"/>
  <c r="K269"/>
  <c r="R268"/>
  <c r="N268"/>
  <c r="P268" s="1"/>
  <c r="S268" s="1"/>
  <c r="L268"/>
  <c r="K268"/>
  <c r="R267"/>
  <c r="P267"/>
  <c r="S267" s="1"/>
  <c r="N267"/>
  <c r="L267"/>
  <c r="V267" s="1" a="1"/>
  <c r="V267" s="1"/>
  <c r="K267"/>
  <c r="R266"/>
  <c r="N266"/>
  <c r="P266" s="1"/>
  <c r="S266" s="1"/>
  <c r="L266"/>
  <c r="K266"/>
  <c r="R265"/>
  <c r="N265"/>
  <c r="P265" s="1"/>
  <c r="S265" s="1"/>
  <c r="L265"/>
  <c r="K265"/>
  <c r="R264"/>
  <c r="P264"/>
  <c r="S264" s="1"/>
  <c r="N264"/>
  <c r="L264"/>
  <c r="V264" s="1" a="1"/>
  <c r="V264" s="1"/>
  <c r="K264"/>
  <c r="R263"/>
  <c r="P263"/>
  <c r="S263" s="1"/>
  <c r="N263"/>
  <c r="L263"/>
  <c r="V263" s="1" a="1"/>
  <c r="V263" s="1"/>
  <c r="K263"/>
  <c r="R262"/>
  <c r="N262"/>
  <c r="P262" s="1"/>
  <c r="S262" s="1"/>
  <c r="L262"/>
  <c r="K262"/>
  <c r="R261"/>
  <c r="N261"/>
  <c r="P261" s="1"/>
  <c r="S261" s="1"/>
  <c r="L261"/>
  <c r="K261"/>
  <c r="R260"/>
  <c r="P260"/>
  <c r="S260" s="1"/>
  <c r="N260"/>
  <c r="L260"/>
  <c r="V260" s="1" a="1"/>
  <c r="V260" s="1"/>
  <c r="K260"/>
  <c r="R259"/>
  <c r="P259"/>
  <c r="S259" s="1"/>
  <c r="N259"/>
  <c r="L259"/>
  <c r="V259" s="1" a="1"/>
  <c r="V259" s="1"/>
  <c r="K259"/>
  <c r="R258"/>
  <c r="N258"/>
  <c r="P258" s="1"/>
  <c r="S258" s="1"/>
  <c r="L258"/>
  <c r="K258"/>
  <c r="R257"/>
  <c r="P257"/>
  <c r="S257" s="1"/>
  <c r="N257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S254" s="1"/>
  <c r="L254"/>
  <c r="K254"/>
  <c r="R253"/>
  <c r="N253"/>
  <c r="P253" s="1"/>
  <c r="S253" s="1"/>
  <c r="L253"/>
  <c r="K253"/>
  <c r="R252"/>
  <c r="P252"/>
  <c r="S252" s="1"/>
  <c r="N252"/>
  <c r="L252"/>
  <c r="V252" s="1" a="1"/>
  <c r="V252" s="1"/>
  <c r="K252"/>
  <c r="R251"/>
  <c r="P251"/>
  <c r="S251" s="1"/>
  <c r="N251"/>
  <c r="L251"/>
  <c r="V251" s="1" a="1"/>
  <c r="V251" s="1"/>
  <c r="K251"/>
  <c r="R250"/>
  <c r="N250"/>
  <c r="P250" s="1"/>
  <c r="S250" s="1"/>
  <c r="L250"/>
  <c r="K250"/>
  <c r="R249"/>
  <c r="P249"/>
  <c r="S249" s="1"/>
  <c r="N249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S246" s="1"/>
  <c r="N246"/>
  <c r="L246"/>
  <c r="V246" s="1" a="1"/>
  <c r="V246" s="1"/>
  <c r="K246"/>
  <c r="R245"/>
  <c r="N245"/>
  <c r="P245" s="1"/>
  <c r="S245" s="1"/>
  <c r="L245"/>
  <c r="K245"/>
  <c r="R244"/>
  <c r="N244"/>
  <c r="P244" s="1"/>
  <c r="S244" s="1"/>
  <c r="L244"/>
  <c r="K244"/>
  <c r="R243"/>
  <c r="P243"/>
  <c r="S243" s="1"/>
  <c r="N243"/>
  <c r="L243"/>
  <c r="V243" s="1" a="1"/>
  <c r="V243" s="1"/>
  <c r="K243"/>
  <c r="R242"/>
  <c r="P242"/>
  <c r="S242" s="1"/>
  <c r="N242"/>
  <c r="L242"/>
  <c r="V242" s="1" a="1"/>
  <c r="V242" s="1"/>
  <c r="K242"/>
  <c r="R241"/>
  <c r="N241"/>
  <c r="P241" s="1"/>
  <c r="S241" s="1"/>
  <c r="L241"/>
  <c r="K241"/>
  <c r="R240"/>
  <c r="N240"/>
  <c r="P240" s="1"/>
  <c r="S240" s="1"/>
  <c r="L240"/>
  <c r="K240"/>
  <c r="R239"/>
  <c r="P239"/>
  <c r="S239" s="1"/>
  <c r="N239"/>
  <c r="L239"/>
  <c r="V239" s="1" a="1"/>
  <c r="V239" s="1"/>
  <c r="K239"/>
  <c r="R238"/>
  <c r="N238"/>
  <c r="P238" s="1"/>
  <c r="S238" s="1"/>
  <c r="L238"/>
  <c r="K238"/>
  <c r="R237"/>
  <c r="N237"/>
  <c r="P237" s="1"/>
  <c r="S237" s="1"/>
  <c r="L237"/>
  <c r="K237"/>
  <c r="R236"/>
  <c r="P236"/>
  <c r="N236"/>
  <c r="L236"/>
  <c r="K236"/>
  <c r="R235"/>
  <c r="P235"/>
  <c r="N235"/>
  <c r="L235"/>
  <c r="K235"/>
  <c r="R234"/>
  <c r="N234"/>
  <c r="P234" s="1"/>
  <c r="S234" s="1"/>
  <c r="L234"/>
  <c r="K234"/>
  <c r="R233"/>
  <c r="N233"/>
  <c r="P233" s="1"/>
  <c r="S233" s="1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O409" s="1"/>
  <c r="N215"/>
  <c r="P215" s="1"/>
  <c r="L215"/>
  <c r="K215"/>
  <c r="U210"/>
  <c r="S210"/>
  <c r="K208"/>
  <c r="AA207"/>
  <c r="K207"/>
  <c r="C426"/>
  <c r="AA205"/>
  <c r="AA204"/>
  <c r="I204"/>
  <c r="K204" s="1" a="1"/>
  <c r="K204" s="1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L198"/>
  <c r="K198"/>
  <c r="R197"/>
  <c r="N197"/>
  <c r="P197" s="1"/>
  <c r="L197"/>
  <c r="K197"/>
  <c r="R196"/>
  <c r="N196"/>
  <c r="P196" s="1"/>
  <c r="L196"/>
  <c r="K196"/>
  <c r="R195"/>
  <c r="N195"/>
  <c r="P195" s="1"/>
  <c r="S195" s="1"/>
  <c r="L195"/>
  <c r="K195"/>
  <c r="R194"/>
  <c r="N194"/>
  <c r="P194" s="1"/>
  <c r="L194"/>
  <c r="K194"/>
  <c r="R193"/>
  <c r="N193"/>
  <c r="P193" s="1"/>
  <c r="S193" s="1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L190"/>
  <c r="K190"/>
  <c r="R189"/>
  <c r="N189"/>
  <c r="P189" s="1"/>
  <c r="L189"/>
  <c r="K189"/>
  <c r="R188"/>
  <c r="N188"/>
  <c r="P188" s="1"/>
  <c r="L188"/>
  <c r="K188"/>
  <c r="R187"/>
  <c r="P187"/>
  <c r="N187"/>
  <c r="L187"/>
  <c r="K187"/>
  <c r="V187" s="1" a="1"/>
  <c r="V187" s="1"/>
  <c r="R186"/>
  <c r="N186"/>
  <c r="P186" s="1"/>
  <c r="L186"/>
  <c r="K186"/>
  <c r="R185"/>
  <c r="N185"/>
  <c r="P185" s="1"/>
  <c r="L185"/>
  <c r="K185"/>
  <c r="R184"/>
  <c r="N184"/>
  <c r="P184" s="1"/>
  <c r="L184"/>
  <c r="K184"/>
  <c r="R183"/>
  <c r="N183"/>
  <c r="P183" s="1"/>
  <c r="S183" s="1"/>
  <c r="L183"/>
  <c r="K183"/>
  <c r="R182"/>
  <c r="N182"/>
  <c r="P182" s="1"/>
  <c r="L182"/>
  <c r="K182"/>
  <c r="R181"/>
  <c r="N181"/>
  <c r="P181" s="1"/>
  <c r="S181" s="1"/>
  <c r="L181"/>
  <c r="K181"/>
  <c r="R180"/>
  <c r="N180"/>
  <c r="P180" s="1"/>
  <c r="S180" s="1"/>
  <c r="L180"/>
  <c r="K180"/>
  <c r="R179"/>
  <c r="P179"/>
  <c r="S179" s="1"/>
  <c r="N179"/>
  <c r="L179"/>
  <c r="K179"/>
  <c r="R178"/>
  <c r="N178"/>
  <c r="P178" s="1"/>
  <c r="L178"/>
  <c r="K178"/>
  <c r="R177"/>
  <c r="N177"/>
  <c r="P177" s="1"/>
  <c r="L177"/>
  <c r="K177"/>
  <c r="R176"/>
  <c r="N176"/>
  <c r="P176" s="1"/>
  <c r="L176"/>
  <c r="K176"/>
  <c r="R175"/>
  <c r="N175"/>
  <c r="P175" s="1"/>
  <c r="L175"/>
  <c r="K175"/>
  <c r="R174"/>
  <c r="N174"/>
  <c r="P174" s="1"/>
  <c r="L174"/>
  <c r="K174"/>
  <c r="R173"/>
  <c r="N173"/>
  <c r="P173" s="1"/>
  <c r="L173"/>
  <c r="K173"/>
  <c r="R172"/>
  <c r="N172"/>
  <c r="P172" s="1"/>
  <c r="L172"/>
  <c r="K172"/>
  <c r="R171"/>
  <c r="N171"/>
  <c r="P171" s="1"/>
  <c r="S171" s="1"/>
  <c r="L171"/>
  <c r="K171"/>
  <c r="R170"/>
  <c r="N170"/>
  <c r="P170" s="1"/>
  <c r="L170"/>
  <c r="K170"/>
  <c r="R169"/>
  <c r="N169"/>
  <c r="P169" s="1"/>
  <c r="L169"/>
  <c r="K169"/>
  <c r="R168"/>
  <c r="N168"/>
  <c r="P168" s="1"/>
  <c r="L168"/>
  <c r="K168"/>
  <c r="R167"/>
  <c r="N167"/>
  <c r="P167" s="1"/>
  <c r="S167" s="1"/>
  <c r="L167"/>
  <c r="K167"/>
  <c r="R166"/>
  <c r="N166"/>
  <c r="P166" s="1"/>
  <c r="L166"/>
  <c r="K166"/>
  <c r="R165"/>
  <c r="N165"/>
  <c r="P165" s="1"/>
  <c r="S165" s="1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L162"/>
  <c r="K162"/>
  <c r="R161"/>
  <c r="N161"/>
  <c r="P161" s="1"/>
  <c r="L161"/>
  <c r="K161"/>
  <c r="R160"/>
  <c r="N160"/>
  <c r="P160" s="1"/>
  <c r="L160"/>
  <c r="K160"/>
  <c r="R159"/>
  <c r="N159"/>
  <c r="P159" s="1"/>
  <c r="L159"/>
  <c r="K159"/>
  <c r="R158"/>
  <c r="N158"/>
  <c r="P158" s="1"/>
  <c r="L158"/>
  <c r="K158"/>
  <c r="R157"/>
  <c r="N157"/>
  <c r="P157" s="1"/>
  <c r="L157"/>
  <c r="K157"/>
  <c r="R156"/>
  <c r="N156"/>
  <c r="P156" s="1"/>
  <c r="L156"/>
  <c r="K156"/>
  <c r="R155"/>
  <c r="N155"/>
  <c r="P155" s="1"/>
  <c r="S155" s="1"/>
  <c r="L155"/>
  <c r="K155"/>
  <c r="R154"/>
  <c r="N154"/>
  <c r="P154" s="1"/>
  <c r="L154"/>
  <c r="K154"/>
  <c r="R153"/>
  <c r="N153"/>
  <c r="P153" s="1"/>
  <c r="L153"/>
  <c r="K153"/>
  <c r="R152"/>
  <c r="N152"/>
  <c r="P152" s="1"/>
  <c r="L152"/>
  <c r="K152"/>
  <c r="R151"/>
  <c r="N151"/>
  <c r="P151" s="1"/>
  <c r="S151" s="1"/>
  <c r="L151"/>
  <c r="K151"/>
  <c r="R150"/>
  <c r="N150"/>
  <c r="P150" s="1"/>
  <c r="L150"/>
  <c r="K150"/>
  <c r="R149"/>
  <c r="N149"/>
  <c r="P149" s="1"/>
  <c r="S149" s="1"/>
  <c r="L149"/>
  <c r="K149"/>
  <c r="R148"/>
  <c r="N148"/>
  <c r="P148" s="1"/>
  <c r="S148" s="1"/>
  <c r="L148"/>
  <c r="K148"/>
  <c r="R147"/>
  <c r="P147"/>
  <c r="S147" s="1"/>
  <c r="N147"/>
  <c r="L147"/>
  <c r="K147"/>
  <c r="R146"/>
  <c r="N146"/>
  <c r="P146" s="1"/>
  <c r="L146"/>
  <c r="K146"/>
  <c r="R145"/>
  <c r="N145"/>
  <c r="P145" s="1"/>
  <c r="L145"/>
  <c r="K145"/>
  <c r="R144"/>
  <c r="N144"/>
  <c r="P144" s="1"/>
  <c r="L144"/>
  <c r="K144"/>
  <c r="R143"/>
  <c r="N143"/>
  <c r="P143" s="1"/>
  <c r="L143"/>
  <c r="K143"/>
  <c r="R142"/>
  <c r="N142"/>
  <c r="P142" s="1"/>
  <c r="L142"/>
  <c r="K142"/>
  <c r="R141"/>
  <c r="N141"/>
  <c r="P141" s="1"/>
  <c r="L141"/>
  <c r="K141"/>
  <c r="R140"/>
  <c r="N140"/>
  <c r="P140" s="1"/>
  <c r="L140"/>
  <c r="K140"/>
  <c r="R139"/>
  <c r="N139"/>
  <c r="P139" s="1"/>
  <c r="S139" s="1"/>
  <c r="L139"/>
  <c r="K139"/>
  <c r="R138"/>
  <c r="N138"/>
  <c r="P138" s="1"/>
  <c r="L138"/>
  <c r="K138"/>
  <c r="R137"/>
  <c r="N137"/>
  <c r="P137" s="1"/>
  <c r="L137"/>
  <c r="K137"/>
  <c r="R136"/>
  <c r="N136"/>
  <c r="P136" s="1"/>
  <c r="L136"/>
  <c r="K136"/>
  <c r="R135"/>
  <c r="N135"/>
  <c r="P135" s="1"/>
  <c r="S135" s="1"/>
  <c r="L135"/>
  <c r="K135"/>
  <c r="R134"/>
  <c r="N134"/>
  <c r="P134" s="1"/>
  <c r="L134"/>
  <c r="K134"/>
  <c r="R133"/>
  <c r="N133"/>
  <c r="P133" s="1"/>
  <c r="S133" s="1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L130"/>
  <c r="K130"/>
  <c r="R129"/>
  <c r="N129"/>
  <c r="P129" s="1"/>
  <c r="L129"/>
  <c r="K129"/>
  <c r="R128"/>
  <c r="N128"/>
  <c r="P128" s="1"/>
  <c r="L128"/>
  <c r="K128"/>
  <c r="R127"/>
  <c r="N127"/>
  <c r="P127" s="1"/>
  <c r="L127"/>
  <c r="K127"/>
  <c r="R126"/>
  <c r="N126"/>
  <c r="P126" s="1"/>
  <c r="L126"/>
  <c r="K126"/>
  <c r="R125"/>
  <c r="N125"/>
  <c r="P125" s="1"/>
  <c r="L125"/>
  <c r="K125"/>
  <c r="R124"/>
  <c r="N124"/>
  <c r="P124" s="1"/>
  <c r="L124"/>
  <c r="K124"/>
  <c r="R123"/>
  <c r="N123"/>
  <c r="P123" s="1"/>
  <c r="S123" s="1"/>
  <c r="L123"/>
  <c r="K123"/>
  <c r="R122"/>
  <c r="N122"/>
  <c r="P122" s="1"/>
  <c r="L122"/>
  <c r="K122"/>
  <c r="R121"/>
  <c r="N121"/>
  <c r="P121" s="1"/>
  <c r="L121"/>
  <c r="K121"/>
  <c r="R120"/>
  <c r="N120"/>
  <c r="P120" s="1"/>
  <c r="L120"/>
  <c r="K120"/>
  <c r="R119"/>
  <c r="N119"/>
  <c r="P119" s="1"/>
  <c r="S119" s="1"/>
  <c r="L119"/>
  <c r="K119"/>
  <c r="R118"/>
  <c r="N118"/>
  <c r="P118" s="1"/>
  <c r="L118"/>
  <c r="K118"/>
  <c r="R117"/>
  <c r="N117"/>
  <c r="P117" s="1"/>
  <c r="S117" s="1"/>
  <c r="L117"/>
  <c r="K117"/>
  <c r="R116"/>
  <c r="N116"/>
  <c r="P116" s="1"/>
  <c r="S116" s="1"/>
  <c r="L116"/>
  <c r="K116"/>
  <c r="R115"/>
  <c r="P115"/>
  <c r="S115" s="1"/>
  <c r="N115"/>
  <c r="L115"/>
  <c r="K115"/>
  <c r="R114"/>
  <c r="N114"/>
  <c r="P114" s="1"/>
  <c r="L114"/>
  <c r="K114"/>
  <c r="R113"/>
  <c r="N113"/>
  <c r="P113" s="1"/>
  <c r="L113"/>
  <c r="K113"/>
  <c r="R112"/>
  <c r="N112"/>
  <c r="P112" s="1"/>
  <c r="L112"/>
  <c r="K112"/>
  <c r="R111"/>
  <c r="N111"/>
  <c r="P111" s="1"/>
  <c r="L111"/>
  <c r="K111"/>
  <c r="R110"/>
  <c r="N110"/>
  <c r="P110" s="1"/>
  <c r="L110"/>
  <c r="K110"/>
  <c r="R109"/>
  <c r="P109"/>
  <c r="N109"/>
  <c r="L109"/>
  <c r="V109" s="1" a="1"/>
  <c r="V109" s="1"/>
  <c r="K109"/>
  <c r="R108"/>
  <c r="N108"/>
  <c r="P108" s="1"/>
  <c r="L108"/>
  <c r="K108"/>
  <c r="R107"/>
  <c r="N107"/>
  <c r="P107" s="1"/>
  <c r="S107" s="1"/>
  <c r="L107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L104"/>
  <c r="K104"/>
  <c r="R103"/>
  <c r="N103"/>
  <c r="P103" s="1"/>
  <c r="L103"/>
  <c r="K103"/>
  <c r="R102"/>
  <c r="N102"/>
  <c r="P102" s="1"/>
  <c r="L102"/>
  <c r="K102"/>
  <c r="R101"/>
  <c r="N101"/>
  <c r="P101" s="1"/>
  <c r="S101" s="1"/>
  <c r="L101"/>
  <c r="K101"/>
  <c r="R100"/>
  <c r="N100"/>
  <c r="P100" s="1"/>
  <c r="L100"/>
  <c r="K100"/>
  <c r="R99"/>
  <c r="N99"/>
  <c r="P99" s="1"/>
  <c r="S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L96"/>
  <c r="K96"/>
  <c r="R95"/>
  <c r="N95"/>
  <c r="P95" s="1"/>
  <c r="L95"/>
  <c r="K95"/>
  <c r="R94"/>
  <c r="N94"/>
  <c r="P94" s="1"/>
  <c r="L94"/>
  <c r="K94"/>
  <c r="R93"/>
  <c r="N93"/>
  <c r="P93" s="1"/>
  <c r="S93" s="1"/>
  <c r="L93"/>
  <c r="K93"/>
  <c r="R92"/>
  <c r="N92"/>
  <c r="P92" s="1"/>
  <c r="L92"/>
  <c r="K92"/>
  <c r="R91"/>
  <c r="N91"/>
  <c r="P91" s="1"/>
  <c r="S91" s="1"/>
  <c r="L91"/>
  <c r="K91"/>
  <c r="R90"/>
  <c r="N90"/>
  <c r="P90" s="1"/>
  <c r="S90" s="1"/>
  <c r="L90"/>
  <c r="K90"/>
  <c r="R89"/>
  <c r="P89"/>
  <c r="S89" s="1"/>
  <c r="N89"/>
  <c r="L89"/>
  <c r="K89"/>
  <c r="R88"/>
  <c r="N88"/>
  <c r="P88" s="1"/>
  <c r="L88"/>
  <c r="K88"/>
  <c r="R87"/>
  <c r="N87"/>
  <c r="P87" s="1"/>
  <c r="L87"/>
  <c r="K87"/>
  <c r="R86"/>
  <c r="N86"/>
  <c r="P86" s="1"/>
  <c r="L86"/>
  <c r="K86"/>
  <c r="R85"/>
  <c r="N85"/>
  <c r="P85" s="1"/>
  <c r="S85" s="1"/>
  <c r="L85"/>
  <c r="K85"/>
  <c r="R84"/>
  <c r="N84"/>
  <c r="P84" s="1"/>
  <c r="L84"/>
  <c r="K84"/>
  <c r="R83"/>
  <c r="N83"/>
  <c r="P83" s="1"/>
  <c r="S83" s="1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L80"/>
  <c r="K80"/>
  <c r="R79"/>
  <c r="N79"/>
  <c r="P79" s="1"/>
  <c r="L79"/>
  <c r="K79"/>
  <c r="R78"/>
  <c r="N78"/>
  <c r="P78" s="1"/>
  <c r="L78"/>
  <c r="K78"/>
  <c r="R77"/>
  <c r="N77"/>
  <c r="P77" s="1"/>
  <c r="S77" s="1"/>
  <c r="L77"/>
  <c r="K77"/>
  <c r="R76"/>
  <c r="N76"/>
  <c r="P76" s="1"/>
  <c r="L76"/>
  <c r="K76"/>
  <c r="R75"/>
  <c r="N75"/>
  <c r="P75" s="1"/>
  <c r="S75" s="1"/>
  <c r="L75"/>
  <c r="K75"/>
  <c r="R74"/>
  <c r="N74"/>
  <c r="P74" s="1"/>
  <c r="S74" s="1"/>
  <c r="L74"/>
  <c r="K74"/>
  <c r="R73"/>
  <c r="P73"/>
  <c r="S73" s="1"/>
  <c r="N73"/>
  <c r="L73"/>
  <c r="K73"/>
  <c r="R72"/>
  <c r="N72"/>
  <c r="P72" s="1"/>
  <c r="L72"/>
  <c r="K72"/>
  <c r="R71"/>
  <c r="N71"/>
  <c r="P71" s="1"/>
  <c r="L71"/>
  <c r="K71"/>
  <c r="R70"/>
  <c r="N70"/>
  <c r="P70" s="1"/>
  <c r="L70"/>
  <c r="K70"/>
  <c r="R69"/>
  <c r="N69"/>
  <c r="P69" s="1"/>
  <c r="S69" s="1"/>
  <c r="L69"/>
  <c r="K69"/>
  <c r="R68"/>
  <c r="N68"/>
  <c r="P68" s="1"/>
  <c r="L68"/>
  <c r="K68"/>
  <c r="R67"/>
  <c r="N67"/>
  <c r="P67" s="1"/>
  <c r="S67" s="1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L64"/>
  <c r="K64"/>
  <c r="R63"/>
  <c r="N63"/>
  <c r="P63" s="1"/>
  <c r="L63"/>
  <c r="K63"/>
  <c r="R62"/>
  <c r="N62"/>
  <c r="P62" s="1"/>
  <c r="L62"/>
  <c r="K62"/>
  <c r="R61"/>
  <c r="N61"/>
  <c r="P61" s="1"/>
  <c r="S61" s="1"/>
  <c r="L61"/>
  <c r="K61"/>
  <c r="R60"/>
  <c r="N60"/>
  <c r="P60" s="1"/>
  <c r="L60"/>
  <c r="K60"/>
  <c r="R59"/>
  <c r="N59"/>
  <c r="P59" s="1"/>
  <c r="S59" s="1"/>
  <c r="L59"/>
  <c r="K59"/>
  <c r="R58"/>
  <c r="N58"/>
  <c r="P58" s="1"/>
  <c r="S58" s="1"/>
  <c r="L58"/>
  <c r="K58"/>
  <c r="R57"/>
  <c r="P57"/>
  <c r="S57" s="1"/>
  <c r="N57"/>
  <c r="L57"/>
  <c r="K57"/>
  <c r="R56"/>
  <c r="N56"/>
  <c r="P56" s="1"/>
  <c r="L56"/>
  <c r="K56"/>
  <c r="R55"/>
  <c r="N55"/>
  <c r="P55" s="1"/>
  <c r="L55"/>
  <c r="K55"/>
  <c r="R54"/>
  <c r="N54"/>
  <c r="P54" s="1"/>
  <c r="L54"/>
  <c r="K54"/>
  <c r="R53"/>
  <c r="N53"/>
  <c r="P53" s="1"/>
  <c r="S53" s="1"/>
  <c r="L53"/>
  <c r="K53"/>
  <c r="R52"/>
  <c r="N52"/>
  <c r="P52" s="1"/>
  <c r="L52"/>
  <c r="K52"/>
  <c r="R51"/>
  <c r="N51"/>
  <c r="P51" s="1"/>
  <c r="S51" s="1"/>
  <c r="L51"/>
  <c r="K51"/>
  <c r="R50"/>
  <c r="N50"/>
  <c r="P50" s="1"/>
  <c r="S50" s="1"/>
  <c r="L50"/>
  <c r="K50"/>
  <c r="R49"/>
  <c r="P49"/>
  <c r="S49" s="1"/>
  <c r="N49"/>
  <c r="L49"/>
  <c r="K49"/>
  <c r="R48"/>
  <c r="N48"/>
  <c r="P48" s="1"/>
  <c r="L48"/>
  <c r="K48"/>
  <c r="R47"/>
  <c r="N47"/>
  <c r="P47" s="1"/>
  <c r="L47"/>
  <c r="K47"/>
  <c r="R46"/>
  <c r="N46"/>
  <c r="P46" s="1"/>
  <c r="L46"/>
  <c r="K46"/>
  <c r="R45"/>
  <c r="N45"/>
  <c r="P45" s="1"/>
  <c r="S45" s="1"/>
  <c r="L45"/>
  <c r="K45"/>
  <c r="R44"/>
  <c r="N44"/>
  <c r="P44" s="1"/>
  <c r="L44"/>
  <c r="K44"/>
  <c r="R43"/>
  <c r="N43"/>
  <c r="P43" s="1"/>
  <c r="S43" s="1"/>
  <c r="L43"/>
  <c r="K43"/>
  <c r="R42"/>
  <c r="N42"/>
  <c r="P42" s="1"/>
  <c r="S42" s="1"/>
  <c r="L42"/>
  <c r="K42"/>
  <c r="R41"/>
  <c r="P41"/>
  <c r="S41" s="1"/>
  <c r="N41"/>
  <c r="L41"/>
  <c r="K41"/>
  <c r="R40"/>
  <c r="N40"/>
  <c r="P40" s="1"/>
  <c r="L40"/>
  <c r="K40"/>
  <c r="R39"/>
  <c r="N39"/>
  <c r="P39" s="1"/>
  <c r="L39"/>
  <c r="K39"/>
  <c r="R38"/>
  <c r="N38"/>
  <c r="P38" s="1"/>
  <c r="L38"/>
  <c r="K38"/>
  <c r="R37"/>
  <c r="N37"/>
  <c r="P37" s="1"/>
  <c r="S37" s="1"/>
  <c r="L37"/>
  <c r="K37"/>
  <c r="R36"/>
  <c r="N36"/>
  <c r="P36" s="1"/>
  <c r="L36"/>
  <c r="K36"/>
  <c r="R35"/>
  <c r="N35"/>
  <c r="P35" s="1"/>
  <c r="S35" s="1"/>
  <c r="L35"/>
  <c r="K35"/>
  <c r="R34"/>
  <c r="N34"/>
  <c r="P34" s="1"/>
  <c r="S34" s="1"/>
  <c r="L34"/>
  <c r="K34"/>
  <c r="R33"/>
  <c r="P33"/>
  <c r="S33" s="1"/>
  <c r="N33"/>
  <c r="L33"/>
  <c r="K33"/>
  <c r="R32"/>
  <c r="N32"/>
  <c r="P32" s="1"/>
  <c r="L32"/>
  <c r="K32"/>
  <c r="R31"/>
  <c r="N31"/>
  <c r="P31" s="1"/>
  <c r="L31"/>
  <c r="K31"/>
  <c r="R30"/>
  <c r="N30"/>
  <c r="P30" s="1"/>
  <c r="L30"/>
  <c r="K30"/>
  <c r="R29"/>
  <c r="N29"/>
  <c r="P29" s="1"/>
  <c r="S29" s="1"/>
  <c r="L29"/>
  <c r="K29"/>
  <c r="R28"/>
  <c r="N28"/>
  <c r="P28" s="1"/>
  <c r="L28"/>
  <c r="K28"/>
  <c r="R27"/>
  <c r="N27"/>
  <c r="P27" s="1"/>
  <c r="S27" s="1"/>
  <c r="L27"/>
  <c r="K27"/>
  <c r="R26"/>
  <c r="P26"/>
  <c r="N26"/>
  <c r="L26"/>
  <c r="V26" s="1" a="1"/>
  <c r="V26" s="1"/>
  <c r="K26"/>
  <c r="R25"/>
  <c r="P25"/>
  <c r="N25"/>
  <c r="L25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8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H443"/>
  <c r="H452" s="1"/>
  <c r="G443"/>
  <c r="G452" s="1"/>
  <c r="F443"/>
  <c r="F452" s="1"/>
  <c r="E443"/>
  <c r="E452" s="1"/>
  <c r="G434"/>
  <c r="K434" s="1"/>
  <c r="O434" s="1" a="1"/>
  <c r="O434" s="1"/>
  <c r="C434"/>
  <c r="G433"/>
  <c r="C433"/>
  <c r="G432"/>
  <c r="K432" s="1"/>
  <c r="O432" s="1" a="1"/>
  <c r="O432" s="1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P399"/>
  <c r="N399"/>
  <c r="L399"/>
  <c r="K399"/>
  <c r="R398"/>
  <c r="N398"/>
  <c r="P398" s="1"/>
  <c r="S398" s="1"/>
  <c r="L398"/>
  <c r="K398"/>
  <c r="R397"/>
  <c r="N397"/>
  <c r="P397" s="1"/>
  <c r="S397" s="1"/>
  <c r="L397"/>
  <c r="K397"/>
  <c r="R396"/>
  <c r="P396"/>
  <c r="S396" s="1"/>
  <c r="N396"/>
  <c r="L396"/>
  <c r="V396" s="1" a="1"/>
  <c r="V396" s="1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S310" s="1"/>
  <c r="N310"/>
  <c r="L310"/>
  <c r="V310" s="1" a="1"/>
  <c r="V310" s="1"/>
  <c r="K310"/>
  <c r="R309"/>
  <c r="N309"/>
  <c r="P309" s="1"/>
  <c r="S309" s="1"/>
  <c r="L309"/>
  <c r="K309"/>
  <c r="R308"/>
  <c r="N308"/>
  <c r="P308" s="1"/>
  <c r="S308" s="1"/>
  <c r="L308"/>
  <c r="K308"/>
  <c r="R307"/>
  <c r="P307"/>
  <c r="S307" s="1"/>
  <c r="N307"/>
  <c r="L307"/>
  <c r="V307" s="1" a="1"/>
  <c r="V307" s="1"/>
  <c r="K307"/>
  <c r="R306"/>
  <c r="P306"/>
  <c r="S306" s="1"/>
  <c r="N306"/>
  <c r="L306"/>
  <c r="V306" s="1" a="1"/>
  <c r="V306" s="1"/>
  <c r="K306"/>
  <c r="R305"/>
  <c r="N305"/>
  <c r="P305" s="1"/>
  <c r="S305" s="1"/>
  <c r="L305"/>
  <c r="K305"/>
  <c r="R304"/>
  <c r="N304"/>
  <c r="P304" s="1"/>
  <c r="S304" s="1"/>
  <c r="L304"/>
  <c r="K304"/>
  <c r="R303"/>
  <c r="P303"/>
  <c r="S303" s="1"/>
  <c r="N303"/>
  <c r="L303"/>
  <c r="V303" s="1" a="1"/>
  <c r="V303" s="1"/>
  <c r="K303"/>
  <c r="R302"/>
  <c r="P302"/>
  <c r="S302" s="1"/>
  <c r="N302"/>
  <c r="L302"/>
  <c r="V302" s="1" a="1"/>
  <c r="V302" s="1"/>
  <c r="K302"/>
  <c r="R301"/>
  <c r="N301"/>
  <c r="P301" s="1"/>
  <c r="S301" s="1"/>
  <c r="L301"/>
  <c r="K301"/>
  <c r="R300"/>
  <c r="N300"/>
  <c r="P300" s="1"/>
  <c r="S300" s="1"/>
  <c r="L300"/>
  <c r="K300"/>
  <c r="R299"/>
  <c r="P299"/>
  <c r="S299" s="1"/>
  <c r="N299"/>
  <c r="L299"/>
  <c r="V299" s="1" a="1"/>
  <c r="V299" s="1"/>
  <c r="K299"/>
  <c r="R298"/>
  <c r="P298"/>
  <c r="S298" s="1"/>
  <c r="N298"/>
  <c r="L298"/>
  <c r="V298" s="1" a="1"/>
  <c r="V298" s="1"/>
  <c r="K298"/>
  <c r="R297"/>
  <c r="N297"/>
  <c r="P297" s="1"/>
  <c r="S297" s="1"/>
  <c r="L297"/>
  <c r="K297"/>
  <c r="R296"/>
  <c r="P296"/>
  <c r="S296" s="1"/>
  <c r="N296"/>
  <c r="L296"/>
  <c r="K296"/>
  <c r="R295"/>
  <c r="N295"/>
  <c r="P295" s="1"/>
  <c r="S295" s="1"/>
  <c r="L295"/>
  <c r="K295"/>
  <c r="R294"/>
  <c r="P294"/>
  <c r="S294" s="1"/>
  <c r="N294"/>
  <c r="L294"/>
  <c r="K294"/>
  <c r="R293"/>
  <c r="P293"/>
  <c r="S293" s="1"/>
  <c r="N293"/>
  <c r="L293"/>
  <c r="V293" s="1" a="1"/>
  <c r="V293" s="1"/>
  <c r="K293"/>
  <c r="R292"/>
  <c r="N292"/>
  <c r="P292" s="1"/>
  <c r="S292" s="1"/>
  <c r="L292"/>
  <c r="K292"/>
  <c r="R291"/>
  <c r="P291"/>
  <c r="S291" s="1"/>
  <c r="N291"/>
  <c r="L291"/>
  <c r="V291" s="1" a="1"/>
  <c r="V291" s="1"/>
  <c r="K291"/>
  <c r="R290"/>
  <c r="N290"/>
  <c r="P290" s="1"/>
  <c r="S290" s="1"/>
  <c r="L290"/>
  <c r="K290"/>
  <c r="R289"/>
  <c r="N289"/>
  <c r="P289" s="1"/>
  <c r="S289" s="1"/>
  <c r="L289"/>
  <c r="K289"/>
  <c r="R288"/>
  <c r="P288"/>
  <c r="S288" s="1"/>
  <c r="N288"/>
  <c r="L288"/>
  <c r="V288" s="1" a="1"/>
  <c r="V288" s="1"/>
  <c r="K288"/>
  <c r="R287"/>
  <c r="N287"/>
  <c r="P287" s="1"/>
  <c r="S287" s="1"/>
  <c r="L287"/>
  <c r="K287"/>
  <c r="R286"/>
  <c r="P286"/>
  <c r="N286"/>
  <c r="L286"/>
  <c r="K286"/>
  <c r="R285"/>
  <c r="P285"/>
  <c r="N285"/>
  <c r="L285"/>
  <c r="K285"/>
  <c r="R284"/>
  <c r="N284"/>
  <c r="P284" s="1"/>
  <c r="S284" s="1"/>
  <c r="L284"/>
  <c r="K284"/>
  <c r="R283"/>
  <c r="N283"/>
  <c r="P283" s="1"/>
  <c r="S283" s="1"/>
  <c r="L283"/>
  <c r="V283" s="1" a="1"/>
  <c r="V283" s="1"/>
  <c r="K283"/>
  <c r="R282"/>
  <c r="N282"/>
  <c r="P282" s="1"/>
  <c r="S282" s="1"/>
  <c r="L282"/>
  <c r="K282"/>
  <c r="R281"/>
  <c r="N281"/>
  <c r="P281" s="1"/>
  <c r="S281" s="1"/>
  <c r="L281"/>
  <c r="K281"/>
  <c r="R280"/>
  <c r="N280"/>
  <c r="P280" s="1"/>
  <c r="S280" s="1"/>
  <c r="L280"/>
  <c r="K280"/>
  <c r="R279"/>
  <c r="N279"/>
  <c r="P279" s="1"/>
  <c r="S279" s="1"/>
  <c r="L279"/>
  <c r="K279"/>
  <c r="R278"/>
  <c r="N278"/>
  <c r="P278" s="1"/>
  <c r="S278" s="1"/>
  <c r="L278"/>
  <c r="K278"/>
  <c r="R277"/>
  <c r="N277"/>
  <c r="P277" s="1"/>
  <c r="S277" s="1"/>
  <c r="L277"/>
  <c r="K277"/>
  <c r="R276"/>
  <c r="N276"/>
  <c r="P276" s="1"/>
  <c r="S276" s="1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L270"/>
  <c r="K270"/>
  <c r="R269"/>
  <c r="N269"/>
  <c r="P269" s="1"/>
  <c r="S269" s="1"/>
  <c r="L269"/>
  <c r="K269"/>
  <c r="R268"/>
  <c r="P268"/>
  <c r="S268" s="1"/>
  <c r="N268"/>
  <c r="L268"/>
  <c r="V268" s="1" a="1"/>
  <c r="V268" s="1"/>
  <c r="K268"/>
  <c r="R267"/>
  <c r="N267"/>
  <c r="P267" s="1"/>
  <c r="L267"/>
  <c r="K267"/>
  <c r="R266"/>
  <c r="N266"/>
  <c r="P266" s="1"/>
  <c r="S266" s="1"/>
  <c r="L266"/>
  <c r="K266"/>
  <c r="R265"/>
  <c r="P265"/>
  <c r="S265" s="1"/>
  <c r="N265"/>
  <c r="L265"/>
  <c r="V265" s="1" a="1"/>
  <c r="V265" s="1"/>
  <c r="K265"/>
  <c r="R264"/>
  <c r="N264"/>
  <c r="P264" s="1"/>
  <c r="L264"/>
  <c r="K264"/>
  <c r="R263"/>
  <c r="N263"/>
  <c r="P263" s="1"/>
  <c r="L263"/>
  <c r="K263"/>
  <c r="R262"/>
  <c r="N262"/>
  <c r="P262" s="1"/>
  <c r="S262" s="1"/>
  <c r="L262"/>
  <c r="K262"/>
  <c r="R261"/>
  <c r="P261"/>
  <c r="S261" s="1"/>
  <c r="N261"/>
  <c r="L261"/>
  <c r="V261" s="1" a="1"/>
  <c r="V261" s="1"/>
  <c r="K261"/>
  <c r="R260"/>
  <c r="N260"/>
  <c r="P260" s="1"/>
  <c r="L260"/>
  <c r="K260"/>
  <c r="R259"/>
  <c r="N259"/>
  <c r="P259" s="1"/>
  <c r="L259"/>
  <c r="K259"/>
  <c r="R258"/>
  <c r="N258"/>
  <c r="P258" s="1"/>
  <c r="S258" s="1"/>
  <c r="L258"/>
  <c r="K258"/>
  <c r="R257"/>
  <c r="N257"/>
  <c r="P257" s="1"/>
  <c r="S257" s="1"/>
  <c r="L257"/>
  <c r="K257"/>
  <c r="R256"/>
  <c r="P256"/>
  <c r="S256" s="1"/>
  <c r="N256"/>
  <c r="L256"/>
  <c r="K256"/>
  <c r="R255"/>
  <c r="N255"/>
  <c r="P255" s="1"/>
  <c r="L255"/>
  <c r="K255"/>
  <c r="R254"/>
  <c r="N254"/>
  <c r="P254" s="1"/>
  <c r="S254" s="1"/>
  <c r="L254"/>
  <c r="K254"/>
  <c r="R253"/>
  <c r="P253"/>
  <c r="S253" s="1"/>
  <c r="N253"/>
  <c r="L253"/>
  <c r="V253" s="1" a="1"/>
  <c r="V253" s="1"/>
  <c r="K253"/>
  <c r="R252"/>
  <c r="N252"/>
  <c r="P252" s="1"/>
  <c r="L252"/>
  <c r="K252"/>
  <c r="R251"/>
  <c r="N251"/>
  <c r="P251" s="1"/>
  <c r="L251"/>
  <c r="K251"/>
  <c r="R250"/>
  <c r="N250"/>
  <c r="P250" s="1"/>
  <c r="S250" s="1"/>
  <c r="L250"/>
  <c r="K250"/>
  <c r="R249"/>
  <c r="N249"/>
  <c r="P249" s="1"/>
  <c r="S249" s="1"/>
  <c r="L249"/>
  <c r="K249"/>
  <c r="R248"/>
  <c r="P248"/>
  <c r="S248" s="1"/>
  <c r="N248"/>
  <c r="L248"/>
  <c r="K248"/>
  <c r="R247"/>
  <c r="N247"/>
  <c r="P247" s="1"/>
  <c r="L247"/>
  <c r="K247"/>
  <c r="R246"/>
  <c r="N246"/>
  <c r="P246" s="1"/>
  <c r="L246"/>
  <c r="K246"/>
  <c r="R245"/>
  <c r="N245"/>
  <c r="P245" s="1"/>
  <c r="S245" s="1"/>
  <c r="L245"/>
  <c r="K245"/>
  <c r="R244"/>
  <c r="P244"/>
  <c r="S244" s="1"/>
  <c r="N244"/>
  <c r="L244"/>
  <c r="V244" s="1" a="1"/>
  <c r="V244" s="1"/>
  <c r="K244"/>
  <c r="R243"/>
  <c r="N243"/>
  <c r="P243" s="1"/>
  <c r="L243"/>
  <c r="K243"/>
  <c r="R242"/>
  <c r="N242"/>
  <c r="P242" s="1"/>
  <c r="L242"/>
  <c r="K242"/>
  <c r="R241"/>
  <c r="N241"/>
  <c r="P241" s="1"/>
  <c r="S241" s="1"/>
  <c r="L241"/>
  <c r="K241"/>
  <c r="R240"/>
  <c r="P240"/>
  <c r="S240" s="1"/>
  <c r="N240"/>
  <c r="L240"/>
  <c r="V240" s="1" a="1"/>
  <c r="V240" s="1"/>
  <c r="K240"/>
  <c r="R239"/>
  <c r="N239"/>
  <c r="P239" s="1"/>
  <c r="L239"/>
  <c r="K239"/>
  <c r="R238"/>
  <c r="N238"/>
  <c r="P238" s="1"/>
  <c r="S238" s="1"/>
  <c r="L238"/>
  <c r="K238"/>
  <c r="R237"/>
  <c r="P237"/>
  <c r="S237" s="1"/>
  <c r="N237"/>
  <c r="L237"/>
  <c r="V237" s="1" a="1"/>
  <c r="V237" s="1"/>
  <c r="K237"/>
  <c r="R236"/>
  <c r="N236"/>
  <c r="P236" s="1"/>
  <c r="L236"/>
  <c r="K236"/>
  <c r="R235"/>
  <c r="N235"/>
  <c r="P235" s="1"/>
  <c r="L235"/>
  <c r="K235"/>
  <c r="R234"/>
  <c r="N234"/>
  <c r="P234" s="1"/>
  <c r="S234" s="1"/>
  <c r="L234"/>
  <c r="K234"/>
  <c r="R233"/>
  <c r="P233"/>
  <c r="S233" s="1"/>
  <c r="N233"/>
  <c r="L233"/>
  <c r="V233" s="1" a="1"/>
  <c r="V233" s="1"/>
  <c r="K233"/>
  <c r="R232"/>
  <c r="N232"/>
  <c r="P232" s="1"/>
  <c r="L232"/>
  <c r="K232"/>
  <c r="R231"/>
  <c r="N231"/>
  <c r="P231" s="1"/>
  <c r="L231"/>
  <c r="K231"/>
  <c r="R230"/>
  <c r="N230"/>
  <c r="P230" s="1"/>
  <c r="S230" s="1"/>
  <c r="L230"/>
  <c r="K230"/>
  <c r="R229"/>
  <c r="P229"/>
  <c r="S229" s="1"/>
  <c r="N229"/>
  <c r="L229"/>
  <c r="V229" s="1" a="1"/>
  <c r="V229" s="1"/>
  <c r="K229"/>
  <c r="R228"/>
  <c r="N228"/>
  <c r="P228" s="1"/>
  <c r="L228"/>
  <c r="K228"/>
  <c r="R227"/>
  <c r="N227"/>
  <c r="P227" s="1"/>
  <c r="L227"/>
  <c r="K227"/>
  <c r="R226"/>
  <c r="N226"/>
  <c r="P226" s="1"/>
  <c r="S226" s="1"/>
  <c r="L226"/>
  <c r="K226"/>
  <c r="R225"/>
  <c r="P225"/>
  <c r="S225" s="1"/>
  <c r="N225"/>
  <c r="L225"/>
  <c r="V225" s="1" a="1"/>
  <c r="V225" s="1"/>
  <c r="K225"/>
  <c r="R224"/>
  <c r="N224"/>
  <c r="P224" s="1"/>
  <c r="L224"/>
  <c r="K224"/>
  <c r="R223"/>
  <c r="N223"/>
  <c r="P223" s="1"/>
  <c r="S223" s="1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N219"/>
  <c r="P219" s="1"/>
  <c r="S219" s="1"/>
  <c r="L219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N215"/>
  <c r="P215" s="1"/>
  <c r="L215"/>
  <c r="K215"/>
  <c r="U210"/>
  <c r="Y210" s="1"/>
  <c r="S210"/>
  <c r="W210" s="1"/>
  <c r="Y209"/>
  <c r="W209"/>
  <c r="Y208"/>
  <c r="W208"/>
  <c r="AA208" s="1"/>
  <c r="Y207"/>
  <c r="W207"/>
  <c r="AA207" s="1"/>
  <c r="K207"/>
  <c r="C427" s="1"/>
  <c r="Y206"/>
  <c r="W206"/>
  <c r="K206"/>
  <c r="C426" s="1"/>
  <c r="Y205"/>
  <c r="W205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P190"/>
  <c r="S190" s="1"/>
  <c r="N190"/>
  <c r="L190"/>
  <c r="V190" s="1" a="1"/>
  <c r="V190" s="1"/>
  <c r="K190"/>
  <c r="R189"/>
  <c r="P189"/>
  <c r="S189" s="1"/>
  <c r="N189"/>
  <c r="L189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S101" s="1"/>
  <c r="N101"/>
  <c r="L101"/>
  <c r="K101"/>
  <c r="R100"/>
  <c r="N100"/>
  <c r="P100" s="1"/>
  <c r="S100" s="1"/>
  <c r="L100"/>
  <c r="K100"/>
  <c r="R99"/>
  <c r="N99"/>
  <c r="P99" s="1"/>
  <c r="L99"/>
  <c r="K99"/>
  <c r="R98"/>
  <c r="N98"/>
  <c r="P98" s="1"/>
  <c r="S98" s="1"/>
  <c r="L98"/>
  <c r="K98"/>
  <c r="R97"/>
  <c r="P97"/>
  <c r="S97" s="1"/>
  <c r="N97"/>
  <c r="L97"/>
  <c r="K97"/>
  <c r="R96"/>
  <c r="N96"/>
  <c r="P96" s="1"/>
  <c r="S96" s="1"/>
  <c r="L96"/>
  <c r="K96"/>
  <c r="R95"/>
  <c r="P95"/>
  <c r="S95" s="1"/>
  <c r="N95"/>
  <c r="L95"/>
  <c r="V95" s="1" a="1"/>
  <c r="V95" s="1"/>
  <c r="K95"/>
  <c r="R94"/>
  <c r="N94"/>
  <c r="P94" s="1"/>
  <c r="S94" s="1"/>
  <c r="L94"/>
  <c r="K94"/>
  <c r="R93"/>
  <c r="P93"/>
  <c r="S93" s="1"/>
  <c r="N93"/>
  <c r="L93"/>
  <c r="K93"/>
  <c r="R92"/>
  <c r="N92"/>
  <c r="P92" s="1"/>
  <c r="S92" s="1"/>
  <c r="L92"/>
  <c r="K92"/>
  <c r="R91"/>
  <c r="P91"/>
  <c r="S91" s="1"/>
  <c r="N91"/>
  <c r="L91"/>
  <c r="V91" s="1" a="1"/>
  <c r="V91" s="1"/>
  <c r="K91"/>
  <c r="R90"/>
  <c r="N90"/>
  <c r="P90" s="1"/>
  <c r="S90" s="1"/>
  <c r="L90"/>
  <c r="K90"/>
  <c r="R89"/>
  <c r="P89"/>
  <c r="S89" s="1"/>
  <c r="N89"/>
  <c r="L89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V79" s="1" a="1"/>
  <c r="V79" s="1"/>
  <c r="K79"/>
  <c r="R78"/>
  <c r="N78"/>
  <c r="P78" s="1"/>
  <c r="S78" s="1"/>
  <c r="L78"/>
  <c r="K78"/>
  <c r="R77"/>
  <c r="P77"/>
  <c r="S77" s="1"/>
  <c r="N77"/>
  <c r="L77"/>
  <c r="K77"/>
  <c r="R76"/>
  <c r="N76"/>
  <c r="P76" s="1"/>
  <c r="S76" s="1"/>
  <c r="L76"/>
  <c r="K76"/>
  <c r="R75"/>
  <c r="P75"/>
  <c r="N75"/>
  <c r="L75"/>
  <c r="V75" s="1" a="1"/>
  <c r="V75" s="1"/>
  <c r="K75"/>
  <c r="R74"/>
  <c r="P74"/>
  <c r="N74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P12"/>
  <c r="S12" s="1"/>
  <c r="N12"/>
  <c r="L12"/>
  <c r="V12" s="1" a="1"/>
  <c r="V12" s="1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N8"/>
  <c r="P8" s="1"/>
  <c r="S8" s="1"/>
  <c r="L8"/>
  <c r="K8"/>
  <c r="R7"/>
  <c r="P7"/>
  <c r="S7" s="1"/>
  <c r="N7"/>
  <c r="L7"/>
  <c r="V7" s="1" a="1"/>
  <c r="V7" s="1"/>
  <c r="K7"/>
  <c r="R6"/>
  <c r="N6"/>
  <c r="P6" s="1"/>
  <c r="L6"/>
  <c r="K6"/>
  <c r="P450" i="487"/>
  <c r="O450"/>
  <c r="N450"/>
  <c r="M450"/>
  <c r="L450"/>
  <c r="K450"/>
  <c r="I450"/>
  <c r="H450"/>
  <c r="G450"/>
  <c r="F450"/>
  <c r="E450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G434"/>
  <c r="C434"/>
  <c r="G433"/>
  <c r="C433"/>
  <c r="G432"/>
  <c r="C432"/>
  <c r="C430"/>
  <c r="C429"/>
  <c r="U419"/>
  <c r="Y419" s="1"/>
  <c r="S419"/>
  <c r="W419" s="1"/>
  <c r="Y418"/>
  <c r="W418"/>
  <c r="Y417"/>
  <c r="W417"/>
  <c r="Y416"/>
  <c r="W416"/>
  <c r="AA416" s="1"/>
  <c r="K416"/>
  <c r="Y415"/>
  <c r="W415"/>
  <c r="K415"/>
  <c r="Y414"/>
  <c r="W414"/>
  <c r="AA414" s="1"/>
  <c r="Y413"/>
  <c r="AA413" s="1"/>
  <c r="W413"/>
  <c r="I413"/>
  <c r="K413" s="1" a="1"/>
  <c r="K413" s="1"/>
  <c r="Y412"/>
  <c r="W412"/>
  <c r="I412"/>
  <c r="K412" s="1" a="1"/>
  <c r="K412" s="1"/>
  <c r="K411" a="1"/>
  <c r="K411" s="1"/>
  <c r="I41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N407"/>
  <c r="P407" s="1"/>
  <c r="S407" s="1"/>
  <c r="L407"/>
  <c r="K407"/>
  <c r="R406"/>
  <c r="P406"/>
  <c r="S406" s="1"/>
  <c r="N406"/>
  <c r="L406"/>
  <c r="V406" s="1" a="1"/>
  <c r="V406" s="1"/>
  <c r="K406"/>
  <c r="R405"/>
  <c r="P405"/>
  <c r="S405" s="1"/>
  <c r="N405"/>
  <c r="L405"/>
  <c r="V405" s="1" a="1"/>
  <c r="V405" s="1"/>
  <c r="K405"/>
  <c r="R404"/>
  <c r="N404"/>
  <c r="P404" s="1"/>
  <c r="S404" s="1"/>
  <c r="L404"/>
  <c r="K404"/>
  <c r="R403"/>
  <c r="P403"/>
  <c r="S403" s="1"/>
  <c r="N403"/>
  <c r="L403"/>
  <c r="K403"/>
  <c r="R402"/>
  <c r="N402"/>
  <c r="P402" s="1"/>
  <c r="S402" s="1"/>
  <c r="L402"/>
  <c r="K402"/>
  <c r="R401"/>
  <c r="P401"/>
  <c r="S401" s="1"/>
  <c r="N401"/>
  <c r="L401"/>
  <c r="K401"/>
  <c r="R400"/>
  <c r="N400"/>
  <c r="P400" s="1"/>
  <c r="S400" s="1"/>
  <c r="L400"/>
  <c r="K400"/>
  <c r="R399"/>
  <c r="N399"/>
  <c r="P399" s="1"/>
  <c r="S399" s="1"/>
  <c r="L399"/>
  <c r="K399"/>
  <c r="R398"/>
  <c r="P398"/>
  <c r="S398" s="1"/>
  <c r="N398"/>
  <c r="L398"/>
  <c r="V398" s="1" a="1"/>
  <c r="V398" s="1"/>
  <c r="K398"/>
  <c r="R397"/>
  <c r="P397"/>
  <c r="S397" s="1"/>
  <c r="N397"/>
  <c r="L397"/>
  <c r="V397" s="1" a="1"/>
  <c r="V397" s="1"/>
  <c r="K397"/>
  <c r="R396"/>
  <c r="N396"/>
  <c r="P396" s="1"/>
  <c r="S396" s="1"/>
  <c r="L396"/>
  <c r="K396"/>
  <c r="R395"/>
  <c r="N395"/>
  <c r="P395" s="1"/>
  <c r="S395" s="1"/>
  <c r="L395"/>
  <c r="K395"/>
  <c r="R394"/>
  <c r="P394"/>
  <c r="S394" s="1"/>
  <c r="N394"/>
  <c r="L394"/>
  <c r="V394" s="1" a="1"/>
  <c r="V394" s="1"/>
  <c r="K394"/>
  <c r="R393"/>
  <c r="P393"/>
  <c r="S393" s="1"/>
  <c r="N393"/>
  <c r="L393"/>
  <c r="V393" s="1" a="1"/>
  <c r="V393" s="1"/>
  <c r="K393"/>
  <c r="R392"/>
  <c r="N392"/>
  <c r="P392" s="1"/>
  <c r="S392" s="1"/>
  <c r="L392"/>
  <c r="K392"/>
  <c r="R391"/>
  <c r="N391"/>
  <c r="P391" s="1"/>
  <c r="S391" s="1"/>
  <c r="L391"/>
  <c r="K391"/>
  <c r="R390"/>
  <c r="P390"/>
  <c r="S390" s="1"/>
  <c r="N390"/>
  <c r="L390"/>
  <c r="V390" s="1" a="1"/>
  <c r="V390" s="1"/>
  <c r="K390"/>
  <c r="R389"/>
  <c r="P389"/>
  <c r="S389" s="1"/>
  <c r="N389"/>
  <c r="L389"/>
  <c r="V389" s="1" a="1"/>
  <c r="V389" s="1"/>
  <c r="K389"/>
  <c r="R388"/>
  <c r="N388"/>
  <c r="P388" s="1"/>
  <c r="S388" s="1"/>
  <c r="L388"/>
  <c r="K388"/>
  <c r="R387"/>
  <c r="N387"/>
  <c r="P387" s="1"/>
  <c r="S387" s="1"/>
  <c r="L387"/>
  <c r="K387"/>
  <c r="R386"/>
  <c r="P386"/>
  <c r="S386" s="1"/>
  <c r="N386"/>
  <c r="L386"/>
  <c r="V386" s="1" a="1"/>
  <c r="V386" s="1"/>
  <c r="K386"/>
  <c r="R385"/>
  <c r="P385"/>
  <c r="S385" s="1"/>
  <c r="N385"/>
  <c r="L385"/>
  <c r="V385" s="1" a="1"/>
  <c r="V385" s="1"/>
  <c r="K385"/>
  <c r="R384"/>
  <c r="N384"/>
  <c r="P384" s="1"/>
  <c r="S384" s="1"/>
  <c r="L384"/>
  <c r="K384"/>
  <c r="R383"/>
  <c r="N383"/>
  <c r="P383" s="1"/>
  <c r="S383" s="1"/>
  <c r="L383"/>
  <c r="K383"/>
  <c r="R382"/>
  <c r="P382"/>
  <c r="S382" s="1"/>
  <c r="N382"/>
  <c r="L382"/>
  <c r="V382" s="1" a="1"/>
  <c r="V382" s="1"/>
  <c r="K382"/>
  <c r="R381"/>
  <c r="P381"/>
  <c r="S381" s="1"/>
  <c r="N381"/>
  <c r="L381"/>
  <c r="V381" s="1" a="1"/>
  <c r="V381" s="1"/>
  <c r="K381"/>
  <c r="R380"/>
  <c r="N380"/>
  <c r="P380" s="1"/>
  <c r="S380" s="1"/>
  <c r="L380"/>
  <c r="K380"/>
  <c r="R379"/>
  <c r="N379"/>
  <c r="P379" s="1"/>
  <c r="S379" s="1"/>
  <c r="L379"/>
  <c r="K379"/>
  <c r="R378"/>
  <c r="P378"/>
  <c r="S378" s="1"/>
  <c r="N378"/>
  <c r="L378"/>
  <c r="V378" s="1" a="1"/>
  <c r="V378" s="1"/>
  <c r="K378"/>
  <c r="R377"/>
  <c r="P377"/>
  <c r="S377" s="1"/>
  <c r="N377"/>
  <c r="L377"/>
  <c r="V377" s="1" a="1"/>
  <c r="V377" s="1"/>
  <c r="K377"/>
  <c r="R376"/>
  <c r="N376"/>
  <c r="P376" s="1"/>
  <c r="S376" s="1"/>
  <c r="L376"/>
  <c r="K376"/>
  <c r="R375"/>
  <c r="P375"/>
  <c r="S375" s="1"/>
  <c r="N375"/>
  <c r="L375"/>
  <c r="K375"/>
  <c r="R374"/>
  <c r="N374"/>
  <c r="P374" s="1"/>
  <c r="S374" s="1"/>
  <c r="L374"/>
  <c r="K374"/>
  <c r="R373"/>
  <c r="P373"/>
  <c r="S373" s="1"/>
  <c r="N373"/>
  <c r="L373"/>
  <c r="K373"/>
  <c r="R372"/>
  <c r="N372"/>
  <c r="P372" s="1"/>
  <c r="S372" s="1"/>
  <c r="L372"/>
  <c r="K372"/>
  <c r="R371"/>
  <c r="P371"/>
  <c r="S371" s="1"/>
  <c r="N371"/>
  <c r="L371"/>
  <c r="K371"/>
  <c r="R370"/>
  <c r="N370"/>
  <c r="P370" s="1"/>
  <c r="S370" s="1"/>
  <c r="L370"/>
  <c r="K370"/>
  <c r="R369"/>
  <c r="P369"/>
  <c r="S369" s="1"/>
  <c r="N369"/>
  <c r="L369"/>
  <c r="K369"/>
  <c r="R368"/>
  <c r="N368"/>
  <c r="P368" s="1"/>
  <c r="S368" s="1"/>
  <c r="L368"/>
  <c r="K368"/>
  <c r="R367"/>
  <c r="P367"/>
  <c r="S367" s="1"/>
  <c r="N367"/>
  <c r="L367"/>
  <c r="K367"/>
  <c r="R366"/>
  <c r="N366"/>
  <c r="P366" s="1"/>
  <c r="S366" s="1"/>
  <c r="L366"/>
  <c r="K366"/>
  <c r="R365"/>
  <c r="P365"/>
  <c r="S365" s="1"/>
  <c r="N365"/>
  <c r="L365"/>
  <c r="K365"/>
  <c r="R364"/>
  <c r="N364"/>
  <c r="P364" s="1"/>
  <c r="S364" s="1"/>
  <c r="L364"/>
  <c r="K364"/>
  <c r="R363"/>
  <c r="P363"/>
  <c r="S363" s="1"/>
  <c r="N363"/>
  <c r="L363"/>
  <c r="K363"/>
  <c r="R362"/>
  <c r="N362"/>
  <c r="P362" s="1"/>
  <c r="S362" s="1"/>
  <c r="L362"/>
  <c r="K362"/>
  <c r="R361"/>
  <c r="P361"/>
  <c r="S361" s="1"/>
  <c r="N361"/>
  <c r="L361"/>
  <c r="K361"/>
  <c r="R360"/>
  <c r="N360"/>
  <c r="P360" s="1"/>
  <c r="S360" s="1"/>
  <c r="L360"/>
  <c r="K360"/>
  <c r="R359"/>
  <c r="P359"/>
  <c r="S359" s="1"/>
  <c r="N359"/>
  <c r="L359"/>
  <c r="K359"/>
  <c r="R358"/>
  <c r="N358"/>
  <c r="P358" s="1"/>
  <c r="S358" s="1"/>
  <c r="L358"/>
  <c r="K358"/>
  <c r="R357"/>
  <c r="N357"/>
  <c r="P357" s="1"/>
  <c r="S357" s="1"/>
  <c r="L357"/>
  <c r="K357"/>
  <c r="R356"/>
  <c r="P356"/>
  <c r="S356" s="1"/>
  <c r="N356"/>
  <c r="L356"/>
  <c r="V356" s="1" a="1"/>
  <c r="V356" s="1"/>
  <c r="K356"/>
  <c r="R355"/>
  <c r="P355"/>
  <c r="S355" s="1"/>
  <c r="N355"/>
  <c r="L355"/>
  <c r="V355" s="1" a="1"/>
  <c r="V355" s="1"/>
  <c r="K355"/>
  <c r="R354"/>
  <c r="N354"/>
  <c r="P354" s="1"/>
  <c r="S354" s="1"/>
  <c r="L354"/>
  <c r="K354"/>
  <c r="R353"/>
  <c r="P353"/>
  <c r="S353" s="1"/>
  <c r="N353"/>
  <c r="L353"/>
  <c r="K353"/>
  <c r="R352"/>
  <c r="N352"/>
  <c r="P352" s="1"/>
  <c r="S352" s="1"/>
  <c r="L352"/>
  <c r="K352"/>
  <c r="R351"/>
  <c r="N351"/>
  <c r="P351" s="1"/>
  <c r="S351" s="1"/>
  <c r="L351"/>
  <c r="K351"/>
  <c r="R350"/>
  <c r="P350"/>
  <c r="S350" s="1"/>
  <c r="N350"/>
  <c r="L350"/>
  <c r="V350" s="1" a="1"/>
  <c r="V350" s="1"/>
  <c r="K350"/>
  <c r="R349"/>
  <c r="P349"/>
  <c r="S349" s="1"/>
  <c r="N349"/>
  <c r="L349"/>
  <c r="V349" s="1" a="1"/>
  <c r="V349" s="1"/>
  <c r="K349"/>
  <c r="R348"/>
  <c r="N348"/>
  <c r="P348" s="1"/>
  <c r="S348" s="1"/>
  <c r="L348"/>
  <c r="K348"/>
  <c r="R347"/>
  <c r="N347"/>
  <c r="P347" s="1"/>
  <c r="S347" s="1"/>
  <c r="L347"/>
  <c r="K347"/>
  <c r="R346"/>
  <c r="P346"/>
  <c r="S346" s="1"/>
  <c r="N346"/>
  <c r="L346"/>
  <c r="V346" s="1" a="1"/>
  <c r="V346" s="1"/>
  <c r="K346"/>
  <c r="R345"/>
  <c r="P345"/>
  <c r="S345" s="1"/>
  <c r="N345"/>
  <c r="L345"/>
  <c r="V345" s="1" a="1"/>
  <c r="V345" s="1"/>
  <c r="K345"/>
  <c r="R344"/>
  <c r="N344"/>
  <c r="P344" s="1"/>
  <c r="S344" s="1"/>
  <c r="L344"/>
  <c r="K344"/>
  <c r="R343"/>
  <c r="N343"/>
  <c r="P343" s="1"/>
  <c r="S343" s="1"/>
  <c r="L343"/>
  <c r="K343"/>
  <c r="R342"/>
  <c r="P342"/>
  <c r="S342" s="1"/>
  <c r="N342"/>
  <c r="L342"/>
  <c r="V342" s="1" a="1"/>
  <c r="V342" s="1"/>
  <c r="K342"/>
  <c r="R341"/>
  <c r="P341"/>
  <c r="S341" s="1"/>
  <c r="N341"/>
  <c r="L341"/>
  <c r="V341" s="1" a="1"/>
  <c r="V341" s="1"/>
  <c r="K341"/>
  <c r="R340"/>
  <c r="N340"/>
  <c r="P340" s="1"/>
  <c r="S340" s="1"/>
  <c r="L340"/>
  <c r="K340"/>
  <c r="R339"/>
  <c r="P339"/>
  <c r="S339" s="1"/>
  <c r="N339"/>
  <c r="L339"/>
  <c r="K339"/>
  <c r="R338"/>
  <c r="N338"/>
  <c r="P338" s="1"/>
  <c r="S338" s="1"/>
  <c r="L338"/>
  <c r="K338"/>
  <c r="R337"/>
  <c r="N337"/>
  <c r="P337" s="1"/>
  <c r="S337" s="1"/>
  <c r="L337"/>
  <c r="K337"/>
  <c r="R336"/>
  <c r="P336"/>
  <c r="S336" s="1"/>
  <c r="N336"/>
  <c r="L336"/>
  <c r="V336" s="1" a="1"/>
  <c r="V336" s="1"/>
  <c r="K336"/>
  <c r="R335"/>
  <c r="P335"/>
  <c r="S335" s="1"/>
  <c r="N335"/>
  <c r="L335"/>
  <c r="V335" s="1" a="1"/>
  <c r="V335" s="1"/>
  <c r="K335"/>
  <c r="R334"/>
  <c r="N334"/>
  <c r="P334" s="1"/>
  <c r="S334" s="1"/>
  <c r="L334"/>
  <c r="K334"/>
  <c r="R333"/>
  <c r="P333"/>
  <c r="S333" s="1"/>
  <c r="N333"/>
  <c r="L333"/>
  <c r="K333"/>
  <c r="R332"/>
  <c r="N332"/>
  <c r="P332" s="1"/>
  <c r="S332" s="1"/>
  <c r="L332"/>
  <c r="K332"/>
  <c r="R331"/>
  <c r="P331"/>
  <c r="S331" s="1"/>
  <c r="N331"/>
  <c r="L331"/>
  <c r="K331"/>
  <c r="R330"/>
  <c r="N330"/>
  <c r="P330" s="1"/>
  <c r="S330" s="1"/>
  <c r="L330"/>
  <c r="K330"/>
  <c r="R329"/>
  <c r="P329"/>
  <c r="S329" s="1"/>
  <c r="N329"/>
  <c r="L329"/>
  <c r="V329" s="1" a="1"/>
  <c r="V329" s="1"/>
  <c r="K329"/>
  <c r="R328"/>
  <c r="P328"/>
  <c r="S328" s="1"/>
  <c r="N328"/>
  <c r="L328"/>
  <c r="V328" s="1" a="1"/>
  <c r="V328" s="1"/>
  <c r="K328"/>
  <c r="R327"/>
  <c r="N327"/>
  <c r="P327" s="1"/>
  <c r="S327" s="1"/>
  <c r="L327"/>
  <c r="K327"/>
  <c r="R326"/>
  <c r="N326"/>
  <c r="P326" s="1"/>
  <c r="S326" s="1"/>
  <c r="L326"/>
  <c r="K326"/>
  <c r="R325"/>
  <c r="P325"/>
  <c r="S325" s="1"/>
  <c r="N325"/>
  <c r="L325"/>
  <c r="V325" s="1" a="1"/>
  <c r="V325" s="1"/>
  <c r="K325"/>
  <c r="R324"/>
  <c r="P324"/>
  <c r="S324" s="1"/>
  <c r="N324"/>
  <c r="L324"/>
  <c r="V324" s="1" a="1"/>
  <c r="V324" s="1"/>
  <c r="K324"/>
  <c r="R323"/>
  <c r="N323"/>
  <c r="P323" s="1"/>
  <c r="S323" s="1"/>
  <c r="L323"/>
  <c r="K323"/>
  <c r="R322"/>
  <c r="N322"/>
  <c r="P322" s="1"/>
  <c r="S322" s="1"/>
  <c r="L322"/>
  <c r="K322"/>
  <c r="R321"/>
  <c r="P321"/>
  <c r="S321" s="1"/>
  <c r="N321"/>
  <c r="L321"/>
  <c r="V321" s="1" a="1"/>
  <c r="V321" s="1"/>
  <c r="K321"/>
  <c r="R320"/>
  <c r="P320"/>
  <c r="S320" s="1"/>
  <c r="N320"/>
  <c r="L320"/>
  <c r="V320" s="1" a="1"/>
  <c r="V320" s="1"/>
  <c r="K320"/>
  <c r="R319"/>
  <c r="N319"/>
  <c r="P319" s="1"/>
  <c r="S319" s="1"/>
  <c r="L319"/>
  <c r="K319"/>
  <c r="R318"/>
  <c r="P318"/>
  <c r="S318" s="1"/>
  <c r="N318"/>
  <c r="L318"/>
  <c r="K318"/>
  <c r="R317"/>
  <c r="N317"/>
  <c r="P317" s="1"/>
  <c r="S317" s="1"/>
  <c r="L317"/>
  <c r="K317"/>
  <c r="R316"/>
  <c r="P316"/>
  <c r="S316" s="1"/>
  <c r="N316"/>
  <c r="L316"/>
  <c r="V316" s="1" a="1"/>
  <c r="V316" s="1"/>
  <c r="K316"/>
  <c r="R315"/>
  <c r="P315"/>
  <c r="S315" s="1"/>
  <c r="N315"/>
  <c r="L315"/>
  <c r="V315" s="1" a="1"/>
  <c r="V315" s="1"/>
  <c r="K315"/>
  <c r="R314"/>
  <c r="N314"/>
  <c r="P314" s="1"/>
  <c r="S314" s="1"/>
  <c r="L314"/>
  <c r="K314"/>
  <c r="R313"/>
  <c r="P313"/>
  <c r="S313" s="1"/>
  <c r="N313"/>
  <c r="L313"/>
  <c r="K313"/>
  <c r="R312"/>
  <c r="N312"/>
  <c r="P312" s="1"/>
  <c r="S312" s="1"/>
  <c r="L312"/>
  <c r="K312"/>
  <c r="R311"/>
  <c r="P311"/>
  <c r="S311" s="1"/>
  <c r="N311"/>
  <c r="L311"/>
  <c r="V311" s="1" a="1"/>
  <c r="V311" s="1"/>
  <c r="K311"/>
  <c r="R310"/>
  <c r="P310"/>
  <c r="N310"/>
  <c r="L310"/>
  <c r="K310"/>
  <c r="R309"/>
  <c r="P309"/>
  <c r="N309"/>
  <c r="L309"/>
  <c r="K309"/>
  <c r="R308"/>
  <c r="N308"/>
  <c r="P308" s="1"/>
  <c r="S308" s="1"/>
  <c r="L308"/>
  <c r="K308"/>
  <c r="R307"/>
  <c r="N307"/>
  <c r="P307" s="1"/>
  <c r="S307" s="1"/>
  <c r="L307"/>
  <c r="K307"/>
  <c r="R306"/>
  <c r="N306"/>
  <c r="P306" s="1"/>
  <c r="S306" s="1"/>
  <c r="L306"/>
  <c r="K306"/>
  <c r="R305"/>
  <c r="N305"/>
  <c r="P305" s="1"/>
  <c r="S305" s="1"/>
  <c r="L305"/>
  <c r="K305"/>
  <c r="R304"/>
  <c r="N304"/>
  <c r="P304" s="1"/>
  <c r="S304" s="1"/>
  <c r="L304"/>
  <c r="K304"/>
  <c r="R303"/>
  <c r="N303"/>
  <c r="P303" s="1"/>
  <c r="S303" s="1"/>
  <c r="L303"/>
  <c r="K303"/>
  <c r="R302"/>
  <c r="N302"/>
  <c r="P302" s="1"/>
  <c r="S302" s="1"/>
  <c r="L302"/>
  <c r="K302"/>
  <c r="R301"/>
  <c r="N301"/>
  <c r="P301" s="1"/>
  <c r="S301" s="1"/>
  <c r="L301"/>
  <c r="K301"/>
  <c r="R300"/>
  <c r="N300"/>
  <c r="P300" s="1"/>
  <c r="S300" s="1"/>
  <c r="L300"/>
  <c r="K300"/>
  <c r="R299"/>
  <c r="N299"/>
  <c r="P299" s="1"/>
  <c r="S299" s="1"/>
  <c r="L299"/>
  <c r="K299"/>
  <c r="R298"/>
  <c r="N298"/>
  <c r="P298" s="1"/>
  <c r="S298" s="1"/>
  <c r="L298"/>
  <c r="K298"/>
  <c r="R297"/>
  <c r="N297"/>
  <c r="P297" s="1"/>
  <c r="S297" s="1"/>
  <c r="L297"/>
  <c r="K297"/>
  <c r="R296"/>
  <c r="N296"/>
  <c r="P296" s="1"/>
  <c r="S296" s="1"/>
  <c r="L296"/>
  <c r="K296"/>
  <c r="R295"/>
  <c r="N295"/>
  <c r="P295" s="1"/>
  <c r="S295" s="1"/>
  <c r="L295"/>
  <c r="K295"/>
  <c r="R294"/>
  <c r="N294"/>
  <c r="P294" s="1"/>
  <c r="S294" s="1"/>
  <c r="L294"/>
  <c r="K294"/>
  <c r="R293"/>
  <c r="N293"/>
  <c r="P293" s="1"/>
  <c r="S293" s="1"/>
  <c r="L293"/>
  <c r="K293"/>
  <c r="R292"/>
  <c r="N292"/>
  <c r="P292" s="1"/>
  <c r="S292" s="1"/>
  <c r="L292"/>
  <c r="K292"/>
  <c r="R291"/>
  <c r="N291"/>
  <c r="P291" s="1"/>
  <c r="S291" s="1"/>
  <c r="L291"/>
  <c r="K291"/>
  <c r="R290"/>
  <c r="P290"/>
  <c r="S290" s="1"/>
  <c r="N290"/>
  <c r="L290"/>
  <c r="K290"/>
  <c r="R289"/>
  <c r="P289"/>
  <c r="S289" s="1"/>
  <c r="N289"/>
  <c r="L289"/>
  <c r="V289" s="1" a="1"/>
  <c r="V289" s="1"/>
  <c r="K289"/>
  <c r="R288"/>
  <c r="N288"/>
  <c r="P288" s="1"/>
  <c r="S288" s="1"/>
  <c r="L288"/>
  <c r="K288"/>
  <c r="R287"/>
  <c r="N287"/>
  <c r="P287" s="1"/>
  <c r="S287" s="1"/>
  <c r="L287"/>
  <c r="K287"/>
  <c r="R286"/>
  <c r="P286"/>
  <c r="S286" s="1"/>
  <c r="N286"/>
  <c r="L286"/>
  <c r="V286" s="1" a="1"/>
  <c r="V286" s="1"/>
  <c r="K286"/>
  <c r="R285"/>
  <c r="P285"/>
  <c r="S285" s="1"/>
  <c r="N285"/>
  <c r="L285"/>
  <c r="V285" s="1" a="1"/>
  <c r="V285" s="1"/>
  <c r="K285"/>
  <c r="R284"/>
  <c r="N284"/>
  <c r="P284" s="1"/>
  <c r="S284" s="1"/>
  <c r="L284"/>
  <c r="K284"/>
  <c r="R283"/>
  <c r="N283"/>
  <c r="P283" s="1"/>
  <c r="S283" s="1"/>
  <c r="L283"/>
  <c r="K283"/>
  <c r="R282"/>
  <c r="P282"/>
  <c r="S282" s="1"/>
  <c r="N282"/>
  <c r="L282"/>
  <c r="V282" s="1" a="1"/>
  <c r="V282" s="1"/>
  <c r="K282"/>
  <c r="R281"/>
  <c r="P281"/>
  <c r="S281" s="1"/>
  <c r="N281"/>
  <c r="L281"/>
  <c r="V281" s="1" a="1"/>
  <c r="V281" s="1"/>
  <c r="K281"/>
  <c r="R280"/>
  <c r="N280"/>
  <c r="P280" s="1"/>
  <c r="S280" s="1"/>
  <c r="L280"/>
  <c r="K280"/>
  <c r="R279"/>
  <c r="N279"/>
  <c r="P279" s="1"/>
  <c r="S279" s="1"/>
  <c r="L279"/>
  <c r="K279"/>
  <c r="R278"/>
  <c r="P278"/>
  <c r="S278" s="1"/>
  <c r="N278"/>
  <c r="L278"/>
  <c r="K278"/>
  <c r="R277"/>
  <c r="N277"/>
  <c r="P277" s="1"/>
  <c r="S277" s="1"/>
  <c r="L277"/>
  <c r="K277"/>
  <c r="R276"/>
  <c r="P276"/>
  <c r="S276" s="1"/>
  <c r="N276"/>
  <c r="L276"/>
  <c r="K276"/>
  <c r="R275"/>
  <c r="N275"/>
  <c r="P275" s="1"/>
  <c r="S275" s="1"/>
  <c r="L275"/>
  <c r="K275"/>
  <c r="R274"/>
  <c r="P274"/>
  <c r="S274" s="1"/>
  <c r="N274"/>
  <c r="L274"/>
  <c r="K274"/>
  <c r="R273"/>
  <c r="N273"/>
  <c r="P273" s="1"/>
  <c r="S273" s="1"/>
  <c r="L273"/>
  <c r="K273"/>
  <c r="R272"/>
  <c r="N272"/>
  <c r="P272" s="1"/>
  <c r="S272" s="1"/>
  <c r="L272"/>
  <c r="K272"/>
  <c r="R271"/>
  <c r="P271"/>
  <c r="S271" s="1"/>
  <c r="N271"/>
  <c r="L271"/>
  <c r="V271" s="1" a="1"/>
  <c r="V271" s="1"/>
  <c r="K271"/>
  <c r="R270"/>
  <c r="N270"/>
  <c r="P270" s="1"/>
  <c r="S270" s="1"/>
  <c r="L270"/>
  <c r="K270"/>
  <c r="R269"/>
  <c r="P269"/>
  <c r="S269" s="1"/>
  <c r="N269"/>
  <c r="L269"/>
  <c r="K269"/>
  <c r="R268"/>
  <c r="P268"/>
  <c r="S268" s="1"/>
  <c r="N268"/>
  <c r="L268"/>
  <c r="V268" s="1" a="1"/>
  <c r="V268" s="1"/>
  <c r="K268"/>
  <c r="R267"/>
  <c r="P267"/>
  <c r="N267"/>
  <c r="L267"/>
  <c r="K267"/>
  <c r="R266"/>
  <c r="N266"/>
  <c r="P266" s="1"/>
  <c r="S266" s="1"/>
  <c r="L266"/>
  <c r="K266"/>
  <c r="R265"/>
  <c r="N265"/>
  <c r="P265" s="1"/>
  <c r="S265" s="1"/>
  <c r="L265"/>
  <c r="K265"/>
  <c r="R264"/>
  <c r="N264"/>
  <c r="P264" s="1"/>
  <c r="S264" s="1"/>
  <c r="L264"/>
  <c r="K264"/>
  <c r="R263"/>
  <c r="N263"/>
  <c r="P263" s="1"/>
  <c r="S263" s="1"/>
  <c r="L263"/>
  <c r="K263"/>
  <c r="R262"/>
  <c r="N262"/>
  <c r="P262" s="1"/>
  <c r="S262" s="1"/>
  <c r="L262"/>
  <c r="K262"/>
  <c r="R261"/>
  <c r="N261"/>
  <c r="P261" s="1"/>
  <c r="S261" s="1"/>
  <c r="L261"/>
  <c r="K261"/>
  <c r="R260"/>
  <c r="N260"/>
  <c r="P260" s="1"/>
  <c r="S260" s="1"/>
  <c r="L260"/>
  <c r="K260"/>
  <c r="R259"/>
  <c r="P259"/>
  <c r="S259" s="1"/>
  <c r="N259"/>
  <c r="L259"/>
  <c r="V259" s="1" a="1"/>
  <c r="V259" s="1"/>
  <c r="K259"/>
  <c r="R258"/>
  <c r="N258"/>
  <c r="P258" s="1"/>
  <c r="L258"/>
  <c r="K258"/>
  <c r="R257"/>
  <c r="N257"/>
  <c r="P257" s="1"/>
  <c r="S257" s="1"/>
  <c r="L257"/>
  <c r="K257"/>
  <c r="R256"/>
  <c r="N256"/>
  <c r="P256" s="1"/>
  <c r="S256" s="1"/>
  <c r="L256"/>
  <c r="K256"/>
  <c r="R255"/>
  <c r="P255"/>
  <c r="S255" s="1"/>
  <c r="N255"/>
  <c r="L255"/>
  <c r="K255"/>
  <c r="R254"/>
  <c r="N254"/>
  <c r="P254" s="1"/>
  <c r="L254"/>
  <c r="K254"/>
  <c r="R253"/>
  <c r="N253"/>
  <c r="P253" s="1"/>
  <c r="L253"/>
  <c r="K253"/>
  <c r="R252"/>
  <c r="N252"/>
  <c r="P252" s="1"/>
  <c r="S252" s="1"/>
  <c r="L252"/>
  <c r="K252"/>
  <c r="R251"/>
  <c r="P251"/>
  <c r="S251" s="1"/>
  <c r="N251"/>
  <c r="L251"/>
  <c r="V251" s="1" a="1"/>
  <c r="V251" s="1"/>
  <c r="K251"/>
  <c r="R250"/>
  <c r="N250"/>
  <c r="P250" s="1"/>
  <c r="L250"/>
  <c r="K250"/>
  <c r="R249"/>
  <c r="N249"/>
  <c r="P249" s="1"/>
  <c r="S249" s="1"/>
  <c r="L249"/>
  <c r="K249"/>
  <c r="R248"/>
  <c r="N248"/>
  <c r="P248" s="1"/>
  <c r="S248" s="1"/>
  <c r="L248"/>
  <c r="K248"/>
  <c r="R247"/>
  <c r="P247"/>
  <c r="S247" s="1"/>
  <c r="N247"/>
  <c r="L247"/>
  <c r="K247"/>
  <c r="R246"/>
  <c r="P246"/>
  <c r="N246"/>
  <c r="L246"/>
  <c r="K246"/>
  <c r="R245"/>
  <c r="P245"/>
  <c r="S245" s="1"/>
  <c r="N245"/>
  <c r="L245"/>
  <c r="V245" s="1" a="1"/>
  <c r="V245" s="1"/>
  <c r="K245"/>
  <c r="R244"/>
  <c r="P244"/>
  <c r="S244" s="1"/>
  <c r="N244"/>
  <c r="L244"/>
  <c r="V244" s="1" a="1"/>
  <c r="V244" s="1"/>
  <c r="K244"/>
  <c r="R243"/>
  <c r="N243"/>
  <c r="P243" s="1"/>
  <c r="S243" s="1"/>
  <c r="L243"/>
  <c r="K243"/>
  <c r="R242"/>
  <c r="N242"/>
  <c r="P242" s="1"/>
  <c r="S242" s="1"/>
  <c r="L242"/>
  <c r="K242"/>
  <c r="R241"/>
  <c r="P241"/>
  <c r="S241" s="1"/>
  <c r="N241"/>
  <c r="L241"/>
  <c r="V241" s="1" a="1"/>
  <c r="V241" s="1"/>
  <c r="K241"/>
  <c r="R240"/>
  <c r="P240"/>
  <c r="S240" s="1"/>
  <c r="N240"/>
  <c r="L240"/>
  <c r="V240" s="1" a="1"/>
  <c r="V240" s="1"/>
  <c r="K240"/>
  <c r="R239"/>
  <c r="N239"/>
  <c r="P239" s="1"/>
  <c r="S239" s="1"/>
  <c r="L239"/>
  <c r="K239"/>
  <c r="R238"/>
  <c r="P238"/>
  <c r="S238" s="1"/>
  <c r="N238"/>
  <c r="L238"/>
  <c r="K238"/>
  <c r="R237"/>
  <c r="P237"/>
  <c r="S237" s="1"/>
  <c r="N237"/>
  <c r="L237"/>
  <c r="V237" s="1" a="1"/>
  <c r="V237" s="1"/>
  <c r="K237"/>
  <c r="R236"/>
  <c r="N236"/>
  <c r="P236" s="1"/>
  <c r="S236" s="1"/>
  <c r="L236"/>
  <c r="K236"/>
  <c r="R235"/>
  <c r="N235"/>
  <c r="P235" s="1"/>
  <c r="S235" s="1"/>
  <c r="L235"/>
  <c r="K235"/>
  <c r="R234"/>
  <c r="P234"/>
  <c r="S234" s="1"/>
  <c r="N234"/>
  <c r="L234"/>
  <c r="V234" s="1" a="1"/>
  <c r="V234" s="1"/>
  <c r="K234"/>
  <c r="R233"/>
  <c r="P233"/>
  <c r="S233" s="1"/>
  <c r="N233"/>
  <c r="L233"/>
  <c r="V233" s="1" a="1"/>
  <c r="V233" s="1"/>
  <c r="K233"/>
  <c r="R232"/>
  <c r="N232"/>
  <c r="P232" s="1"/>
  <c r="S232" s="1"/>
  <c r="L232"/>
  <c r="K232"/>
  <c r="R231"/>
  <c r="N231"/>
  <c r="P231" s="1"/>
  <c r="S231" s="1"/>
  <c r="L231"/>
  <c r="K231"/>
  <c r="R230"/>
  <c r="P230"/>
  <c r="S230" s="1"/>
  <c r="N230"/>
  <c r="L230"/>
  <c r="V230" s="1" a="1"/>
  <c r="V230" s="1"/>
  <c r="K230"/>
  <c r="R229"/>
  <c r="P229"/>
  <c r="S229" s="1"/>
  <c r="N229"/>
  <c r="L229"/>
  <c r="V229" s="1" a="1"/>
  <c r="V229" s="1"/>
  <c r="K229"/>
  <c r="R228"/>
  <c r="N228"/>
  <c r="P228" s="1"/>
  <c r="S228" s="1"/>
  <c r="L228"/>
  <c r="K228"/>
  <c r="R227"/>
  <c r="N227"/>
  <c r="P227" s="1"/>
  <c r="S227" s="1"/>
  <c r="L227"/>
  <c r="K227"/>
  <c r="R226"/>
  <c r="P226"/>
  <c r="S226" s="1"/>
  <c r="N226"/>
  <c r="L226"/>
  <c r="V226" s="1" a="1"/>
  <c r="V226" s="1"/>
  <c r="K226"/>
  <c r="R225"/>
  <c r="P225"/>
  <c r="S225" s="1"/>
  <c r="N225"/>
  <c r="L225"/>
  <c r="V225" s="1" a="1"/>
  <c r="V225" s="1"/>
  <c r="K225"/>
  <c r="R224"/>
  <c r="N224"/>
  <c r="P224" s="1"/>
  <c r="S224" s="1"/>
  <c r="L224"/>
  <c r="K224"/>
  <c r="R223"/>
  <c r="P223"/>
  <c r="S223" s="1"/>
  <c r="N223"/>
  <c r="L223"/>
  <c r="K223"/>
  <c r="R222"/>
  <c r="N222"/>
  <c r="P222" s="1"/>
  <c r="S222" s="1"/>
  <c r="L222"/>
  <c r="K222"/>
  <c r="R221"/>
  <c r="N221"/>
  <c r="P221" s="1"/>
  <c r="S221" s="1"/>
  <c r="L221"/>
  <c r="K221"/>
  <c r="R220"/>
  <c r="P220"/>
  <c r="S220" s="1"/>
  <c r="N220"/>
  <c r="L220"/>
  <c r="V220" s="1" a="1"/>
  <c r="V220" s="1"/>
  <c r="K220"/>
  <c r="R219"/>
  <c r="P219"/>
  <c r="S219" s="1"/>
  <c r="N219"/>
  <c r="L219"/>
  <c r="V219" s="1" a="1"/>
  <c r="V219" s="1"/>
  <c r="K219"/>
  <c r="R218"/>
  <c r="N218"/>
  <c r="P218" s="1"/>
  <c r="S218" s="1"/>
  <c r="L218"/>
  <c r="K218"/>
  <c r="R217"/>
  <c r="N217"/>
  <c r="P217" s="1"/>
  <c r="S217" s="1"/>
  <c r="L217"/>
  <c r="K217"/>
  <c r="R216"/>
  <c r="P216"/>
  <c r="S216" s="1"/>
  <c r="N216"/>
  <c r="L216"/>
  <c r="V216" s="1" a="1"/>
  <c r="V216" s="1"/>
  <c r="K216"/>
  <c r="R215"/>
  <c r="R408" s="1"/>
  <c r="N215"/>
  <c r="P215" s="1"/>
  <c r="L215"/>
  <c r="K215"/>
  <c r="U210"/>
  <c r="Y210" s="1"/>
  <c r="S210"/>
  <c r="W210" s="1"/>
  <c r="Y209"/>
  <c r="W209"/>
  <c r="Y208"/>
  <c r="W208"/>
  <c r="Y207"/>
  <c r="W207"/>
  <c r="AA207" s="1"/>
  <c r="K207"/>
  <c r="C427" s="1"/>
  <c r="Y206"/>
  <c r="W206"/>
  <c r="K206"/>
  <c r="C426" s="1"/>
  <c r="Y205"/>
  <c r="W205"/>
  <c r="AA205" s="1"/>
  <c r="Y204"/>
  <c r="AA204" s="1"/>
  <c r="W204"/>
  <c r="I204"/>
  <c r="K204" s="1" a="1"/>
  <c r="K204" s="1"/>
  <c r="Y203"/>
  <c r="W203"/>
  <c r="I203"/>
  <c r="K203" s="1" a="1"/>
  <c r="K203" s="1"/>
  <c r="K202" a="1"/>
  <c r="K202" s="1"/>
  <c r="I202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N198"/>
  <c r="P198" s="1"/>
  <c r="S198" s="1"/>
  <c r="L198"/>
  <c r="K198"/>
  <c r="R197"/>
  <c r="P197"/>
  <c r="S197" s="1"/>
  <c r="N197"/>
  <c r="L197"/>
  <c r="V197" s="1" a="1"/>
  <c r="V197" s="1"/>
  <c r="K197"/>
  <c r="R196"/>
  <c r="N196"/>
  <c r="P196" s="1"/>
  <c r="S196" s="1"/>
  <c r="L196"/>
  <c r="K196"/>
  <c r="R195"/>
  <c r="P195"/>
  <c r="S195" s="1"/>
  <c r="N195"/>
  <c r="L195"/>
  <c r="V195" s="1" a="1"/>
  <c r="V195" s="1"/>
  <c r="K195"/>
  <c r="R194"/>
  <c r="N194"/>
  <c r="P194" s="1"/>
  <c r="S194" s="1"/>
  <c r="L194"/>
  <c r="K194"/>
  <c r="R193"/>
  <c r="P193"/>
  <c r="S193" s="1"/>
  <c r="N193"/>
  <c r="L193"/>
  <c r="K193"/>
  <c r="R192"/>
  <c r="N192"/>
  <c r="P192" s="1"/>
  <c r="S192" s="1"/>
  <c r="L192"/>
  <c r="K192"/>
  <c r="R191"/>
  <c r="P191"/>
  <c r="S191" s="1"/>
  <c r="N191"/>
  <c r="L191"/>
  <c r="K191"/>
  <c r="R190"/>
  <c r="N190"/>
  <c r="P190" s="1"/>
  <c r="S190" s="1"/>
  <c r="L190"/>
  <c r="K190"/>
  <c r="R189"/>
  <c r="P189"/>
  <c r="S189" s="1"/>
  <c r="N189"/>
  <c r="L189"/>
  <c r="V189" s="1" a="1"/>
  <c r="V189" s="1"/>
  <c r="K189"/>
  <c r="R188"/>
  <c r="N188"/>
  <c r="P188" s="1"/>
  <c r="S188" s="1"/>
  <c r="L188"/>
  <c r="K188"/>
  <c r="R187"/>
  <c r="P187"/>
  <c r="S187" s="1"/>
  <c r="N187"/>
  <c r="L187"/>
  <c r="V187" s="1" a="1"/>
  <c r="V187" s="1"/>
  <c r="K187"/>
  <c r="R186"/>
  <c r="N186"/>
  <c r="P186" s="1"/>
  <c r="S186" s="1"/>
  <c r="L186"/>
  <c r="K186"/>
  <c r="R185"/>
  <c r="P185"/>
  <c r="S185" s="1"/>
  <c r="N185"/>
  <c r="L185"/>
  <c r="V185" s="1" a="1"/>
  <c r="V185" s="1"/>
  <c r="K185"/>
  <c r="R184"/>
  <c r="N184"/>
  <c r="P184" s="1"/>
  <c r="S184" s="1"/>
  <c r="L184"/>
  <c r="K184"/>
  <c r="R183"/>
  <c r="P183"/>
  <c r="S183" s="1"/>
  <c r="N183"/>
  <c r="L183"/>
  <c r="V183" s="1" a="1"/>
  <c r="V183" s="1"/>
  <c r="K183"/>
  <c r="R182"/>
  <c r="N182"/>
  <c r="P182" s="1"/>
  <c r="S182" s="1"/>
  <c r="L182"/>
  <c r="K182"/>
  <c r="R181"/>
  <c r="P181"/>
  <c r="S181" s="1"/>
  <c r="N181"/>
  <c r="L181"/>
  <c r="V181" s="1" a="1"/>
  <c r="V181" s="1"/>
  <c r="K181"/>
  <c r="R180"/>
  <c r="N180"/>
  <c r="P180" s="1"/>
  <c r="S180" s="1"/>
  <c r="L180"/>
  <c r="K180"/>
  <c r="R179"/>
  <c r="P179"/>
  <c r="S179" s="1"/>
  <c r="N179"/>
  <c r="L179"/>
  <c r="V179" s="1" a="1"/>
  <c r="V179" s="1"/>
  <c r="K179"/>
  <c r="R178"/>
  <c r="N178"/>
  <c r="P178" s="1"/>
  <c r="S178" s="1"/>
  <c r="L178"/>
  <c r="K178"/>
  <c r="R177"/>
  <c r="P177"/>
  <c r="S177" s="1"/>
  <c r="N177"/>
  <c r="L177"/>
  <c r="V177" s="1" a="1"/>
  <c r="V177" s="1"/>
  <c r="K177"/>
  <c r="R176"/>
  <c r="N176"/>
  <c r="P176" s="1"/>
  <c r="S176" s="1"/>
  <c r="L176"/>
  <c r="K176"/>
  <c r="R175"/>
  <c r="P175"/>
  <c r="S175" s="1"/>
  <c r="N175"/>
  <c r="L175"/>
  <c r="V175" s="1" a="1"/>
  <c r="V175" s="1"/>
  <c r="K175"/>
  <c r="R174"/>
  <c r="N174"/>
  <c r="P174" s="1"/>
  <c r="S174" s="1"/>
  <c r="L174"/>
  <c r="K174"/>
  <c r="R173"/>
  <c r="P173"/>
  <c r="S173" s="1"/>
  <c r="N173"/>
  <c r="L173"/>
  <c r="V173" s="1" a="1"/>
  <c r="V173" s="1"/>
  <c r="K173"/>
  <c r="R172"/>
  <c r="N172"/>
  <c r="P172" s="1"/>
  <c r="S172" s="1"/>
  <c r="L172"/>
  <c r="K172"/>
  <c r="R171"/>
  <c r="P171"/>
  <c r="S171" s="1"/>
  <c r="N171"/>
  <c r="L171"/>
  <c r="V171" s="1" a="1"/>
  <c r="V171" s="1"/>
  <c r="K171"/>
  <c r="R170"/>
  <c r="N170"/>
  <c r="P170" s="1"/>
  <c r="S170" s="1"/>
  <c r="L170"/>
  <c r="K170"/>
  <c r="R169"/>
  <c r="P169"/>
  <c r="S169" s="1"/>
  <c r="N169"/>
  <c r="L169"/>
  <c r="V169" s="1" a="1"/>
  <c r="V169" s="1"/>
  <c r="K169"/>
  <c r="R168"/>
  <c r="N168"/>
  <c r="P168" s="1"/>
  <c r="S168" s="1"/>
  <c r="L168"/>
  <c r="K168"/>
  <c r="R167"/>
  <c r="P167"/>
  <c r="S167" s="1"/>
  <c r="N167"/>
  <c r="L167"/>
  <c r="K167"/>
  <c r="R166"/>
  <c r="N166"/>
  <c r="P166" s="1"/>
  <c r="S166" s="1"/>
  <c r="L166"/>
  <c r="K166"/>
  <c r="R165"/>
  <c r="P165"/>
  <c r="S165" s="1"/>
  <c r="N165"/>
  <c r="L165"/>
  <c r="K165"/>
  <c r="R164"/>
  <c r="N164"/>
  <c r="P164" s="1"/>
  <c r="S164" s="1"/>
  <c r="L164"/>
  <c r="K164"/>
  <c r="R163"/>
  <c r="P163"/>
  <c r="S163" s="1"/>
  <c r="N163"/>
  <c r="L163"/>
  <c r="K163"/>
  <c r="R162"/>
  <c r="N162"/>
  <c r="P162" s="1"/>
  <c r="S162" s="1"/>
  <c r="L162"/>
  <c r="K162"/>
  <c r="R161"/>
  <c r="P161"/>
  <c r="S161" s="1"/>
  <c r="N161"/>
  <c r="L161"/>
  <c r="K161"/>
  <c r="R160"/>
  <c r="N160"/>
  <c r="P160" s="1"/>
  <c r="S160" s="1"/>
  <c r="L160"/>
  <c r="K160"/>
  <c r="R159"/>
  <c r="P159"/>
  <c r="S159" s="1"/>
  <c r="N159"/>
  <c r="L159"/>
  <c r="K159"/>
  <c r="R158"/>
  <c r="N158"/>
  <c r="P158" s="1"/>
  <c r="S158" s="1"/>
  <c r="L158"/>
  <c r="K158"/>
  <c r="R157"/>
  <c r="P157"/>
  <c r="S157" s="1"/>
  <c r="N157"/>
  <c r="L157"/>
  <c r="K157"/>
  <c r="R156"/>
  <c r="N156"/>
  <c r="P156" s="1"/>
  <c r="S156" s="1"/>
  <c r="L156"/>
  <c r="K156"/>
  <c r="R155"/>
  <c r="P155"/>
  <c r="S155" s="1"/>
  <c r="N155"/>
  <c r="L155"/>
  <c r="K155"/>
  <c r="R154"/>
  <c r="N154"/>
  <c r="P154" s="1"/>
  <c r="S154" s="1"/>
  <c r="L154"/>
  <c r="K154"/>
  <c r="R153"/>
  <c r="P153"/>
  <c r="S153" s="1"/>
  <c r="N153"/>
  <c r="L153"/>
  <c r="K153"/>
  <c r="R152"/>
  <c r="N152"/>
  <c r="P152" s="1"/>
  <c r="S152" s="1"/>
  <c r="L152"/>
  <c r="K152"/>
  <c r="R151"/>
  <c r="P151"/>
  <c r="S151" s="1"/>
  <c r="N151"/>
  <c r="L151"/>
  <c r="K151"/>
  <c r="R150"/>
  <c r="N150"/>
  <c r="P150" s="1"/>
  <c r="S150" s="1"/>
  <c r="L150"/>
  <c r="K150"/>
  <c r="R149"/>
  <c r="P149"/>
  <c r="S149" s="1"/>
  <c r="N149"/>
  <c r="L149"/>
  <c r="V149" s="1" a="1"/>
  <c r="V149" s="1"/>
  <c r="K149"/>
  <c r="R148"/>
  <c r="N148"/>
  <c r="P148" s="1"/>
  <c r="S148" s="1"/>
  <c r="L148"/>
  <c r="K148"/>
  <c r="R147"/>
  <c r="P147"/>
  <c r="S147" s="1"/>
  <c r="N147"/>
  <c r="L147"/>
  <c r="V147" s="1" a="1"/>
  <c r="V147" s="1"/>
  <c r="K147"/>
  <c r="R146"/>
  <c r="N146"/>
  <c r="P146" s="1"/>
  <c r="S146" s="1"/>
  <c r="L146"/>
  <c r="K146"/>
  <c r="R145"/>
  <c r="P145"/>
  <c r="S145" s="1"/>
  <c r="N145"/>
  <c r="L145"/>
  <c r="K145"/>
  <c r="R144"/>
  <c r="N144"/>
  <c r="P144" s="1"/>
  <c r="S144" s="1"/>
  <c r="L144"/>
  <c r="K144"/>
  <c r="R143"/>
  <c r="P143"/>
  <c r="S143" s="1"/>
  <c r="N143"/>
  <c r="L143"/>
  <c r="V143" s="1" a="1"/>
  <c r="V143" s="1"/>
  <c r="K143"/>
  <c r="R142"/>
  <c r="N142"/>
  <c r="P142" s="1"/>
  <c r="S142" s="1"/>
  <c r="L142"/>
  <c r="K142"/>
  <c r="R141"/>
  <c r="P141"/>
  <c r="S141" s="1"/>
  <c r="N141"/>
  <c r="L141"/>
  <c r="V141" s="1" a="1"/>
  <c r="V141" s="1"/>
  <c r="K141"/>
  <c r="R140"/>
  <c r="N140"/>
  <c r="P140" s="1"/>
  <c r="S140" s="1"/>
  <c r="L140"/>
  <c r="K140"/>
  <c r="R139"/>
  <c r="P139"/>
  <c r="S139" s="1"/>
  <c r="N139"/>
  <c r="L139"/>
  <c r="V139" s="1" a="1"/>
  <c r="V139" s="1"/>
  <c r="K139"/>
  <c r="R138"/>
  <c r="N138"/>
  <c r="P138" s="1"/>
  <c r="S138" s="1"/>
  <c r="L138"/>
  <c r="K138"/>
  <c r="R137"/>
  <c r="P137"/>
  <c r="S137" s="1"/>
  <c r="N137"/>
  <c r="L137"/>
  <c r="V137" s="1" a="1"/>
  <c r="V137" s="1"/>
  <c r="K137"/>
  <c r="R136"/>
  <c r="N136"/>
  <c r="P136" s="1"/>
  <c r="S136" s="1"/>
  <c r="L136"/>
  <c r="K136"/>
  <c r="R135"/>
  <c r="P135"/>
  <c r="S135" s="1"/>
  <c r="N135"/>
  <c r="L135"/>
  <c r="V135" s="1" a="1"/>
  <c r="V135" s="1"/>
  <c r="K135"/>
  <c r="R134"/>
  <c r="N134"/>
  <c r="P134" s="1"/>
  <c r="S134" s="1"/>
  <c r="L134"/>
  <c r="K134"/>
  <c r="R133"/>
  <c r="P133"/>
  <c r="S133" s="1"/>
  <c r="N133"/>
  <c r="L133"/>
  <c r="V133" s="1" a="1"/>
  <c r="V133" s="1"/>
  <c r="K133"/>
  <c r="R132"/>
  <c r="N132"/>
  <c r="P132" s="1"/>
  <c r="S132" s="1"/>
  <c r="L132"/>
  <c r="K132"/>
  <c r="R131"/>
  <c r="P131"/>
  <c r="S131" s="1"/>
  <c r="N131"/>
  <c r="L131"/>
  <c r="K131"/>
  <c r="R130"/>
  <c r="N130"/>
  <c r="P130" s="1"/>
  <c r="S130" s="1"/>
  <c r="L130"/>
  <c r="K130"/>
  <c r="R129"/>
  <c r="P129"/>
  <c r="S129" s="1"/>
  <c r="N129"/>
  <c r="L129"/>
  <c r="V129" s="1" a="1"/>
  <c r="V129" s="1"/>
  <c r="K129"/>
  <c r="R128"/>
  <c r="N128"/>
  <c r="P128" s="1"/>
  <c r="S128" s="1"/>
  <c r="L128"/>
  <c r="K128"/>
  <c r="R127"/>
  <c r="P127"/>
  <c r="S127" s="1"/>
  <c r="N127"/>
  <c r="L127"/>
  <c r="V127" s="1" a="1"/>
  <c r="V127" s="1"/>
  <c r="K127"/>
  <c r="R126"/>
  <c r="N126"/>
  <c r="P126" s="1"/>
  <c r="S126" s="1"/>
  <c r="L126"/>
  <c r="K126"/>
  <c r="R125"/>
  <c r="P125"/>
  <c r="S125" s="1"/>
  <c r="N125"/>
  <c r="L125"/>
  <c r="K125"/>
  <c r="R124"/>
  <c r="N124"/>
  <c r="P124" s="1"/>
  <c r="S124" s="1"/>
  <c r="L124"/>
  <c r="K124"/>
  <c r="R123"/>
  <c r="P123"/>
  <c r="S123" s="1"/>
  <c r="N123"/>
  <c r="L123"/>
  <c r="K123"/>
  <c r="R122"/>
  <c r="N122"/>
  <c r="P122" s="1"/>
  <c r="S122" s="1"/>
  <c r="L122"/>
  <c r="K122"/>
  <c r="R121"/>
  <c r="P121"/>
  <c r="S121" s="1"/>
  <c r="N121"/>
  <c r="L121"/>
  <c r="K121"/>
  <c r="R120"/>
  <c r="N120"/>
  <c r="P120" s="1"/>
  <c r="S120" s="1"/>
  <c r="L120"/>
  <c r="K120"/>
  <c r="R119"/>
  <c r="P119"/>
  <c r="S119" s="1"/>
  <c r="N119"/>
  <c r="L119"/>
  <c r="V119" s="1" a="1"/>
  <c r="V119" s="1"/>
  <c r="K119"/>
  <c r="R118"/>
  <c r="N118"/>
  <c r="P118" s="1"/>
  <c r="S118" s="1"/>
  <c r="L118"/>
  <c r="K118"/>
  <c r="R117"/>
  <c r="P117"/>
  <c r="S117" s="1"/>
  <c r="N117"/>
  <c r="L117"/>
  <c r="V117" s="1" a="1"/>
  <c r="V117" s="1"/>
  <c r="K117"/>
  <c r="R116"/>
  <c r="N116"/>
  <c r="P116" s="1"/>
  <c r="S116" s="1"/>
  <c r="L116"/>
  <c r="K116"/>
  <c r="R115"/>
  <c r="P115"/>
  <c r="S115" s="1"/>
  <c r="N115"/>
  <c r="L115"/>
  <c r="V115" s="1" a="1"/>
  <c r="V115" s="1"/>
  <c r="K115"/>
  <c r="R114"/>
  <c r="N114"/>
  <c r="P114" s="1"/>
  <c r="S114" s="1"/>
  <c r="L114"/>
  <c r="K114"/>
  <c r="R113"/>
  <c r="P113"/>
  <c r="S113" s="1"/>
  <c r="N113"/>
  <c r="L113"/>
  <c r="V113" s="1" a="1"/>
  <c r="V113" s="1"/>
  <c r="K113"/>
  <c r="R112"/>
  <c r="N112"/>
  <c r="P112" s="1"/>
  <c r="S112" s="1"/>
  <c r="L112"/>
  <c r="K112"/>
  <c r="R111"/>
  <c r="P111"/>
  <c r="S111" s="1"/>
  <c r="N111"/>
  <c r="L111"/>
  <c r="V111" s="1" a="1"/>
  <c r="V111" s="1"/>
  <c r="K111"/>
  <c r="R110"/>
  <c r="N110"/>
  <c r="P110" s="1"/>
  <c r="S110" s="1"/>
  <c r="L110"/>
  <c r="K110"/>
  <c r="R109"/>
  <c r="P109"/>
  <c r="S109" s="1"/>
  <c r="N109"/>
  <c r="L109"/>
  <c r="K109"/>
  <c r="R108"/>
  <c r="N108"/>
  <c r="P108" s="1"/>
  <c r="S108" s="1"/>
  <c r="L108"/>
  <c r="K108"/>
  <c r="R107"/>
  <c r="P107"/>
  <c r="S107" s="1"/>
  <c r="N107"/>
  <c r="L107"/>
  <c r="V107" s="1" a="1"/>
  <c r="V107" s="1"/>
  <c r="K107"/>
  <c r="R106"/>
  <c r="N106"/>
  <c r="P106" s="1"/>
  <c r="S106" s="1"/>
  <c r="L106"/>
  <c r="K106"/>
  <c r="R105"/>
  <c r="P105"/>
  <c r="S105" s="1"/>
  <c r="N105"/>
  <c r="L105"/>
  <c r="K105"/>
  <c r="R104"/>
  <c r="N104"/>
  <c r="P104" s="1"/>
  <c r="S104" s="1"/>
  <c r="L104"/>
  <c r="K104"/>
  <c r="R103"/>
  <c r="P103"/>
  <c r="S103" s="1"/>
  <c r="N103"/>
  <c r="L103"/>
  <c r="K103"/>
  <c r="R102"/>
  <c r="N102"/>
  <c r="P102" s="1"/>
  <c r="S102" s="1"/>
  <c r="L102"/>
  <c r="K102"/>
  <c r="R101"/>
  <c r="P101"/>
  <c r="N101"/>
  <c r="L101"/>
  <c r="V101" s="1" a="1"/>
  <c r="V101" s="1"/>
  <c r="K101"/>
  <c r="R100"/>
  <c r="N100"/>
  <c r="P100" s="1"/>
  <c r="S100" s="1"/>
  <c r="L100"/>
  <c r="K100"/>
  <c r="R99"/>
  <c r="P99"/>
  <c r="S99" s="1"/>
  <c r="N99"/>
  <c r="L99"/>
  <c r="K99"/>
  <c r="R98"/>
  <c r="N98"/>
  <c r="P98" s="1"/>
  <c r="S98" s="1"/>
  <c r="L98"/>
  <c r="K98"/>
  <c r="R97"/>
  <c r="P97"/>
  <c r="S97" s="1"/>
  <c r="N97"/>
  <c r="L97"/>
  <c r="V97" s="1" a="1"/>
  <c r="V97" s="1"/>
  <c r="K97"/>
  <c r="R96"/>
  <c r="N96"/>
  <c r="P96" s="1"/>
  <c r="S96" s="1"/>
  <c r="L96"/>
  <c r="K96"/>
  <c r="R95"/>
  <c r="P95"/>
  <c r="S95" s="1"/>
  <c r="N95"/>
  <c r="L95"/>
  <c r="K95"/>
  <c r="R94"/>
  <c r="N94"/>
  <c r="P94" s="1"/>
  <c r="S94" s="1"/>
  <c r="L94"/>
  <c r="K94"/>
  <c r="R93"/>
  <c r="P93"/>
  <c r="S93" s="1"/>
  <c r="N93"/>
  <c r="L93"/>
  <c r="V93" s="1" a="1"/>
  <c r="V93" s="1"/>
  <c r="K93"/>
  <c r="R92"/>
  <c r="N92"/>
  <c r="P92" s="1"/>
  <c r="S92" s="1"/>
  <c r="L92"/>
  <c r="K92"/>
  <c r="R91"/>
  <c r="P91"/>
  <c r="S91" s="1"/>
  <c r="N91"/>
  <c r="L91"/>
  <c r="K91"/>
  <c r="R90"/>
  <c r="N90"/>
  <c r="P90" s="1"/>
  <c r="S90" s="1"/>
  <c r="L90"/>
  <c r="K90"/>
  <c r="R89"/>
  <c r="P89"/>
  <c r="S89" s="1"/>
  <c r="N89"/>
  <c r="L89"/>
  <c r="V89" s="1" a="1"/>
  <c r="V89" s="1"/>
  <c r="K89"/>
  <c r="R88"/>
  <c r="N88"/>
  <c r="P88" s="1"/>
  <c r="S88" s="1"/>
  <c r="L88"/>
  <c r="K88"/>
  <c r="R87"/>
  <c r="P87"/>
  <c r="S87" s="1"/>
  <c r="N87"/>
  <c r="L87"/>
  <c r="K87"/>
  <c r="R86"/>
  <c r="N86"/>
  <c r="P86" s="1"/>
  <c r="S86" s="1"/>
  <c r="L86"/>
  <c r="K86"/>
  <c r="R85"/>
  <c r="P85"/>
  <c r="S85" s="1"/>
  <c r="N85"/>
  <c r="L85"/>
  <c r="K85"/>
  <c r="R84"/>
  <c r="N84"/>
  <c r="P84" s="1"/>
  <c r="S84" s="1"/>
  <c r="L84"/>
  <c r="K84"/>
  <c r="R83"/>
  <c r="P83"/>
  <c r="S83" s="1"/>
  <c r="N83"/>
  <c r="L83"/>
  <c r="K83"/>
  <c r="R82"/>
  <c r="N82"/>
  <c r="P82" s="1"/>
  <c r="S82" s="1"/>
  <c r="L82"/>
  <c r="K82"/>
  <c r="R81"/>
  <c r="P81"/>
  <c r="S81" s="1"/>
  <c r="N81"/>
  <c r="L81"/>
  <c r="K81"/>
  <c r="R80"/>
  <c r="N80"/>
  <c r="P80" s="1"/>
  <c r="S80" s="1"/>
  <c r="L80"/>
  <c r="K80"/>
  <c r="R79"/>
  <c r="P79"/>
  <c r="S79" s="1"/>
  <c r="N79"/>
  <c r="L79"/>
  <c r="K79"/>
  <c r="R78"/>
  <c r="P78"/>
  <c r="N78"/>
  <c r="L78"/>
  <c r="V78" s="1" a="1"/>
  <c r="V78" s="1"/>
  <c r="K78"/>
  <c r="R77"/>
  <c r="P77"/>
  <c r="S77" s="1"/>
  <c r="N77"/>
  <c r="L77"/>
  <c r="V77" s="1" a="1"/>
  <c r="V77" s="1"/>
  <c r="K77"/>
  <c r="R76"/>
  <c r="N76"/>
  <c r="P76" s="1"/>
  <c r="S76" s="1"/>
  <c r="L76"/>
  <c r="K76"/>
  <c r="R75"/>
  <c r="P75"/>
  <c r="S75" s="1"/>
  <c r="N75"/>
  <c r="L75"/>
  <c r="V75" s="1" a="1"/>
  <c r="V75" s="1"/>
  <c r="K75"/>
  <c r="R74"/>
  <c r="N74"/>
  <c r="P74" s="1"/>
  <c r="S74" s="1"/>
  <c r="L74"/>
  <c r="K74"/>
  <c r="R73"/>
  <c r="P73"/>
  <c r="S73" s="1"/>
  <c r="N73"/>
  <c r="L73"/>
  <c r="V73" s="1" a="1"/>
  <c r="V73" s="1"/>
  <c r="K73"/>
  <c r="R72"/>
  <c r="N72"/>
  <c r="P72" s="1"/>
  <c r="S72" s="1"/>
  <c r="L72"/>
  <c r="K72"/>
  <c r="R71"/>
  <c r="P71"/>
  <c r="S71" s="1"/>
  <c r="N71"/>
  <c r="L71"/>
  <c r="V71" s="1" a="1"/>
  <c r="V71" s="1"/>
  <c r="K71"/>
  <c r="R70"/>
  <c r="N70"/>
  <c r="P70" s="1"/>
  <c r="S70" s="1"/>
  <c r="L70"/>
  <c r="K70"/>
  <c r="R69"/>
  <c r="P69"/>
  <c r="S69" s="1"/>
  <c r="N69"/>
  <c r="L69"/>
  <c r="K69"/>
  <c r="R68"/>
  <c r="N68"/>
  <c r="P68" s="1"/>
  <c r="S68" s="1"/>
  <c r="L68"/>
  <c r="K68"/>
  <c r="R67"/>
  <c r="P67"/>
  <c r="S67" s="1"/>
  <c r="N67"/>
  <c r="L67"/>
  <c r="K67"/>
  <c r="R66"/>
  <c r="N66"/>
  <c r="P66" s="1"/>
  <c r="S66" s="1"/>
  <c r="L66"/>
  <c r="K66"/>
  <c r="R65"/>
  <c r="P65"/>
  <c r="S65" s="1"/>
  <c r="N65"/>
  <c r="L65"/>
  <c r="K65"/>
  <c r="R64"/>
  <c r="N64"/>
  <c r="P64" s="1"/>
  <c r="S64" s="1"/>
  <c r="L64"/>
  <c r="K64"/>
  <c r="R63"/>
  <c r="P63"/>
  <c r="S63" s="1"/>
  <c r="N63"/>
  <c r="L63"/>
  <c r="V63" s="1" a="1"/>
  <c r="V63" s="1"/>
  <c r="K63"/>
  <c r="R62"/>
  <c r="N62"/>
  <c r="P62" s="1"/>
  <c r="S62" s="1"/>
  <c r="L62"/>
  <c r="K62"/>
  <c r="R61"/>
  <c r="P61"/>
  <c r="S61" s="1"/>
  <c r="N61"/>
  <c r="L61"/>
  <c r="K61"/>
  <c r="R60"/>
  <c r="N60"/>
  <c r="P60" s="1"/>
  <c r="S60" s="1"/>
  <c r="L60"/>
  <c r="K60"/>
  <c r="R59"/>
  <c r="P59"/>
  <c r="S59" s="1"/>
  <c r="N59"/>
  <c r="L59"/>
  <c r="V59" s="1" a="1"/>
  <c r="V59" s="1"/>
  <c r="K59"/>
  <c r="R58"/>
  <c r="N58"/>
  <c r="P58" s="1"/>
  <c r="S58" s="1"/>
  <c r="L58"/>
  <c r="K58"/>
  <c r="R57"/>
  <c r="P57"/>
  <c r="S57" s="1"/>
  <c r="N57"/>
  <c r="L57"/>
  <c r="K57"/>
  <c r="R56"/>
  <c r="N56"/>
  <c r="P56" s="1"/>
  <c r="S56" s="1"/>
  <c r="L56"/>
  <c r="K56"/>
  <c r="R55"/>
  <c r="P55"/>
  <c r="S55" s="1"/>
  <c r="N55"/>
  <c r="L55"/>
  <c r="V55" s="1" a="1"/>
  <c r="V55" s="1"/>
  <c r="K55"/>
  <c r="R54"/>
  <c r="N54"/>
  <c r="P54" s="1"/>
  <c r="S54" s="1"/>
  <c r="L54"/>
  <c r="K54"/>
  <c r="R53"/>
  <c r="P53"/>
  <c r="S53" s="1"/>
  <c r="N53"/>
  <c r="L53"/>
  <c r="V53" s="1" a="1"/>
  <c r="V53" s="1"/>
  <c r="K53"/>
  <c r="R52"/>
  <c r="N52"/>
  <c r="P52" s="1"/>
  <c r="S52" s="1"/>
  <c r="L52"/>
  <c r="K52"/>
  <c r="R51"/>
  <c r="P51"/>
  <c r="S51" s="1"/>
  <c r="N51"/>
  <c r="L51"/>
  <c r="V51" s="1" a="1"/>
  <c r="V51" s="1"/>
  <c r="K51"/>
  <c r="R50"/>
  <c r="N50"/>
  <c r="P50" s="1"/>
  <c r="S50" s="1"/>
  <c r="L50"/>
  <c r="K50"/>
  <c r="R49"/>
  <c r="P49"/>
  <c r="S49" s="1"/>
  <c r="N49"/>
  <c r="L49"/>
  <c r="K49"/>
  <c r="R48"/>
  <c r="N48"/>
  <c r="P48" s="1"/>
  <c r="S48" s="1"/>
  <c r="L48"/>
  <c r="K48"/>
  <c r="R47"/>
  <c r="P47"/>
  <c r="S47" s="1"/>
  <c r="N47"/>
  <c r="L47"/>
  <c r="K47"/>
  <c r="R46"/>
  <c r="N46"/>
  <c r="P46" s="1"/>
  <c r="S46" s="1"/>
  <c r="L46"/>
  <c r="K46"/>
  <c r="R45"/>
  <c r="P45"/>
  <c r="S45" s="1"/>
  <c r="N45"/>
  <c r="L45"/>
  <c r="V45" s="1" a="1"/>
  <c r="V45" s="1"/>
  <c r="K45"/>
  <c r="R44"/>
  <c r="N44"/>
  <c r="P44" s="1"/>
  <c r="S44" s="1"/>
  <c r="L44"/>
  <c r="K44"/>
  <c r="R43"/>
  <c r="P43"/>
  <c r="S43" s="1"/>
  <c r="N43"/>
  <c r="L43"/>
  <c r="V43" s="1" a="1"/>
  <c r="V43" s="1"/>
  <c r="K43"/>
  <c r="R42"/>
  <c r="N42"/>
  <c r="P42" s="1"/>
  <c r="S42" s="1"/>
  <c r="L42"/>
  <c r="K42"/>
  <c r="R41"/>
  <c r="P41"/>
  <c r="S41" s="1"/>
  <c r="N41"/>
  <c r="L41"/>
  <c r="V41" s="1" a="1"/>
  <c r="V41" s="1"/>
  <c r="K41"/>
  <c r="R40"/>
  <c r="N40"/>
  <c r="P40" s="1"/>
  <c r="S40" s="1"/>
  <c r="L40"/>
  <c r="K40"/>
  <c r="R39"/>
  <c r="P39"/>
  <c r="S39" s="1"/>
  <c r="N39"/>
  <c r="L39"/>
  <c r="K39"/>
  <c r="R38"/>
  <c r="N38"/>
  <c r="P38" s="1"/>
  <c r="S38" s="1"/>
  <c r="L38"/>
  <c r="K38"/>
  <c r="R37"/>
  <c r="P37"/>
  <c r="S37" s="1"/>
  <c r="N37"/>
  <c r="L37"/>
  <c r="V37" s="1" a="1"/>
  <c r="V37" s="1"/>
  <c r="K37"/>
  <c r="R36"/>
  <c r="N36"/>
  <c r="P36" s="1"/>
  <c r="S36" s="1"/>
  <c r="L36"/>
  <c r="K36"/>
  <c r="R35"/>
  <c r="P35"/>
  <c r="S35" s="1"/>
  <c r="N35"/>
  <c r="L35"/>
  <c r="V35" s="1" a="1"/>
  <c r="V35" s="1"/>
  <c r="K35"/>
  <c r="R34"/>
  <c r="N34"/>
  <c r="P34" s="1"/>
  <c r="S34" s="1"/>
  <c r="L34"/>
  <c r="K34"/>
  <c r="R33"/>
  <c r="P33"/>
  <c r="S33" s="1"/>
  <c r="N33"/>
  <c r="L33"/>
  <c r="V33" s="1" a="1"/>
  <c r="V33" s="1"/>
  <c r="K33"/>
  <c r="R32"/>
  <c r="N32"/>
  <c r="P32" s="1"/>
  <c r="S32" s="1"/>
  <c r="L32"/>
  <c r="K32"/>
  <c r="R31"/>
  <c r="P31"/>
  <c r="S31" s="1"/>
  <c r="N31"/>
  <c r="L31"/>
  <c r="V31" s="1" a="1"/>
  <c r="V31" s="1"/>
  <c r="K31"/>
  <c r="R30"/>
  <c r="N30"/>
  <c r="P30" s="1"/>
  <c r="S30" s="1"/>
  <c r="L30"/>
  <c r="K30"/>
  <c r="R29"/>
  <c r="P29"/>
  <c r="S29" s="1"/>
  <c r="N29"/>
  <c r="L29"/>
  <c r="K29"/>
  <c r="R28"/>
  <c r="N28"/>
  <c r="P28" s="1"/>
  <c r="S28" s="1"/>
  <c r="L28"/>
  <c r="K28"/>
  <c r="R27"/>
  <c r="P27"/>
  <c r="S27" s="1"/>
  <c r="N27"/>
  <c r="L27"/>
  <c r="V27" s="1" a="1"/>
  <c r="V27" s="1"/>
  <c r="K27"/>
  <c r="R26"/>
  <c r="N26"/>
  <c r="P26" s="1"/>
  <c r="S26" s="1"/>
  <c r="L26"/>
  <c r="K26"/>
  <c r="R25"/>
  <c r="P25"/>
  <c r="S25" s="1"/>
  <c r="N25"/>
  <c r="L25"/>
  <c r="V25" s="1" a="1"/>
  <c r="V25" s="1"/>
  <c r="K25"/>
  <c r="R24"/>
  <c r="N24"/>
  <c r="P24" s="1"/>
  <c r="S24" s="1"/>
  <c r="L24"/>
  <c r="K24"/>
  <c r="R23"/>
  <c r="P23"/>
  <c r="S23" s="1"/>
  <c r="N23"/>
  <c r="L23"/>
  <c r="V23" s="1" a="1"/>
  <c r="V23" s="1"/>
  <c r="K23"/>
  <c r="R22"/>
  <c r="N22"/>
  <c r="P22" s="1"/>
  <c r="S22" s="1"/>
  <c r="L22"/>
  <c r="K22"/>
  <c r="R21"/>
  <c r="P21"/>
  <c r="S21" s="1"/>
  <c r="N21"/>
  <c r="L21"/>
  <c r="V21" s="1" a="1"/>
  <c r="V21" s="1"/>
  <c r="K21"/>
  <c r="R20"/>
  <c r="N20"/>
  <c r="P20" s="1"/>
  <c r="S20" s="1"/>
  <c r="L20"/>
  <c r="K20"/>
  <c r="R19"/>
  <c r="P19"/>
  <c r="S19" s="1"/>
  <c r="N19"/>
  <c r="L19"/>
  <c r="V19" s="1" a="1"/>
  <c r="V19" s="1"/>
  <c r="K19"/>
  <c r="R18"/>
  <c r="N18"/>
  <c r="P18" s="1"/>
  <c r="S18" s="1"/>
  <c r="L18"/>
  <c r="K18"/>
  <c r="R17"/>
  <c r="P17"/>
  <c r="S17" s="1"/>
  <c r="N17"/>
  <c r="L17"/>
  <c r="V17" s="1" a="1"/>
  <c r="V17" s="1"/>
  <c r="K17"/>
  <c r="R16"/>
  <c r="N16"/>
  <c r="P16" s="1"/>
  <c r="S16" s="1"/>
  <c r="L16"/>
  <c r="K16"/>
  <c r="R15"/>
  <c r="P15"/>
  <c r="S15" s="1"/>
  <c r="N15"/>
  <c r="L15"/>
  <c r="K15"/>
  <c r="R14"/>
  <c r="N14"/>
  <c r="P14" s="1"/>
  <c r="S14" s="1"/>
  <c r="L14"/>
  <c r="K14"/>
  <c r="R13"/>
  <c r="P13"/>
  <c r="S13" s="1"/>
  <c r="N13"/>
  <c r="L13"/>
  <c r="V13" s="1" a="1"/>
  <c r="V13" s="1"/>
  <c r="K13"/>
  <c r="R12"/>
  <c r="N12"/>
  <c r="P12" s="1"/>
  <c r="S12" s="1"/>
  <c r="L12"/>
  <c r="K12"/>
  <c r="R11"/>
  <c r="N11"/>
  <c r="P11" s="1"/>
  <c r="S11" s="1"/>
  <c r="L11"/>
  <c r="K11"/>
  <c r="R10"/>
  <c r="P10"/>
  <c r="S10" s="1"/>
  <c r="N10"/>
  <c r="L10"/>
  <c r="K10"/>
  <c r="R9"/>
  <c r="N9"/>
  <c r="P9" s="1"/>
  <c r="S9" s="1"/>
  <c r="L9"/>
  <c r="K9"/>
  <c r="R8"/>
  <c r="P8"/>
  <c r="S8" s="1"/>
  <c r="N8"/>
  <c r="L8"/>
  <c r="V8" s="1" a="1"/>
  <c r="V8" s="1"/>
  <c r="K8"/>
  <c r="R7"/>
  <c r="P7"/>
  <c r="S7" s="1"/>
  <c r="N7"/>
  <c r="L7"/>
  <c r="V7" s="1" a="1"/>
  <c r="V7" s="1"/>
  <c r="K7"/>
  <c r="R6"/>
  <c r="N6"/>
  <c r="P6" s="1"/>
  <c r="L6"/>
  <c r="K6"/>
  <c r="C451" i="486"/>
  <c r="U451" s="1" a="1"/>
  <c r="U451" s="1"/>
  <c r="P450"/>
  <c r="O450"/>
  <c r="N450"/>
  <c r="M450"/>
  <c r="L450"/>
  <c r="K450"/>
  <c r="I450"/>
  <c r="H450"/>
  <c r="G450"/>
  <c r="F450"/>
  <c r="E450"/>
  <c r="D450"/>
  <c r="D452" s="1"/>
  <c r="C450"/>
  <c r="U450" s="1" a="1"/>
  <c r="U450" s="1"/>
  <c r="C449"/>
  <c r="T449" s="1" a="1"/>
  <c r="T449" s="1"/>
  <c r="C448"/>
  <c r="T448" s="1" a="1"/>
  <c r="T448" s="1"/>
  <c r="C447"/>
  <c r="T447" s="1" a="1"/>
  <c r="T447" s="1"/>
  <c r="C446"/>
  <c r="T446" s="1" a="1"/>
  <c r="T446" s="1"/>
  <c r="C445"/>
  <c r="U445" s="1" a="1"/>
  <c r="U445" s="1"/>
  <c r="C444"/>
  <c r="U444" s="1" a="1"/>
  <c r="U444" s="1"/>
  <c r="P443"/>
  <c r="P452" s="1"/>
  <c r="O443"/>
  <c r="O452" s="1"/>
  <c r="N443"/>
  <c r="N452" s="1"/>
  <c r="M443"/>
  <c r="M452" s="1"/>
  <c r="L443"/>
  <c r="L452" s="1"/>
  <c r="K443"/>
  <c r="K452" s="1"/>
  <c r="I443"/>
  <c r="I452" s="1"/>
  <c r="H443"/>
  <c r="H452" s="1"/>
  <c r="G443"/>
  <c r="G452" s="1"/>
  <c r="F443"/>
  <c r="F452" s="1"/>
  <c r="E443"/>
  <c r="E452" s="1"/>
  <c r="D443"/>
  <c r="C443"/>
  <c r="U443" s="1" a="1"/>
  <c r="U443" s="1"/>
  <c r="C442"/>
  <c r="T442" s="1" a="1"/>
  <c r="T442" s="1"/>
  <c r="C441"/>
  <c r="T441" s="1" a="1"/>
  <c r="T441" s="1"/>
  <c r="C440"/>
  <c r="T440" s="1" a="1"/>
  <c r="T440" s="1"/>
  <c r="C439"/>
  <c r="T439" s="1" a="1"/>
  <c r="T439" s="1"/>
  <c r="C438"/>
  <c r="U438" s="1" a="1"/>
  <c r="U438" s="1"/>
  <c r="C437"/>
  <c r="U437" s="1" a="1"/>
  <c r="U437" s="1"/>
  <c r="G434"/>
  <c r="C434"/>
  <c r="G433"/>
  <c r="C433"/>
  <c r="G432"/>
  <c r="C432"/>
  <c r="C430"/>
  <c r="C429"/>
  <c r="U419"/>
  <c r="S419"/>
  <c r="Y418"/>
  <c r="W418"/>
  <c r="Y417"/>
  <c r="W417"/>
  <c r="Y416"/>
  <c r="W416"/>
  <c r="K416"/>
  <c r="Y415"/>
  <c r="W415"/>
  <c r="K415"/>
  <c r="Y414"/>
  <c r="W414"/>
  <c r="Y413"/>
  <c r="W413"/>
  <c r="I413"/>
  <c r="K413" s="1" a="1"/>
  <c r="K413" s="1"/>
  <c r="Y412"/>
  <c r="W412"/>
  <c r="I412"/>
  <c r="K412" s="1" a="1"/>
  <c r="K412" s="1"/>
  <c r="I411"/>
  <c r="K411" s="1" a="1"/>
  <c r="K411" s="1"/>
  <c r="AC408" a="1"/>
  <c r="AC408" s="1"/>
  <c r="AB408" a="1"/>
  <c r="AB408" s="1"/>
  <c r="AA408" a="1"/>
  <c r="AA408" s="1"/>
  <c r="Z408" a="1"/>
  <c r="Z408" s="1"/>
  <c r="Y408" a="1"/>
  <c r="Y408" s="1"/>
  <c r="X408" a="1"/>
  <c r="X408" s="1"/>
  <c r="W408" a="1"/>
  <c r="W408" s="1"/>
  <c r="O408" a="1"/>
  <c r="O408" s="1"/>
  <c r="J408" a="1"/>
  <c r="J408" s="1"/>
  <c r="I408" a="1"/>
  <c r="I408" s="1"/>
  <c r="H408" a="1"/>
  <c r="H408" s="1"/>
  <c r="G408" a="1"/>
  <c r="G408" s="1"/>
  <c r="R407"/>
  <c r="P407"/>
  <c r="N407"/>
  <c r="L407"/>
  <c r="K407"/>
  <c r="R406"/>
  <c r="P406"/>
  <c r="N406"/>
  <c r="L406"/>
  <c r="K406"/>
  <c r="R405"/>
  <c r="P405"/>
  <c r="N405"/>
  <c r="L405"/>
  <c r="K405"/>
  <c r="R404"/>
  <c r="P404"/>
  <c r="N404"/>
  <c r="L404"/>
  <c r="K404"/>
  <c r="R403"/>
  <c r="P403"/>
  <c r="N403"/>
  <c r="L403"/>
  <c r="K403"/>
  <c r="R402"/>
  <c r="P402"/>
  <c r="N402"/>
  <c r="L402"/>
  <c r="K402"/>
  <c r="R401"/>
  <c r="P401"/>
  <c r="N401"/>
  <c r="L401"/>
  <c r="K401"/>
  <c r="R400"/>
  <c r="P400"/>
  <c r="N400"/>
  <c r="L400"/>
  <c r="K400"/>
  <c r="R399"/>
  <c r="P399"/>
  <c r="N399"/>
  <c r="L399"/>
  <c r="K399"/>
  <c r="R398"/>
  <c r="P398"/>
  <c r="N398"/>
  <c r="L398"/>
  <c r="K398"/>
  <c r="R397"/>
  <c r="P397"/>
  <c r="N397"/>
  <c r="L397"/>
  <c r="K397"/>
  <c r="R396"/>
  <c r="P396"/>
  <c r="N396"/>
  <c r="L396"/>
  <c r="K396"/>
  <c r="R395"/>
  <c r="P395"/>
  <c r="N395"/>
  <c r="L395"/>
  <c r="K395"/>
  <c r="R394"/>
  <c r="P394"/>
  <c r="N394"/>
  <c r="L394"/>
  <c r="K394"/>
  <c r="R393"/>
  <c r="P393"/>
  <c r="N393"/>
  <c r="L393"/>
  <c r="K393"/>
  <c r="R392"/>
  <c r="P392"/>
  <c r="N392"/>
  <c r="L392"/>
  <c r="K392"/>
  <c r="R391"/>
  <c r="P391"/>
  <c r="N391"/>
  <c r="L391"/>
  <c r="K391"/>
  <c r="R390"/>
  <c r="P390"/>
  <c r="N390"/>
  <c r="L390"/>
  <c r="K390"/>
  <c r="R389"/>
  <c r="P389"/>
  <c r="N389"/>
  <c r="L389"/>
  <c r="K389"/>
  <c r="R388"/>
  <c r="P388"/>
  <c r="N388"/>
  <c r="L388"/>
  <c r="K388"/>
  <c r="R387"/>
  <c r="P387"/>
  <c r="N387"/>
  <c r="L387"/>
  <c r="K387"/>
  <c r="R386"/>
  <c r="P386"/>
  <c r="N386"/>
  <c r="L386"/>
  <c r="K386"/>
  <c r="R385"/>
  <c r="P385"/>
  <c r="N385"/>
  <c r="L385"/>
  <c r="K385"/>
  <c r="R384"/>
  <c r="P384"/>
  <c r="N384"/>
  <c r="L384"/>
  <c r="K384"/>
  <c r="R383"/>
  <c r="P383"/>
  <c r="N383"/>
  <c r="L383"/>
  <c r="K383"/>
  <c r="R382"/>
  <c r="P382"/>
  <c r="N382"/>
  <c r="L382"/>
  <c r="K382"/>
  <c r="R381"/>
  <c r="P381"/>
  <c r="N381"/>
  <c r="L381"/>
  <c r="K381"/>
  <c r="R380"/>
  <c r="P380"/>
  <c r="N380"/>
  <c r="L380"/>
  <c r="K380"/>
  <c r="R379"/>
  <c r="P379"/>
  <c r="N379"/>
  <c r="L379"/>
  <c r="K379"/>
  <c r="R378"/>
  <c r="P378"/>
  <c r="N378"/>
  <c r="L378"/>
  <c r="K378"/>
  <c r="R377"/>
  <c r="P377"/>
  <c r="N377"/>
  <c r="L377"/>
  <c r="K377"/>
  <c r="R376"/>
  <c r="P376"/>
  <c r="N376"/>
  <c r="L376"/>
  <c r="K376"/>
  <c r="R375"/>
  <c r="P375"/>
  <c r="N375"/>
  <c r="L375"/>
  <c r="K375"/>
  <c r="R374"/>
  <c r="P374"/>
  <c r="N374"/>
  <c r="L374"/>
  <c r="K374"/>
  <c r="R373"/>
  <c r="P373"/>
  <c r="N373"/>
  <c r="L373"/>
  <c r="K373"/>
  <c r="R372"/>
  <c r="P372"/>
  <c r="N372"/>
  <c r="L372"/>
  <c r="K372"/>
  <c r="R371"/>
  <c r="P371"/>
  <c r="N371"/>
  <c r="L371"/>
  <c r="K371"/>
  <c r="R370"/>
  <c r="P370"/>
  <c r="N370"/>
  <c r="L370"/>
  <c r="K370"/>
  <c r="R369"/>
  <c r="P369"/>
  <c r="N369"/>
  <c r="L369"/>
  <c r="K369"/>
  <c r="R368"/>
  <c r="P368"/>
  <c r="N368"/>
  <c r="L368"/>
  <c r="K368"/>
  <c r="R367"/>
  <c r="P367"/>
  <c r="N367"/>
  <c r="L367"/>
  <c r="K367"/>
  <c r="R366"/>
  <c r="P366"/>
  <c r="N366"/>
  <c r="L366"/>
  <c r="K366"/>
  <c r="R365"/>
  <c r="P365"/>
  <c r="N365"/>
  <c r="L365"/>
  <c r="K365"/>
  <c r="R364"/>
  <c r="P364"/>
  <c r="N364"/>
  <c r="L364"/>
  <c r="K364"/>
  <c r="R363"/>
  <c r="P363"/>
  <c r="N363"/>
  <c r="L363"/>
  <c r="K363"/>
  <c r="R362"/>
  <c r="P362"/>
  <c r="N362"/>
  <c r="L362"/>
  <c r="K362"/>
  <c r="R361"/>
  <c r="P361"/>
  <c r="N361"/>
  <c r="L361"/>
  <c r="K361"/>
  <c r="R360"/>
  <c r="P360"/>
  <c r="N360"/>
  <c r="L360"/>
  <c r="K360"/>
  <c r="R359"/>
  <c r="P359"/>
  <c r="N359"/>
  <c r="L359"/>
  <c r="K359"/>
  <c r="R358"/>
  <c r="P358"/>
  <c r="N358"/>
  <c r="L358"/>
  <c r="K358"/>
  <c r="R357"/>
  <c r="P357"/>
  <c r="N357"/>
  <c r="L357"/>
  <c r="K357"/>
  <c r="R356"/>
  <c r="P356"/>
  <c r="N356"/>
  <c r="L356"/>
  <c r="K356"/>
  <c r="R355"/>
  <c r="P355"/>
  <c r="N355"/>
  <c r="L355"/>
  <c r="K355"/>
  <c r="R354"/>
  <c r="P354"/>
  <c r="N354"/>
  <c r="L354"/>
  <c r="K354"/>
  <c r="R353"/>
  <c r="P353"/>
  <c r="N353"/>
  <c r="L353"/>
  <c r="K353"/>
  <c r="R352"/>
  <c r="P352"/>
  <c r="N352"/>
  <c r="L352"/>
  <c r="K352"/>
  <c r="R351"/>
  <c r="P351"/>
  <c r="N351"/>
  <c r="L351"/>
  <c r="K351"/>
  <c r="R350"/>
  <c r="P350"/>
  <c r="N350"/>
  <c r="L350"/>
  <c r="K350"/>
  <c r="R349"/>
  <c r="P349"/>
  <c r="N349"/>
  <c r="L349"/>
  <c r="K349"/>
  <c r="R348"/>
  <c r="P348"/>
  <c r="N348"/>
  <c r="L348"/>
  <c r="K348"/>
  <c r="R347"/>
  <c r="P347"/>
  <c r="N347"/>
  <c r="L347"/>
  <c r="K347"/>
  <c r="R346"/>
  <c r="P346"/>
  <c r="N346"/>
  <c r="L346"/>
  <c r="K346"/>
  <c r="R345"/>
  <c r="P345"/>
  <c r="N345"/>
  <c r="L345"/>
  <c r="K345"/>
  <c r="R344"/>
  <c r="P344"/>
  <c r="N344"/>
  <c r="L344"/>
  <c r="K344"/>
  <c r="R343"/>
  <c r="P343"/>
  <c r="N343"/>
  <c r="L343"/>
  <c r="K343"/>
  <c r="R342"/>
  <c r="P342"/>
  <c r="N342"/>
  <c r="L342"/>
  <c r="K342"/>
  <c r="R341"/>
  <c r="P341"/>
  <c r="N341"/>
  <c r="L341"/>
  <c r="K341"/>
  <c r="R340"/>
  <c r="P340"/>
  <c r="N340"/>
  <c r="L340"/>
  <c r="K340"/>
  <c r="R339"/>
  <c r="P339"/>
  <c r="N339"/>
  <c r="L339"/>
  <c r="K339"/>
  <c r="R338"/>
  <c r="P338"/>
  <c r="N338"/>
  <c r="L338"/>
  <c r="K338"/>
  <c r="R337"/>
  <c r="P337"/>
  <c r="N337"/>
  <c r="L337"/>
  <c r="K337"/>
  <c r="R336"/>
  <c r="P336"/>
  <c r="N336"/>
  <c r="L336"/>
  <c r="K336"/>
  <c r="R335"/>
  <c r="P335"/>
  <c r="N335"/>
  <c r="L335"/>
  <c r="K335"/>
  <c r="R334"/>
  <c r="P334"/>
  <c r="N334"/>
  <c r="L334"/>
  <c r="K334"/>
  <c r="R333"/>
  <c r="P333"/>
  <c r="N333"/>
  <c r="L333"/>
  <c r="K333"/>
  <c r="R332"/>
  <c r="P332"/>
  <c r="N332"/>
  <c r="L332"/>
  <c r="K332"/>
  <c r="R331"/>
  <c r="P331"/>
  <c r="N331"/>
  <c r="L331"/>
  <c r="K331"/>
  <c r="R330"/>
  <c r="P330"/>
  <c r="N330"/>
  <c r="L330"/>
  <c r="K330"/>
  <c r="R329"/>
  <c r="P329"/>
  <c r="N329"/>
  <c r="L329"/>
  <c r="K329"/>
  <c r="R328"/>
  <c r="P328"/>
  <c r="N328"/>
  <c r="L328"/>
  <c r="K328"/>
  <c r="R327"/>
  <c r="P327"/>
  <c r="N327"/>
  <c r="L327"/>
  <c r="K327"/>
  <c r="R326"/>
  <c r="P326"/>
  <c r="N326"/>
  <c r="L326"/>
  <c r="K326"/>
  <c r="R325"/>
  <c r="P325"/>
  <c r="N325"/>
  <c r="L325"/>
  <c r="K325"/>
  <c r="R324"/>
  <c r="P324"/>
  <c r="N324"/>
  <c r="L324"/>
  <c r="K324"/>
  <c r="R323"/>
  <c r="P323"/>
  <c r="N323"/>
  <c r="L323"/>
  <c r="K323"/>
  <c r="R322"/>
  <c r="P322"/>
  <c r="N322"/>
  <c r="L322"/>
  <c r="K322"/>
  <c r="R321"/>
  <c r="P321"/>
  <c r="N321"/>
  <c r="L321"/>
  <c r="K321"/>
  <c r="R320"/>
  <c r="P320"/>
  <c r="N320"/>
  <c r="L320"/>
  <c r="K320"/>
  <c r="R319"/>
  <c r="P319"/>
  <c r="N319"/>
  <c r="L319"/>
  <c r="K319"/>
  <c r="R318"/>
  <c r="P318"/>
  <c r="N318"/>
  <c r="L318"/>
  <c r="K318"/>
  <c r="R317"/>
  <c r="P317"/>
  <c r="N317"/>
  <c r="L317"/>
  <c r="K317"/>
  <c r="R316"/>
  <c r="P316"/>
  <c r="N316"/>
  <c r="L316"/>
  <c r="K316"/>
  <c r="R315"/>
  <c r="P315"/>
  <c r="N315"/>
  <c r="L315"/>
  <c r="K315"/>
  <c r="R314"/>
  <c r="P314"/>
  <c r="N314"/>
  <c r="L314"/>
  <c r="K314"/>
  <c r="R313"/>
  <c r="P313"/>
  <c r="N313"/>
  <c r="L313"/>
  <c r="K313"/>
  <c r="R312"/>
  <c r="P312"/>
  <c r="N312"/>
  <c r="L312"/>
  <c r="K312"/>
  <c r="R311"/>
  <c r="P311"/>
  <c r="N311"/>
  <c r="L311"/>
  <c r="K311"/>
  <c r="R310"/>
  <c r="P310"/>
  <c r="N310"/>
  <c r="L310"/>
  <c r="K310"/>
  <c r="R309"/>
  <c r="P309"/>
  <c r="N309"/>
  <c r="L309"/>
  <c r="K309"/>
  <c r="R308"/>
  <c r="P308"/>
  <c r="N308"/>
  <c r="L308"/>
  <c r="K308"/>
  <c r="R307"/>
  <c r="P307"/>
  <c r="N307"/>
  <c r="L307"/>
  <c r="K307"/>
  <c r="R306"/>
  <c r="P306"/>
  <c r="N306"/>
  <c r="L306"/>
  <c r="K306"/>
  <c r="R305"/>
  <c r="P305"/>
  <c r="N305"/>
  <c r="L305"/>
  <c r="K305"/>
  <c r="R304"/>
  <c r="P304"/>
  <c r="N304"/>
  <c r="L304"/>
  <c r="K304"/>
  <c r="R303"/>
  <c r="P303"/>
  <c r="N303"/>
  <c r="L303"/>
  <c r="V303" s="1" a="1"/>
  <c r="V303" s="1"/>
  <c r="K303"/>
  <c r="R302"/>
  <c r="P302"/>
  <c r="N302"/>
  <c r="L302"/>
  <c r="K302"/>
  <c r="R301"/>
  <c r="P301"/>
  <c r="N301"/>
  <c r="L301"/>
  <c r="K301"/>
  <c r="R300"/>
  <c r="P300"/>
  <c r="N300"/>
  <c r="L300"/>
  <c r="K300"/>
  <c r="R299"/>
  <c r="P299"/>
  <c r="N299"/>
  <c r="L299"/>
  <c r="V299" s="1" a="1"/>
  <c r="V299" s="1"/>
  <c r="K299"/>
  <c r="R298"/>
  <c r="P298"/>
  <c r="N298"/>
  <c r="L298"/>
  <c r="K298"/>
  <c r="R297"/>
  <c r="P297"/>
  <c r="N297"/>
  <c r="L297"/>
  <c r="K297"/>
  <c r="R296"/>
  <c r="P296"/>
  <c r="N296"/>
  <c r="L296"/>
  <c r="K296"/>
  <c r="R295"/>
  <c r="P295"/>
  <c r="N295"/>
  <c r="L295"/>
  <c r="K295"/>
  <c r="R294"/>
  <c r="P294"/>
  <c r="N294"/>
  <c r="L294"/>
  <c r="K294"/>
  <c r="R293"/>
  <c r="P293"/>
  <c r="N293"/>
  <c r="L293"/>
  <c r="V293" s="1" a="1"/>
  <c r="V293" s="1"/>
  <c r="K293"/>
  <c r="R292"/>
  <c r="P292"/>
  <c r="N292"/>
  <c r="L292"/>
  <c r="K292"/>
  <c r="R291"/>
  <c r="P291"/>
  <c r="N291"/>
  <c r="L291"/>
  <c r="V291" s="1" a="1"/>
  <c r="V291" s="1"/>
  <c r="K291"/>
  <c r="R290"/>
  <c r="P290"/>
  <c r="N290"/>
  <c r="L290"/>
  <c r="K290"/>
  <c r="R289"/>
  <c r="P289"/>
  <c r="S289" s="1"/>
  <c r="N289"/>
  <c r="L289"/>
  <c r="K289"/>
  <c r="R288"/>
  <c r="P288"/>
  <c r="N288"/>
  <c r="L288"/>
  <c r="K288"/>
  <c r="R287"/>
  <c r="P287"/>
  <c r="N287"/>
  <c r="L287"/>
  <c r="V287" s="1" a="1"/>
  <c r="V287" s="1"/>
  <c r="K287"/>
  <c r="R286"/>
  <c r="P286"/>
  <c r="N286"/>
  <c r="L286"/>
  <c r="K286"/>
  <c r="R285"/>
  <c r="P285"/>
  <c r="N285"/>
  <c r="L285"/>
  <c r="K285"/>
  <c r="R284"/>
  <c r="P284"/>
  <c r="N284"/>
  <c r="L284"/>
  <c r="K284"/>
  <c r="R283"/>
  <c r="P283"/>
  <c r="N283"/>
  <c r="L283"/>
  <c r="V283" s="1" a="1"/>
  <c r="V283" s="1"/>
  <c r="K283"/>
  <c r="R282"/>
  <c r="P282"/>
  <c r="N282"/>
  <c r="L282"/>
  <c r="K282"/>
  <c r="R281"/>
  <c r="P281"/>
  <c r="N281"/>
  <c r="L281"/>
  <c r="K281"/>
  <c r="R280"/>
  <c r="P280"/>
  <c r="N280"/>
  <c r="L280"/>
  <c r="K280"/>
  <c r="R279"/>
  <c r="P279"/>
  <c r="N279"/>
  <c r="L279"/>
  <c r="V279" s="1" a="1"/>
  <c r="V279" s="1"/>
  <c r="K279"/>
  <c r="R278"/>
  <c r="P278"/>
  <c r="N278"/>
  <c r="L278"/>
  <c r="K278"/>
  <c r="R277"/>
  <c r="P277"/>
  <c r="S277" s="1"/>
  <c r="N277"/>
  <c r="L277"/>
  <c r="K277"/>
  <c r="R276"/>
  <c r="P276"/>
  <c r="N276"/>
  <c r="L276"/>
  <c r="K276"/>
  <c r="R275"/>
  <c r="P275"/>
  <c r="S275" s="1"/>
  <c r="N275"/>
  <c r="L275"/>
  <c r="K275"/>
  <c r="R274"/>
  <c r="P274"/>
  <c r="N274"/>
  <c r="L274"/>
  <c r="K274"/>
  <c r="R273"/>
  <c r="P273"/>
  <c r="S273" s="1"/>
  <c r="N273"/>
  <c r="L273"/>
  <c r="V273" s="1" a="1"/>
  <c r="V273" s="1"/>
  <c r="K273"/>
  <c r="R272"/>
  <c r="P272"/>
  <c r="N272"/>
  <c r="L272"/>
  <c r="K272"/>
  <c r="R271"/>
  <c r="P271"/>
  <c r="N271"/>
  <c r="L271"/>
  <c r="K271"/>
  <c r="R270"/>
  <c r="P270"/>
  <c r="N270"/>
  <c r="L270"/>
  <c r="K270"/>
  <c r="R269"/>
  <c r="P269"/>
  <c r="N269"/>
  <c r="L269"/>
  <c r="K269"/>
  <c r="R268"/>
  <c r="P268"/>
  <c r="N268"/>
  <c r="L268"/>
  <c r="K268"/>
  <c r="R267"/>
  <c r="P267"/>
  <c r="N267"/>
  <c r="L267"/>
  <c r="V267" s="1" a="1"/>
  <c r="V267" s="1"/>
  <c r="K267"/>
  <c r="R266"/>
  <c r="P266"/>
  <c r="N266"/>
  <c r="L266"/>
  <c r="K266"/>
  <c r="R265"/>
  <c r="P265"/>
  <c r="N265"/>
  <c r="L265"/>
  <c r="K265"/>
  <c r="R264"/>
  <c r="P264"/>
  <c r="N264"/>
  <c r="L264"/>
  <c r="K264"/>
  <c r="R263"/>
  <c r="P263"/>
  <c r="N263"/>
  <c r="L263"/>
  <c r="K263"/>
  <c r="R262"/>
  <c r="P262"/>
  <c r="N262"/>
  <c r="L262"/>
  <c r="K262"/>
  <c r="R261"/>
  <c r="P261"/>
  <c r="S261" s="1"/>
  <c r="N261"/>
  <c r="L261"/>
  <c r="K261"/>
  <c r="R260"/>
  <c r="P260"/>
  <c r="N260"/>
  <c r="L260"/>
  <c r="K260"/>
  <c r="R259"/>
  <c r="P259"/>
  <c r="N259"/>
  <c r="L259"/>
  <c r="V259" s="1" a="1"/>
  <c r="V259" s="1"/>
  <c r="K259"/>
  <c r="R258"/>
  <c r="P258"/>
  <c r="N258"/>
  <c r="L258"/>
  <c r="K258"/>
  <c r="R257"/>
  <c r="P257"/>
  <c r="N257"/>
  <c r="L257"/>
  <c r="K257"/>
  <c r="R256"/>
  <c r="P256"/>
  <c r="N256"/>
  <c r="L256"/>
  <c r="K256"/>
  <c r="R255"/>
  <c r="P255"/>
  <c r="N255"/>
  <c r="L255"/>
  <c r="K255"/>
  <c r="R254"/>
  <c r="P254"/>
  <c r="N254"/>
  <c r="L254"/>
  <c r="K254"/>
  <c r="R253"/>
  <c r="P253"/>
  <c r="N253"/>
  <c r="L253"/>
  <c r="K253"/>
  <c r="R252"/>
  <c r="P252"/>
  <c r="N252"/>
  <c r="L252"/>
  <c r="K252"/>
  <c r="R251"/>
  <c r="P251"/>
  <c r="N251"/>
  <c r="L251"/>
  <c r="V251" s="1" a="1"/>
  <c r="V251" s="1"/>
  <c r="K251"/>
  <c r="R250"/>
  <c r="P250"/>
  <c r="N250"/>
  <c r="L250"/>
  <c r="K250"/>
  <c r="R249"/>
  <c r="P249"/>
  <c r="N249"/>
  <c r="L249"/>
  <c r="K249"/>
  <c r="R248"/>
  <c r="P248"/>
  <c r="N248"/>
  <c r="L248"/>
  <c r="K248"/>
  <c r="R247"/>
  <c r="P247"/>
  <c r="N247"/>
  <c r="L247"/>
  <c r="K247"/>
  <c r="R246"/>
  <c r="P246"/>
  <c r="N246"/>
  <c r="L246"/>
  <c r="K246"/>
  <c r="R245"/>
  <c r="P245"/>
  <c r="N245"/>
  <c r="L245"/>
  <c r="K245"/>
  <c r="R244"/>
  <c r="P244"/>
  <c r="N244"/>
  <c r="L244"/>
  <c r="K244"/>
  <c r="R243"/>
  <c r="P243"/>
  <c r="N243"/>
  <c r="L243"/>
  <c r="V243" s="1" a="1"/>
  <c r="V243" s="1"/>
  <c r="K243"/>
  <c r="R242"/>
  <c r="P242"/>
  <c r="N242"/>
  <c r="L242"/>
  <c r="K242"/>
  <c r="R241"/>
  <c r="P241"/>
  <c r="N241"/>
  <c r="L241"/>
  <c r="K241"/>
  <c r="R240"/>
  <c r="P240"/>
  <c r="N240"/>
  <c r="L240"/>
  <c r="K240"/>
  <c r="R239"/>
  <c r="P239"/>
  <c r="N239"/>
  <c r="L239"/>
  <c r="V239" s="1" a="1"/>
  <c r="V239" s="1"/>
  <c r="K239"/>
  <c r="R238"/>
  <c r="P238"/>
  <c r="N238"/>
  <c r="L238"/>
  <c r="K238"/>
  <c r="R237"/>
  <c r="P237"/>
  <c r="N237"/>
  <c r="L237"/>
  <c r="K237"/>
  <c r="R236"/>
  <c r="P236"/>
  <c r="N236"/>
  <c r="L236"/>
  <c r="K236"/>
  <c r="R235"/>
  <c r="P235"/>
  <c r="N235"/>
  <c r="L235"/>
  <c r="V235" s="1" a="1"/>
  <c r="V235" s="1"/>
  <c r="K235"/>
  <c r="R234"/>
  <c r="P234"/>
  <c r="N234"/>
  <c r="L234"/>
  <c r="K234"/>
  <c r="R233"/>
  <c r="P233"/>
  <c r="S233" s="1"/>
  <c r="N233"/>
  <c r="L233"/>
  <c r="K233"/>
  <c r="R232"/>
  <c r="P232"/>
  <c r="N232"/>
  <c r="L232"/>
  <c r="K232"/>
  <c r="R231"/>
  <c r="P231"/>
  <c r="S231" s="1"/>
  <c r="N231"/>
  <c r="L231"/>
  <c r="V231" s="1" a="1"/>
  <c r="V231" s="1"/>
  <c r="K231"/>
  <c r="R230"/>
  <c r="P230"/>
  <c r="N230"/>
  <c r="L230"/>
  <c r="K230"/>
  <c r="R229"/>
  <c r="P229"/>
  <c r="S229" s="1"/>
  <c r="N229"/>
  <c r="L229"/>
  <c r="K229"/>
  <c r="R228"/>
  <c r="P228"/>
  <c r="N228"/>
  <c r="L228"/>
  <c r="K228"/>
  <c r="R227"/>
  <c r="P227"/>
  <c r="S227" s="1"/>
  <c r="N227"/>
  <c r="L227"/>
  <c r="V227" s="1" a="1"/>
  <c r="V227" s="1"/>
  <c r="K227"/>
  <c r="R226"/>
  <c r="P226"/>
  <c r="N226"/>
  <c r="L226"/>
  <c r="K226"/>
  <c r="R225"/>
  <c r="P225"/>
  <c r="S225" s="1"/>
  <c r="N225"/>
  <c r="L225"/>
  <c r="K225"/>
  <c r="R224"/>
  <c r="P224"/>
  <c r="N224"/>
  <c r="L224"/>
  <c r="K224"/>
  <c r="R223"/>
  <c r="P223"/>
  <c r="N223"/>
  <c r="L223"/>
  <c r="K223"/>
  <c r="R222"/>
  <c r="P222"/>
  <c r="N222"/>
  <c r="L222"/>
  <c r="K222"/>
  <c r="R221"/>
  <c r="P221"/>
  <c r="S221" s="1"/>
  <c r="N221"/>
  <c r="L221"/>
  <c r="V221" s="1" a="1"/>
  <c r="V221" s="1"/>
  <c r="K221"/>
  <c r="R220"/>
  <c r="P220"/>
  <c r="N220"/>
  <c r="L220"/>
  <c r="K220"/>
  <c r="R219"/>
  <c r="P219"/>
  <c r="S219" s="1"/>
  <c r="N219"/>
  <c r="L219"/>
  <c r="K219"/>
  <c r="R218"/>
  <c r="P218"/>
  <c r="N218"/>
  <c r="L218"/>
  <c r="K218"/>
  <c r="R217"/>
  <c r="P217"/>
  <c r="N217"/>
  <c r="L217"/>
  <c r="V217" s="1" a="1"/>
  <c r="V217" s="1"/>
  <c r="K217"/>
  <c r="R216"/>
  <c r="P216"/>
  <c r="N216"/>
  <c r="L216"/>
  <c r="K216"/>
  <c r="R215"/>
  <c r="P215"/>
  <c r="N215"/>
  <c r="L215"/>
  <c r="K215"/>
  <c r="U210"/>
  <c r="S210"/>
  <c r="Y209"/>
  <c r="W209"/>
  <c r="Y208"/>
  <c r="W208"/>
  <c r="Y207"/>
  <c r="W207"/>
  <c r="K207"/>
  <c r="C427" s="1"/>
  <c r="Y206"/>
  <c r="W206"/>
  <c r="K206"/>
  <c r="C426" s="1"/>
  <c r="Y205"/>
  <c r="W205"/>
  <c r="Y204"/>
  <c r="W204"/>
  <c r="I204"/>
  <c r="K204" s="1" a="1"/>
  <c r="K204" s="1"/>
  <c r="Y203"/>
  <c r="W203"/>
  <c r="I203"/>
  <c r="K203" s="1" a="1"/>
  <c r="K203" s="1"/>
  <c r="I202"/>
  <c r="K202" s="1" a="1"/>
  <c r="K202" s="1"/>
  <c r="AC199" a="1"/>
  <c r="AC199" s="1"/>
  <c r="AB199" a="1"/>
  <c r="AB199" s="1"/>
  <c r="AA199" a="1"/>
  <c r="AA199" s="1"/>
  <c r="Z199" a="1"/>
  <c r="Z199" s="1"/>
  <c r="Y199" a="1"/>
  <c r="Y199" s="1"/>
  <c r="X199" a="1"/>
  <c r="X199" s="1"/>
  <c r="W199" a="1"/>
  <c r="W199" s="1"/>
  <c r="O199"/>
  <c r="J199" a="1"/>
  <c r="J199" s="1"/>
  <c r="I199" a="1"/>
  <c r="I199" s="1"/>
  <c r="H199" a="1"/>
  <c r="H199" s="1"/>
  <c r="G199" a="1"/>
  <c r="G199" s="1"/>
  <c r="R198"/>
  <c r="P198"/>
  <c r="N198"/>
  <c r="L198"/>
  <c r="K198"/>
  <c r="R197"/>
  <c r="P197"/>
  <c r="N197"/>
  <c r="L197"/>
  <c r="K197"/>
  <c r="R196"/>
  <c r="P196"/>
  <c r="N196"/>
  <c r="L196"/>
  <c r="K196"/>
  <c r="R195"/>
  <c r="P195"/>
  <c r="N195"/>
  <c r="L195"/>
  <c r="K195"/>
  <c r="R194"/>
  <c r="P194"/>
  <c r="N194"/>
  <c r="L194"/>
  <c r="K194"/>
  <c r="R193"/>
  <c r="P193"/>
  <c r="N193"/>
  <c r="L193"/>
  <c r="K193"/>
  <c r="R192"/>
  <c r="P192"/>
  <c r="N192"/>
  <c r="L192"/>
  <c r="K192"/>
  <c r="R191"/>
  <c r="P191"/>
  <c r="N191"/>
  <c r="L191"/>
  <c r="K191"/>
  <c r="R190"/>
  <c r="P190"/>
  <c r="N190"/>
  <c r="L190"/>
  <c r="K190"/>
  <c r="R189"/>
  <c r="P189"/>
  <c r="N189"/>
  <c r="L189"/>
  <c r="K189"/>
  <c r="R188"/>
  <c r="P188"/>
  <c r="N188"/>
  <c r="L188"/>
  <c r="K188"/>
  <c r="R187"/>
  <c r="P187"/>
  <c r="N187"/>
  <c r="L187"/>
  <c r="K187"/>
  <c r="R186"/>
  <c r="P186"/>
  <c r="N186"/>
  <c r="L186"/>
  <c r="K186"/>
  <c r="R185"/>
  <c r="P185"/>
  <c r="N185"/>
  <c r="L185"/>
  <c r="K185"/>
  <c r="R184"/>
  <c r="P184"/>
  <c r="N184"/>
  <c r="L184"/>
  <c r="K184"/>
  <c r="R183"/>
  <c r="P183"/>
  <c r="N183"/>
  <c r="L183"/>
  <c r="K183"/>
  <c r="R182"/>
  <c r="P182"/>
  <c r="N182"/>
  <c r="L182"/>
  <c r="K182"/>
  <c r="R181"/>
  <c r="P181"/>
  <c r="N181"/>
  <c r="L181"/>
  <c r="K181"/>
  <c r="R180"/>
  <c r="P180"/>
  <c r="N180"/>
  <c r="L180"/>
  <c r="K180"/>
  <c r="R179"/>
  <c r="P179"/>
  <c r="N179"/>
  <c r="L179"/>
  <c r="K179"/>
  <c r="R178"/>
  <c r="P178"/>
  <c r="N178"/>
  <c r="L178"/>
  <c r="K178"/>
  <c r="R177"/>
  <c r="P177"/>
  <c r="N177"/>
  <c r="L177"/>
  <c r="K177"/>
  <c r="R176"/>
  <c r="P176"/>
  <c r="N176"/>
  <c r="L176"/>
  <c r="K176"/>
  <c r="R175"/>
  <c r="P175"/>
  <c r="N175"/>
  <c r="L175"/>
  <c r="K175"/>
  <c r="R174"/>
  <c r="P174"/>
  <c r="N174"/>
  <c r="L174"/>
  <c r="K174"/>
  <c r="R173"/>
  <c r="P173"/>
  <c r="N173"/>
  <c r="L173"/>
  <c r="K173"/>
  <c r="R172"/>
  <c r="P172"/>
  <c r="N172"/>
  <c r="L172"/>
  <c r="K172"/>
  <c r="R171"/>
  <c r="P171"/>
  <c r="N171"/>
  <c r="L171"/>
  <c r="K171"/>
  <c r="R170"/>
  <c r="P170"/>
  <c r="N170"/>
  <c r="L170"/>
  <c r="K170"/>
  <c r="R169"/>
  <c r="P169"/>
  <c r="N169"/>
  <c r="L169"/>
  <c r="K169"/>
  <c r="R168"/>
  <c r="P168"/>
  <c r="N168"/>
  <c r="L168"/>
  <c r="K168"/>
  <c r="R167"/>
  <c r="P167"/>
  <c r="N167"/>
  <c r="L167"/>
  <c r="K167"/>
  <c r="R166"/>
  <c r="P166"/>
  <c r="N166"/>
  <c r="L166"/>
  <c r="K166"/>
  <c r="R165"/>
  <c r="P165"/>
  <c r="N165"/>
  <c r="L165"/>
  <c r="K165"/>
  <c r="R164"/>
  <c r="P164"/>
  <c r="N164"/>
  <c r="L164"/>
  <c r="K164"/>
  <c r="R163"/>
  <c r="P163"/>
  <c r="N163"/>
  <c r="L163"/>
  <c r="K163"/>
  <c r="R162"/>
  <c r="P162"/>
  <c r="N162"/>
  <c r="L162"/>
  <c r="K162"/>
  <c r="R161"/>
  <c r="P161"/>
  <c r="N161"/>
  <c r="L161"/>
  <c r="K161"/>
  <c r="R160"/>
  <c r="P160"/>
  <c r="N160"/>
  <c r="L160"/>
  <c r="K160"/>
  <c r="R159"/>
  <c r="P159"/>
  <c r="N159"/>
  <c r="L159"/>
  <c r="K159"/>
  <c r="R158"/>
  <c r="P158"/>
  <c r="N158"/>
  <c r="L158"/>
  <c r="K158"/>
  <c r="R157"/>
  <c r="P157"/>
  <c r="N157"/>
  <c r="L157"/>
  <c r="K157"/>
  <c r="R156"/>
  <c r="P156"/>
  <c r="N156"/>
  <c r="L156"/>
  <c r="K156"/>
  <c r="R155"/>
  <c r="P155"/>
  <c r="N155"/>
  <c r="L155"/>
  <c r="K155"/>
  <c r="R154"/>
  <c r="P154"/>
  <c r="N154"/>
  <c r="L154"/>
  <c r="K154"/>
  <c r="R153"/>
  <c r="P153"/>
  <c r="N153"/>
  <c r="L153"/>
  <c r="K153"/>
  <c r="R152"/>
  <c r="P152"/>
  <c r="N152"/>
  <c r="L152"/>
  <c r="K152"/>
  <c r="R151"/>
  <c r="P151"/>
  <c r="N151"/>
  <c r="L151"/>
  <c r="K151"/>
  <c r="R150"/>
  <c r="P150"/>
  <c r="N150"/>
  <c r="L150"/>
  <c r="K150"/>
  <c r="R149"/>
  <c r="P149"/>
  <c r="N149"/>
  <c r="L149"/>
  <c r="K149"/>
  <c r="R148"/>
  <c r="P148"/>
  <c r="N148"/>
  <c r="L148"/>
  <c r="K148"/>
  <c r="R147"/>
  <c r="P147"/>
  <c r="N147"/>
  <c r="L147"/>
  <c r="K147"/>
  <c r="R146"/>
  <c r="P146"/>
  <c r="N146"/>
  <c r="L146"/>
  <c r="K146"/>
  <c r="R145"/>
  <c r="P145"/>
  <c r="N145"/>
  <c r="L145"/>
  <c r="K145"/>
  <c r="R144"/>
  <c r="P144"/>
  <c r="N144"/>
  <c r="L144"/>
  <c r="K144"/>
  <c r="R143"/>
  <c r="P143"/>
  <c r="N143"/>
  <c r="L143"/>
  <c r="K143"/>
  <c r="R142"/>
  <c r="P142"/>
  <c r="N142"/>
  <c r="L142"/>
  <c r="K142"/>
  <c r="R141"/>
  <c r="P141"/>
  <c r="N141"/>
  <c r="L141"/>
  <c r="K141"/>
  <c r="R140"/>
  <c r="P140"/>
  <c r="N140"/>
  <c r="L140"/>
  <c r="K140"/>
  <c r="R139"/>
  <c r="P139"/>
  <c r="N139"/>
  <c r="L139"/>
  <c r="K139"/>
  <c r="R138"/>
  <c r="P138"/>
  <c r="N138"/>
  <c r="L138"/>
  <c r="K138"/>
  <c r="R137"/>
  <c r="P137"/>
  <c r="N137"/>
  <c r="L137"/>
  <c r="K137"/>
  <c r="R136"/>
  <c r="P136"/>
  <c r="N136"/>
  <c r="L136"/>
  <c r="K136"/>
  <c r="R135"/>
  <c r="P135"/>
  <c r="N135"/>
  <c r="L135"/>
  <c r="K135"/>
  <c r="R134"/>
  <c r="P134"/>
  <c r="N134"/>
  <c r="L134"/>
  <c r="K134"/>
  <c r="R133"/>
  <c r="P133"/>
  <c r="N133"/>
  <c r="L133"/>
  <c r="K133"/>
  <c r="R132"/>
  <c r="P132"/>
  <c r="N132"/>
  <c r="L132"/>
  <c r="K132"/>
  <c r="R131"/>
  <c r="P131"/>
  <c r="N131"/>
  <c r="L131"/>
  <c r="K131"/>
  <c r="R130"/>
  <c r="P130"/>
  <c r="N130"/>
  <c r="L130"/>
  <c r="K130"/>
  <c r="R129"/>
  <c r="P129"/>
  <c r="N129"/>
  <c r="L129"/>
  <c r="K129"/>
  <c r="R128"/>
  <c r="P128"/>
  <c r="N128"/>
  <c r="L128"/>
  <c r="K128"/>
  <c r="R127"/>
  <c r="P127"/>
  <c r="N127"/>
  <c r="L127"/>
  <c r="K127"/>
  <c r="R126"/>
  <c r="P126"/>
  <c r="N126"/>
  <c r="L126"/>
  <c r="K126"/>
  <c r="R125"/>
  <c r="P125"/>
  <c r="N125"/>
  <c r="L125"/>
  <c r="K125"/>
  <c r="R124"/>
  <c r="P124"/>
  <c r="N124"/>
  <c r="L124"/>
  <c r="K124"/>
  <c r="R123"/>
  <c r="P123"/>
  <c r="N123"/>
  <c r="L123"/>
  <c r="K123"/>
  <c r="R122"/>
  <c r="P122"/>
  <c r="N122"/>
  <c r="L122"/>
  <c r="K122"/>
  <c r="R121"/>
  <c r="P121"/>
  <c r="N121"/>
  <c r="L121"/>
  <c r="K121"/>
  <c r="R120"/>
  <c r="P120"/>
  <c r="N120"/>
  <c r="L120"/>
  <c r="K120"/>
  <c r="R119"/>
  <c r="P119"/>
  <c r="N119"/>
  <c r="L119"/>
  <c r="K119"/>
  <c r="R118"/>
  <c r="P118"/>
  <c r="N118"/>
  <c r="L118"/>
  <c r="K118"/>
  <c r="R117"/>
  <c r="P117"/>
  <c r="N117"/>
  <c r="L117"/>
  <c r="K117"/>
  <c r="R116"/>
  <c r="P116"/>
  <c r="N116"/>
  <c r="L116"/>
  <c r="K116"/>
  <c r="R115"/>
  <c r="P115"/>
  <c r="N115"/>
  <c r="L115"/>
  <c r="K115"/>
  <c r="R114"/>
  <c r="P114"/>
  <c r="N114"/>
  <c r="L114"/>
  <c r="K114"/>
  <c r="R113"/>
  <c r="P113"/>
  <c r="N113"/>
  <c r="L113"/>
  <c r="K113"/>
  <c r="R112"/>
  <c r="P112"/>
  <c r="N112"/>
  <c r="L112"/>
  <c r="K112"/>
  <c r="R111"/>
  <c r="P111"/>
  <c r="N111"/>
  <c r="L111"/>
  <c r="K111"/>
  <c r="R110"/>
  <c r="P110"/>
  <c r="N110"/>
  <c r="L110"/>
  <c r="K110"/>
  <c r="R109"/>
  <c r="P109"/>
  <c r="N109"/>
  <c r="L109"/>
  <c r="K109"/>
  <c r="R108"/>
  <c r="P108"/>
  <c r="N108"/>
  <c r="L108"/>
  <c r="K108"/>
  <c r="R107"/>
  <c r="P107"/>
  <c r="N107"/>
  <c r="L107"/>
  <c r="K107"/>
  <c r="R106"/>
  <c r="P106"/>
  <c r="N106"/>
  <c r="L106"/>
  <c r="K106"/>
  <c r="R105"/>
  <c r="P105"/>
  <c r="N105"/>
  <c r="L105"/>
  <c r="K105"/>
  <c r="R104"/>
  <c r="P104"/>
  <c r="N104"/>
  <c r="L104"/>
  <c r="K104"/>
  <c r="R103"/>
  <c r="P103"/>
  <c r="N103"/>
  <c r="L103"/>
  <c r="K103"/>
  <c r="R102"/>
  <c r="P102"/>
  <c r="N102"/>
  <c r="L102"/>
  <c r="K102"/>
  <c r="R101"/>
  <c r="P101"/>
  <c r="N101"/>
  <c r="L101"/>
  <c r="K101"/>
  <c r="R100"/>
  <c r="P100"/>
  <c r="N100"/>
  <c r="L100"/>
  <c r="K100"/>
  <c r="R99"/>
  <c r="P99"/>
  <c r="N99"/>
  <c r="L99"/>
  <c r="K99"/>
  <c r="R98"/>
  <c r="P98"/>
  <c r="N98"/>
  <c r="L98"/>
  <c r="K98"/>
  <c r="R97"/>
  <c r="P97"/>
  <c r="N97"/>
  <c r="L97"/>
  <c r="K97"/>
  <c r="R96"/>
  <c r="P96"/>
  <c r="N96"/>
  <c r="L96"/>
  <c r="K96"/>
  <c r="R95"/>
  <c r="P95"/>
  <c r="N95"/>
  <c r="L95"/>
  <c r="K95"/>
  <c r="R94"/>
  <c r="P94"/>
  <c r="N94"/>
  <c r="L94"/>
  <c r="K94"/>
  <c r="R93"/>
  <c r="P93"/>
  <c r="N93"/>
  <c r="L93"/>
  <c r="K93"/>
  <c r="R92"/>
  <c r="P92"/>
  <c r="N92"/>
  <c r="L92"/>
  <c r="K92"/>
  <c r="R91"/>
  <c r="P91"/>
  <c r="N91"/>
  <c r="L91"/>
  <c r="K91"/>
  <c r="R90"/>
  <c r="P90"/>
  <c r="N90"/>
  <c r="L90"/>
  <c r="K90"/>
  <c r="R89"/>
  <c r="P89"/>
  <c r="N89"/>
  <c r="L89"/>
  <c r="K89"/>
  <c r="R88"/>
  <c r="P88"/>
  <c r="N88"/>
  <c r="L88"/>
  <c r="K88"/>
  <c r="R87"/>
  <c r="P87"/>
  <c r="N87"/>
  <c r="L87"/>
  <c r="K87"/>
  <c r="R86"/>
  <c r="P86"/>
  <c r="N86"/>
  <c r="L86"/>
  <c r="K86"/>
  <c r="R85"/>
  <c r="P85"/>
  <c r="N85"/>
  <c r="L85"/>
  <c r="K85"/>
  <c r="R84"/>
  <c r="P84"/>
  <c r="N84"/>
  <c r="L84"/>
  <c r="K84"/>
  <c r="R83"/>
  <c r="P83"/>
  <c r="N83"/>
  <c r="L83"/>
  <c r="K83"/>
  <c r="R82"/>
  <c r="P82"/>
  <c r="N82"/>
  <c r="L82"/>
  <c r="K82"/>
  <c r="R81"/>
  <c r="P81"/>
  <c r="N81"/>
  <c r="L81"/>
  <c r="K81"/>
  <c r="R80"/>
  <c r="P80"/>
  <c r="N80"/>
  <c r="L80"/>
  <c r="K80"/>
  <c r="R79"/>
  <c r="P79"/>
  <c r="N79"/>
  <c r="L79"/>
  <c r="K79"/>
  <c r="R78"/>
  <c r="P78"/>
  <c r="N78"/>
  <c r="L78"/>
  <c r="K78"/>
  <c r="R77"/>
  <c r="P77"/>
  <c r="N77"/>
  <c r="L77"/>
  <c r="K77"/>
  <c r="R76"/>
  <c r="P76"/>
  <c r="N76"/>
  <c r="L76"/>
  <c r="K76"/>
  <c r="R75"/>
  <c r="P75"/>
  <c r="N75"/>
  <c r="L75"/>
  <c r="K75"/>
  <c r="R74"/>
  <c r="P74"/>
  <c r="N74"/>
  <c r="L74"/>
  <c r="K74"/>
  <c r="R73"/>
  <c r="P73"/>
  <c r="N73"/>
  <c r="L73"/>
  <c r="K73"/>
  <c r="R72"/>
  <c r="P72"/>
  <c r="N72"/>
  <c r="L72"/>
  <c r="K72"/>
  <c r="R71"/>
  <c r="P71"/>
  <c r="N71"/>
  <c r="L71"/>
  <c r="K71"/>
  <c r="R70"/>
  <c r="P70"/>
  <c r="N70"/>
  <c r="L70"/>
  <c r="K70"/>
  <c r="R69"/>
  <c r="P69"/>
  <c r="N69"/>
  <c r="L69"/>
  <c r="K69"/>
  <c r="R68"/>
  <c r="P68"/>
  <c r="N68"/>
  <c r="L68"/>
  <c r="K68"/>
  <c r="R67"/>
  <c r="P67"/>
  <c r="N67"/>
  <c r="L67"/>
  <c r="K67"/>
  <c r="R66"/>
  <c r="P66"/>
  <c r="N66"/>
  <c r="L66"/>
  <c r="K66"/>
  <c r="R65"/>
  <c r="P65"/>
  <c r="N65"/>
  <c r="L65"/>
  <c r="K65"/>
  <c r="R64"/>
  <c r="P64"/>
  <c r="N64"/>
  <c r="L64"/>
  <c r="K64"/>
  <c r="R63"/>
  <c r="P63"/>
  <c r="N63"/>
  <c r="L63"/>
  <c r="K63"/>
  <c r="R62"/>
  <c r="P62"/>
  <c r="N62"/>
  <c r="L62"/>
  <c r="K62"/>
  <c r="R61"/>
  <c r="P61"/>
  <c r="N61"/>
  <c r="L61"/>
  <c r="K61"/>
  <c r="R60"/>
  <c r="P60"/>
  <c r="N60"/>
  <c r="L60"/>
  <c r="K60"/>
  <c r="R59"/>
  <c r="P59"/>
  <c r="N59"/>
  <c r="L59"/>
  <c r="K59"/>
  <c r="R58"/>
  <c r="P58"/>
  <c r="N58"/>
  <c r="L58"/>
  <c r="K58"/>
  <c r="R57"/>
  <c r="P57"/>
  <c r="N57"/>
  <c r="L57"/>
  <c r="K57"/>
  <c r="R56"/>
  <c r="P56"/>
  <c r="N56"/>
  <c r="L56"/>
  <c r="K56"/>
  <c r="R55"/>
  <c r="P55"/>
  <c r="N55"/>
  <c r="L55"/>
  <c r="K55"/>
  <c r="R54"/>
  <c r="P54"/>
  <c r="N54"/>
  <c r="L54"/>
  <c r="K54"/>
  <c r="R53"/>
  <c r="P53"/>
  <c r="N53"/>
  <c r="L53"/>
  <c r="K53"/>
  <c r="R52"/>
  <c r="P52"/>
  <c r="N52"/>
  <c r="L52"/>
  <c r="K52"/>
  <c r="R51"/>
  <c r="P51"/>
  <c r="N51"/>
  <c r="L51"/>
  <c r="K51"/>
  <c r="R50"/>
  <c r="P50"/>
  <c r="N50"/>
  <c r="L50"/>
  <c r="K50"/>
  <c r="R49"/>
  <c r="P49"/>
  <c r="N49"/>
  <c r="L49"/>
  <c r="K49"/>
  <c r="R48"/>
  <c r="P48"/>
  <c r="N48"/>
  <c r="L48"/>
  <c r="K48"/>
  <c r="R47"/>
  <c r="P47"/>
  <c r="N47"/>
  <c r="L47"/>
  <c r="K47"/>
  <c r="R46"/>
  <c r="P46"/>
  <c r="N46"/>
  <c r="L46"/>
  <c r="K46"/>
  <c r="R45"/>
  <c r="P45"/>
  <c r="N45"/>
  <c r="L45"/>
  <c r="K45"/>
  <c r="R44"/>
  <c r="P44"/>
  <c r="N44"/>
  <c r="L44"/>
  <c r="K44"/>
  <c r="R43"/>
  <c r="P43"/>
  <c r="N43"/>
  <c r="L43"/>
  <c r="K43"/>
  <c r="R42"/>
  <c r="P42"/>
  <c r="N42"/>
  <c r="L42"/>
  <c r="K42"/>
  <c r="R41"/>
  <c r="P41"/>
  <c r="N41"/>
  <c r="L41"/>
  <c r="K41"/>
  <c r="R40"/>
  <c r="P40"/>
  <c r="N40"/>
  <c r="L40"/>
  <c r="K40"/>
  <c r="R39"/>
  <c r="P39"/>
  <c r="N39"/>
  <c r="L39"/>
  <c r="K39"/>
  <c r="R38"/>
  <c r="P38"/>
  <c r="N38"/>
  <c r="L38"/>
  <c r="K38"/>
  <c r="R37"/>
  <c r="P37"/>
  <c r="N37"/>
  <c r="L37"/>
  <c r="K37"/>
  <c r="R36"/>
  <c r="P36"/>
  <c r="N36"/>
  <c r="L36"/>
  <c r="K36"/>
  <c r="R35"/>
  <c r="P35"/>
  <c r="N35"/>
  <c r="L35"/>
  <c r="K35"/>
  <c r="R34"/>
  <c r="P34"/>
  <c r="N34"/>
  <c r="L34"/>
  <c r="K34"/>
  <c r="R33"/>
  <c r="P33"/>
  <c r="N33"/>
  <c r="L33"/>
  <c r="K33"/>
  <c r="R32"/>
  <c r="P32"/>
  <c r="N32"/>
  <c r="L32"/>
  <c r="K32"/>
  <c r="R31"/>
  <c r="P31"/>
  <c r="N31"/>
  <c r="L31"/>
  <c r="K31"/>
  <c r="R30"/>
  <c r="P30"/>
  <c r="N30"/>
  <c r="L30"/>
  <c r="K30"/>
  <c r="R29"/>
  <c r="P29"/>
  <c r="N29"/>
  <c r="L29"/>
  <c r="K29"/>
  <c r="R28"/>
  <c r="P28"/>
  <c r="N28"/>
  <c r="L28"/>
  <c r="K28"/>
  <c r="R27"/>
  <c r="P27"/>
  <c r="N27"/>
  <c r="L27"/>
  <c r="K27"/>
  <c r="R26"/>
  <c r="P26"/>
  <c r="N26"/>
  <c r="L26"/>
  <c r="K26"/>
  <c r="R25"/>
  <c r="P25"/>
  <c r="N25"/>
  <c r="L25"/>
  <c r="K25"/>
  <c r="R24"/>
  <c r="P24"/>
  <c r="N24"/>
  <c r="L24"/>
  <c r="K24"/>
  <c r="R23"/>
  <c r="P23"/>
  <c r="N23"/>
  <c r="L23"/>
  <c r="K23"/>
  <c r="R22"/>
  <c r="P22"/>
  <c r="N22"/>
  <c r="L22"/>
  <c r="K22"/>
  <c r="R21"/>
  <c r="P21"/>
  <c r="N21"/>
  <c r="L21"/>
  <c r="K21"/>
  <c r="R20"/>
  <c r="P20"/>
  <c r="N20"/>
  <c r="L20"/>
  <c r="K20"/>
  <c r="R19"/>
  <c r="P19"/>
  <c r="N19"/>
  <c r="L19"/>
  <c r="K19"/>
  <c r="R18"/>
  <c r="P18"/>
  <c r="N18"/>
  <c r="L18"/>
  <c r="K18"/>
  <c r="R17"/>
  <c r="P17"/>
  <c r="N17"/>
  <c r="L17"/>
  <c r="K17"/>
  <c r="R16"/>
  <c r="P16"/>
  <c r="N16"/>
  <c r="L16"/>
  <c r="K16"/>
  <c r="R15"/>
  <c r="P15"/>
  <c r="N15"/>
  <c r="L15"/>
  <c r="K15"/>
  <c r="R14"/>
  <c r="P14"/>
  <c r="N14"/>
  <c r="L14"/>
  <c r="K14"/>
  <c r="R13"/>
  <c r="P13"/>
  <c r="N13"/>
  <c r="L13"/>
  <c r="K13"/>
  <c r="R12"/>
  <c r="P12"/>
  <c r="N12"/>
  <c r="L12"/>
  <c r="K12"/>
  <c r="R11"/>
  <c r="P11"/>
  <c r="N11"/>
  <c r="L11"/>
  <c r="K11"/>
  <c r="R10"/>
  <c r="P10"/>
  <c r="N10"/>
  <c r="L10"/>
  <c r="K10"/>
  <c r="R9"/>
  <c r="P9"/>
  <c r="N9"/>
  <c r="L9"/>
  <c r="K9"/>
  <c r="R8"/>
  <c r="P8"/>
  <c r="N8"/>
  <c r="L8"/>
  <c r="K8"/>
  <c r="R7"/>
  <c r="P7"/>
  <c r="N7"/>
  <c r="L7"/>
  <c r="K7"/>
  <c r="R6"/>
  <c r="G424" s="1"/>
  <c r="P6"/>
  <c r="N6"/>
  <c r="L6"/>
  <c r="K6"/>
  <c r="S251" l="1"/>
  <c r="V263" a="1"/>
  <c r="V263" s="1"/>
  <c r="S237"/>
  <c r="V307" a="1"/>
  <c r="V307" s="1"/>
  <c r="S235"/>
  <c r="S245"/>
  <c r="V311" a="1"/>
  <c r="V311" s="1"/>
  <c r="S243"/>
  <c r="S247"/>
  <c r="S249"/>
  <c r="S239"/>
  <c r="S241"/>
  <c r="AA413"/>
  <c r="S223"/>
  <c r="AA204"/>
  <c r="S312"/>
  <c r="V316" a="1"/>
  <c r="V316" s="1"/>
  <c r="V320" a="1"/>
  <c r="V320" s="1"/>
  <c r="V324" a="1"/>
  <c r="V324" s="1"/>
  <c r="V328" a="1"/>
  <c r="V328" s="1"/>
  <c r="V336" a="1"/>
  <c r="V336" s="1"/>
  <c r="S338"/>
  <c r="V342" a="1"/>
  <c r="V342" s="1"/>
  <c r="V346" a="1"/>
  <c r="V346" s="1"/>
  <c r="V350" a="1"/>
  <c r="V350" s="1"/>
  <c r="V356" a="1"/>
  <c r="V356" s="1"/>
  <c r="V378" a="1"/>
  <c r="V378" s="1"/>
  <c r="S380"/>
  <c r="V382" a="1"/>
  <c r="V382" s="1"/>
  <c r="S382"/>
  <c r="V386" a="1"/>
  <c r="V386" s="1"/>
  <c r="S386"/>
  <c r="S388"/>
  <c r="V390" a="1"/>
  <c r="V390" s="1"/>
  <c r="S390"/>
  <c r="S392"/>
  <c r="S394"/>
  <c r="V396" a="1"/>
  <c r="V396" s="1"/>
  <c r="S396"/>
  <c r="S398"/>
  <c r="S400"/>
  <c r="S402"/>
  <c r="V404" a="1"/>
  <c r="V404" s="1"/>
  <c r="S404"/>
  <c r="S406"/>
  <c r="S183"/>
  <c r="S185"/>
  <c r="S197"/>
  <c r="V100" a="1"/>
  <c r="V100" s="1"/>
  <c r="V58" a="1"/>
  <c r="V58" s="1"/>
  <c r="K434"/>
  <c r="O434" s="1" a="1"/>
  <c r="O434" s="1"/>
  <c r="AA415"/>
  <c r="AA418"/>
  <c r="AA208"/>
  <c r="AA206"/>
  <c r="S100"/>
  <c r="V218" a="1"/>
  <c r="V218" s="1"/>
  <c r="V315" a="1"/>
  <c r="V315" s="1"/>
  <c r="V321" a="1"/>
  <c r="V321" s="1"/>
  <c r="S323"/>
  <c r="V325" a="1"/>
  <c r="V325" s="1"/>
  <c r="S325"/>
  <c r="S327"/>
  <c r="V329" a="1"/>
  <c r="V329" s="1"/>
  <c r="S329"/>
  <c r="V335" a="1"/>
  <c r="V335" s="1"/>
  <c r="V341" a="1"/>
  <c r="V341" s="1"/>
  <c r="V345" a="1"/>
  <c r="V345" s="1"/>
  <c r="V349" a="1"/>
  <c r="V349" s="1"/>
  <c r="V355" a="1"/>
  <c r="V355" s="1"/>
  <c r="V377" a="1"/>
  <c r="V377" s="1"/>
  <c r="V381" a="1"/>
  <c r="V381" s="1"/>
  <c r="V385" a="1"/>
  <c r="V385" s="1"/>
  <c r="V389" a="1"/>
  <c r="V389" s="1"/>
  <c r="V393" a="1"/>
  <c r="V393" s="1"/>
  <c r="V395" a="1"/>
  <c r="V395" s="1"/>
  <c r="V399" a="1"/>
  <c r="V399" s="1"/>
  <c r="V407" a="1"/>
  <c r="V407" s="1"/>
  <c r="V288" a="1"/>
  <c r="V288" s="1"/>
  <c r="V298" a="1"/>
  <c r="V298" s="1"/>
  <c r="V302" a="1"/>
  <c r="V302" s="1"/>
  <c r="V306" a="1"/>
  <c r="V306" s="1"/>
  <c r="V310" a="1"/>
  <c r="V310" s="1"/>
  <c r="V272" a="1"/>
  <c r="V272" s="1"/>
  <c r="V280" a="1"/>
  <c r="V280" s="1"/>
  <c r="V284" a="1"/>
  <c r="V284" s="1"/>
  <c r="V252" a="1"/>
  <c r="V252" s="1"/>
  <c r="V260" a="1"/>
  <c r="V260" s="1"/>
  <c r="V264" a="1"/>
  <c r="V264" s="1"/>
  <c r="V246" a="1"/>
  <c r="V246" s="1"/>
  <c r="V222" a="1"/>
  <c r="V222" s="1"/>
  <c r="V228" a="1"/>
  <c r="V228" s="1"/>
  <c r="V232" a="1"/>
  <c r="V232" s="1"/>
  <c r="V236" a="1"/>
  <c r="V236" s="1"/>
  <c r="V242" a="1"/>
  <c r="V242" s="1"/>
  <c r="V11" a="1"/>
  <c r="V11" s="1"/>
  <c r="V102" a="1"/>
  <c r="V102" s="1"/>
  <c r="S102"/>
  <c r="S104"/>
  <c r="V106" a="1"/>
  <c r="V106" s="1"/>
  <c r="V112" a="1"/>
  <c r="V112" s="1"/>
  <c r="V114" a="1"/>
  <c r="V114" s="1"/>
  <c r="S114"/>
  <c r="V116" a="1"/>
  <c r="V116" s="1"/>
  <c r="S116"/>
  <c r="V118" a="1"/>
  <c r="V118" s="1"/>
  <c r="V120" a="1"/>
  <c r="V120" s="1"/>
  <c r="V126" a="1"/>
  <c r="V126" s="1"/>
  <c r="V128" a="1"/>
  <c r="V128" s="1"/>
  <c r="S130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S150"/>
  <c r="S154"/>
  <c r="S162"/>
  <c r="S164"/>
  <c r="S166"/>
  <c r="V168" a="1"/>
  <c r="V168" s="1"/>
  <c r="S168"/>
  <c r="V170" a="1"/>
  <c r="V170" s="1"/>
  <c r="V172" a="1"/>
  <c r="V172" s="1"/>
  <c r="V174" a="1"/>
  <c r="V174" s="1"/>
  <c r="V176" a="1"/>
  <c r="V176" s="1"/>
  <c r="V178" a="1"/>
  <c r="V178" s="1"/>
  <c r="S178"/>
  <c r="V180" a="1"/>
  <c r="V180" s="1"/>
  <c r="S180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78" a="1"/>
  <c r="V78" s="1"/>
  <c r="S78"/>
  <c r="V80" a="1"/>
  <c r="V80" s="1"/>
  <c r="S80"/>
  <c r="V82" a="1"/>
  <c r="V82" s="1"/>
  <c r="V84" a="1"/>
  <c r="V84" s="1"/>
  <c r="S84"/>
  <c r="S86"/>
  <c r="V88" a="1"/>
  <c r="V88" s="1"/>
  <c r="S88"/>
  <c r="V90" a="1"/>
  <c r="V90" s="1"/>
  <c r="S90"/>
  <c r="V92" a="1"/>
  <c r="V92" s="1"/>
  <c r="S92"/>
  <c r="V94" a="1"/>
  <c r="V94" s="1"/>
  <c r="V96" a="1"/>
  <c r="V96" s="1"/>
  <c r="S96"/>
  <c r="V98" a="1"/>
  <c r="V98" s="1"/>
  <c r="S98"/>
  <c r="V76" a="1"/>
  <c r="V76" s="1"/>
  <c r="S76"/>
  <c r="V62" a="1"/>
  <c r="V62" s="1"/>
  <c r="V64" a="1"/>
  <c r="V64" s="1"/>
  <c r="S66"/>
  <c r="S68"/>
  <c r="V70" a="1"/>
  <c r="V70" s="1"/>
  <c r="V72" a="1"/>
  <c r="V72" s="1"/>
  <c r="S72"/>
  <c r="V74" a="1"/>
  <c r="V74" s="1"/>
  <c r="S74"/>
  <c r="S38"/>
  <c r="V42" a="1"/>
  <c r="V42" s="1"/>
  <c r="V44" a="1"/>
  <c r="V44" s="1"/>
  <c r="V50" a="1"/>
  <c r="V50" s="1"/>
  <c r="S50"/>
  <c r="V52" a="1"/>
  <c r="V52" s="1"/>
  <c r="S52"/>
  <c r="V54" a="1"/>
  <c r="V54" s="1"/>
  <c r="S54"/>
  <c r="V56" a="1"/>
  <c r="V56" s="1"/>
  <c r="S56"/>
  <c r="S12"/>
  <c r="V16" a="1"/>
  <c r="V16" s="1"/>
  <c r="V18" a="1"/>
  <c r="V18" s="1"/>
  <c r="S18"/>
  <c r="V20" a="1"/>
  <c r="V20" s="1"/>
  <c r="S20"/>
  <c r="V22" a="1"/>
  <c r="V22" s="1"/>
  <c r="V24" a="1"/>
  <c r="V24" s="1"/>
  <c r="V26" a="1"/>
  <c r="V26" s="1"/>
  <c r="V28" a="1"/>
  <c r="V28" s="1"/>
  <c r="V30" a="1"/>
  <c r="V30" s="1"/>
  <c r="V32" a="1"/>
  <c r="V32" s="1"/>
  <c r="S32"/>
  <c r="V34" a="1"/>
  <c r="V34" s="1"/>
  <c r="S34"/>
  <c r="V36" a="1"/>
  <c r="V36" s="1"/>
  <c r="S36"/>
  <c r="V8" a="1"/>
  <c r="V8" s="1"/>
  <c r="S10"/>
  <c r="AA417"/>
  <c r="AA414"/>
  <c r="AA416"/>
  <c r="AA412"/>
  <c r="AA419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S262"/>
  <c r="S264"/>
  <c r="S266"/>
  <c r="S268"/>
  <c r="S270"/>
  <c r="S272"/>
  <c r="S274"/>
  <c r="S276"/>
  <c r="S278"/>
  <c r="S280"/>
  <c r="S282"/>
  <c r="S284"/>
  <c r="S286"/>
  <c r="S288"/>
  <c r="S290"/>
  <c r="S292"/>
  <c r="S294"/>
  <c r="S296"/>
  <c r="S298"/>
  <c r="S300"/>
  <c r="S302"/>
  <c r="S304"/>
  <c r="S306"/>
  <c r="S308"/>
  <c r="S310"/>
  <c r="S314"/>
  <c r="S316"/>
  <c r="S318"/>
  <c r="S320"/>
  <c r="S322"/>
  <c r="S324"/>
  <c r="S326"/>
  <c r="S328"/>
  <c r="S330"/>
  <c r="S332"/>
  <c r="S334"/>
  <c r="S336"/>
  <c r="S340"/>
  <c r="S342"/>
  <c r="S344"/>
  <c r="S346"/>
  <c r="S348"/>
  <c r="S350"/>
  <c r="S352"/>
  <c r="S354"/>
  <c r="S356"/>
  <c r="S358"/>
  <c r="S360"/>
  <c r="S362"/>
  <c r="S364"/>
  <c r="S366"/>
  <c r="S368"/>
  <c r="S370"/>
  <c r="S372"/>
  <c r="S374"/>
  <c r="S376"/>
  <c r="S378"/>
  <c r="S384"/>
  <c r="S217"/>
  <c r="S253"/>
  <c r="S255"/>
  <c r="S257"/>
  <c r="S259"/>
  <c r="S263"/>
  <c r="S265"/>
  <c r="S267"/>
  <c r="S269"/>
  <c r="S271"/>
  <c r="S279"/>
  <c r="S281"/>
  <c r="S283"/>
  <c r="S285"/>
  <c r="S287"/>
  <c r="S291"/>
  <c r="S293"/>
  <c r="S295"/>
  <c r="S297"/>
  <c r="S299"/>
  <c r="S301"/>
  <c r="S303"/>
  <c r="S305"/>
  <c r="S307"/>
  <c r="S309"/>
  <c r="S311"/>
  <c r="S313"/>
  <c r="S315"/>
  <c r="S317"/>
  <c r="S319"/>
  <c r="S321"/>
  <c r="S331"/>
  <c r="S333"/>
  <c r="S335"/>
  <c r="S337"/>
  <c r="S339"/>
  <c r="S341"/>
  <c r="S343"/>
  <c r="S345"/>
  <c r="S347"/>
  <c r="S349"/>
  <c r="S351"/>
  <c r="S353"/>
  <c r="S355"/>
  <c r="S357"/>
  <c r="S359"/>
  <c r="S361"/>
  <c r="S363"/>
  <c r="S365"/>
  <c r="S367"/>
  <c r="S369"/>
  <c r="S371"/>
  <c r="S373"/>
  <c r="S375"/>
  <c r="S377"/>
  <c r="S379"/>
  <c r="S381"/>
  <c r="S383"/>
  <c r="S385"/>
  <c r="S387"/>
  <c r="S389"/>
  <c r="S391"/>
  <c r="S393"/>
  <c r="S395"/>
  <c r="S397"/>
  <c r="S399"/>
  <c r="S401"/>
  <c r="S403"/>
  <c r="S405"/>
  <c r="S407"/>
  <c r="O409" a="1"/>
  <c r="O409" s="1"/>
  <c r="V394" a="1"/>
  <c r="V394" s="1"/>
  <c r="V397" a="1"/>
  <c r="V397" s="1"/>
  <c r="V398" a="1"/>
  <c r="V398" s="1"/>
  <c r="V405" a="1"/>
  <c r="V405" s="1"/>
  <c r="V406" a="1"/>
  <c r="V406" s="1"/>
  <c r="C423"/>
  <c r="V216" a="1"/>
  <c r="V216" s="1"/>
  <c r="V219" a="1"/>
  <c r="V219" s="1"/>
  <c r="V220" a="1"/>
  <c r="V220" s="1"/>
  <c r="V225" a="1"/>
  <c r="V225" s="1"/>
  <c r="V226" a="1"/>
  <c r="V226" s="1"/>
  <c r="V229" a="1"/>
  <c r="V229" s="1"/>
  <c r="V230" a="1"/>
  <c r="V230" s="1"/>
  <c r="V233" a="1"/>
  <c r="V233" s="1"/>
  <c r="V234" a="1"/>
  <c r="V234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AA205"/>
  <c r="AA207"/>
  <c r="AA209"/>
  <c r="AA203"/>
  <c r="K433"/>
  <c r="O433" s="1" a="1"/>
  <c r="O433" s="1"/>
  <c r="K432"/>
  <c r="O432" s="1" a="1"/>
  <c r="O432" s="1"/>
  <c r="S7"/>
  <c r="S9"/>
  <c r="S11"/>
  <c r="S13"/>
  <c r="S15"/>
  <c r="S17"/>
  <c r="S19"/>
  <c r="S21"/>
  <c r="S23"/>
  <c r="S25"/>
  <c r="S27"/>
  <c r="S29"/>
  <c r="S31"/>
  <c r="S33"/>
  <c r="S35"/>
  <c r="S37"/>
  <c r="S39"/>
  <c r="S41"/>
  <c r="S43"/>
  <c r="S45"/>
  <c r="S47"/>
  <c r="S49"/>
  <c r="S51"/>
  <c r="S53"/>
  <c r="S55"/>
  <c r="S57"/>
  <c r="S59"/>
  <c r="S61"/>
  <c r="S63"/>
  <c r="S65"/>
  <c r="S67"/>
  <c r="S69"/>
  <c r="S71"/>
  <c r="S73"/>
  <c r="S75"/>
  <c r="S77"/>
  <c r="S79"/>
  <c r="S81"/>
  <c r="S83"/>
  <c r="S85"/>
  <c r="S87"/>
  <c r="S89"/>
  <c r="S91"/>
  <c r="S93"/>
  <c r="S95"/>
  <c r="S97"/>
  <c r="S99"/>
  <c r="S101"/>
  <c r="S103"/>
  <c r="S105"/>
  <c r="S107"/>
  <c r="S109"/>
  <c r="S111"/>
  <c r="S113"/>
  <c r="S115"/>
  <c r="S117"/>
  <c r="S119"/>
  <c r="S121"/>
  <c r="S123"/>
  <c r="S125"/>
  <c r="S127"/>
  <c r="S129"/>
  <c r="S131"/>
  <c r="S133"/>
  <c r="S135"/>
  <c r="S137"/>
  <c r="S139"/>
  <c r="S141"/>
  <c r="S143"/>
  <c r="S145"/>
  <c r="S147"/>
  <c r="S149"/>
  <c r="S151"/>
  <c r="S153"/>
  <c r="S155"/>
  <c r="S157"/>
  <c r="S159"/>
  <c r="S161"/>
  <c r="S163"/>
  <c r="S165"/>
  <c r="S167"/>
  <c r="S169"/>
  <c r="S171"/>
  <c r="S173"/>
  <c r="S175"/>
  <c r="S177"/>
  <c r="S179"/>
  <c r="S181"/>
  <c r="S187"/>
  <c r="S189"/>
  <c r="S191"/>
  <c r="S193"/>
  <c r="S195"/>
  <c r="S8"/>
  <c r="S14"/>
  <c r="S16"/>
  <c r="S22"/>
  <c r="S24"/>
  <c r="S26"/>
  <c r="S28"/>
  <c r="S30"/>
  <c r="S40"/>
  <c r="S42"/>
  <c r="S44"/>
  <c r="S46"/>
  <c r="S48"/>
  <c r="S58"/>
  <c r="S60"/>
  <c r="S62"/>
  <c r="S64"/>
  <c r="S70"/>
  <c r="S82"/>
  <c r="S94"/>
  <c r="S106"/>
  <c r="S108"/>
  <c r="S110"/>
  <c r="S112"/>
  <c r="S118"/>
  <c r="S120"/>
  <c r="S122"/>
  <c r="S124"/>
  <c r="S126"/>
  <c r="S128"/>
  <c r="S132"/>
  <c r="S134"/>
  <c r="S136"/>
  <c r="S138"/>
  <c r="S140"/>
  <c r="S142"/>
  <c r="S144"/>
  <c r="S146"/>
  <c r="S148"/>
  <c r="S152"/>
  <c r="S156"/>
  <c r="S158"/>
  <c r="S160"/>
  <c r="S170"/>
  <c r="S172"/>
  <c r="S174"/>
  <c r="S176"/>
  <c r="S182"/>
  <c r="S184"/>
  <c r="S186"/>
  <c r="S188"/>
  <c r="S190"/>
  <c r="S192"/>
  <c r="S194"/>
  <c r="S196"/>
  <c r="S198"/>
  <c r="V19" a="1"/>
  <c r="V19" s="1"/>
  <c r="V21" a="1"/>
  <c r="V21" s="1"/>
  <c r="V23" a="1"/>
  <c r="V23" s="1"/>
  <c r="V25" a="1"/>
  <c r="V25" s="1"/>
  <c r="V27" a="1"/>
  <c r="V27" s="1"/>
  <c r="V31" a="1"/>
  <c r="V31" s="1"/>
  <c r="V33" a="1"/>
  <c r="V33" s="1"/>
  <c r="V35" a="1"/>
  <c r="V35" s="1"/>
  <c r="V37" a="1"/>
  <c r="V37" s="1"/>
  <c r="V41" a="1"/>
  <c r="V41" s="1"/>
  <c r="V43" a="1"/>
  <c r="V43" s="1"/>
  <c r="V45" a="1"/>
  <c r="V45" s="1"/>
  <c r="V51" a="1"/>
  <c r="V51" s="1"/>
  <c r="V53" a="1"/>
  <c r="V53" s="1"/>
  <c r="V55" a="1"/>
  <c r="V55" s="1"/>
  <c r="V59" a="1"/>
  <c r="V59" s="1"/>
  <c r="V63" a="1"/>
  <c r="V63" s="1"/>
  <c r="V71" a="1"/>
  <c r="V71" s="1"/>
  <c r="V73" a="1"/>
  <c r="V73" s="1"/>
  <c r="V75" a="1"/>
  <c r="V75" s="1"/>
  <c r="V77" a="1"/>
  <c r="V77" s="1"/>
  <c r="V79" a="1"/>
  <c r="V79" s="1"/>
  <c r="V89" a="1"/>
  <c r="V89" s="1"/>
  <c r="V91" a="1"/>
  <c r="V91" s="1"/>
  <c r="V93" a="1"/>
  <c r="V93" s="1"/>
  <c r="V95" a="1"/>
  <c r="V95" s="1"/>
  <c r="V97" a="1"/>
  <c r="V97" s="1"/>
  <c r="V99" a="1"/>
  <c r="V99" s="1"/>
  <c r="V101" a="1"/>
  <c r="V101" s="1"/>
  <c r="V107" a="1"/>
  <c r="V107" s="1"/>
  <c r="V111" a="1"/>
  <c r="V111" s="1"/>
  <c r="V113" a="1"/>
  <c r="V113" s="1"/>
  <c r="V115" a="1"/>
  <c r="V115" s="1"/>
  <c r="V117" a="1"/>
  <c r="V117" s="1"/>
  <c r="V119" a="1"/>
  <c r="V119" s="1"/>
  <c r="V127" a="1"/>
  <c r="V127" s="1"/>
  <c r="V129" a="1"/>
  <c r="V129" s="1"/>
  <c r="V133" a="1"/>
  <c r="V133" s="1"/>
  <c r="V135" a="1"/>
  <c r="V135" s="1"/>
  <c r="V137" a="1"/>
  <c r="V137" s="1"/>
  <c r="V139" a="1"/>
  <c r="V139" s="1"/>
  <c r="V141" a="1"/>
  <c r="V141" s="1"/>
  <c r="V143" a="1"/>
  <c r="V143" s="1"/>
  <c r="V147" a="1"/>
  <c r="V147" s="1"/>
  <c r="V149" a="1"/>
  <c r="V149" s="1"/>
  <c r="V169" a="1"/>
  <c r="V169" s="1"/>
  <c r="V171" a="1"/>
  <c r="V171" s="1"/>
  <c r="V173" a="1"/>
  <c r="V173" s="1"/>
  <c r="V175" a="1"/>
  <c r="V175" s="1"/>
  <c r="V177" a="1"/>
  <c r="V177" s="1"/>
  <c r="V179" a="1"/>
  <c r="V179" s="1"/>
  <c r="V181" a="1"/>
  <c r="V181" s="1"/>
  <c r="V183" a="1"/>
  <c r="V183" s="1"/>
  <c r="V185" a="1"/>
  <c r="V185" s="1"/>
  <c r="V187" a="1"/>
  <c r="V187" s="1"/>
  <c r="V189" a="1"/>
  <c r="V189" s="1"/>
  <c r="V195" a="1"/>
  <c r="V195" s="1"/>
  <c r="V197" a="1"/>
  <c r="V197" s="1"/>
  <c r="V7" a="1"/>
  <c r="V7" s="1"/>
  <c r="V12" a="1"/>
  <c r="V12" s="1"/>
  <c r="V13" a="1"/>
  <c r="V13" s="1"/>
  <c r="V17" a="1"/>
  <c r="V17" s="1"/>
  <c r="V309" i="487" a="1"/>
  <c r="V309" s="1"/>
  <c r="K434"/>
  <c r="O434" s="1" a="1"/>
  <c r="O434" s="1"/>
  <c r="AA417"/>
  <c r="AA415"/>
  <c r="AA418"/>
  <c r="AA412"/>
  <c r="AA419"/>
  <c r="S309"/>
  <c r="S310"/>
  <c r="S267"/>
  <c r="S246"/>
  <c r="AA208"/>
  <c r="AA206"/>
  <c r="AA209"/>
  <c r="AA203"/>
  <c r="S101"/>
  <c r="S78"/>
  <c r="K432"/>
  <c r="O432" s="1" a="1"/>
  <c r="O432" s="1"/>
  <c r="V310" a="1"/>
  <c r="V310" s="1"/>
  <c r="V267" a="1"/>
  <c r="V267" s="1"/>
  <c r="V246" a="1"/>
  <c r="V246" s="1"/>
  <c r="K408" a="1"/>
  <c r="K408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396" a="1"/>
  <c r="V396" s="1"/>
  <c r="V399" a="1"/>
  <c r="V399" s="1"/>
  <c r="V404" a="1"/>
  <c r="V404" s="1"/>
  <c r="V407" a="1"/>
  <c r="V407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272" a="1"/>
  <c r="V272" s="1"/>
  <c r="V273" a="1"/>
  <c r="V273" s="1"/>
  <c r="V279" a="1"/>
  <c r="V279" s="1"/>
  <c r="V280" a="1"/>
  <c r="V280" s="1"/>
  <c r="V283" a="1"/>
  <c r="V283" s="1"/>
  <c r="V284" a="1"/>
  <c r="V284" s="1"/>
  <c r="V287" a="1"/>
  <c r="V287" s="1"/>
  <c r="V288" a="1"/>
  <c r="V288" s="1"/>
  <c r="V291" a="1"/>
  <c r="V291" s="1"/>
  <c r="V293" a="1"/>
  <c r="V293" s="1"/>
  <c r="V298" a="1"/>
  <c r="V298" s="1"/>
  <c r="V299" a="1"/>
  <c r="V299" s="1"/>
  <c r="V302" a="1"/>
  <c r="V302" s="1"/>
  <c r="V303" a="1"/>
  <c r="V303" s="1"/>
  <c r="V306" a="1"/>
  <c r="V306" s="1"/>
  <c r="V307" a="1"/>
  <c r="V307" s="1"/>
  <c r="S250"/>
  <c r="V252" a="1"/>
  <c r="V252" s="1"/>
  <c r="S253"/>
  <c r="S254"/>
  <c r="S258"/>
  <c r="V260" a="1"/>
  <c r="V260" s="1"/>
  <c r="P408"/>
  <c r="O409" s="1" a="1"/>
  <c r="O409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3" a="1"/>
  <c r="V263" s="1"/>
  <c r="V264" a="1"/>
  <c r="V26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K433"/>
  <c r="O433" s="1" a="1"/>
  <c r="O433" s="1"/>
  <c r="V79" a="1"/>
  <c r="V79" s="1"/>
  <c r="V91" a="1"/>
  <c r="V91" s="1"/>
  <c r="V95" a="1"/>
  <c r="V95" s="1"/>
  <c r="V99" a="1"/>
  <c r="V99" s="1"/>
  <c r="K199" a="1"/>
  <c r="K199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V188" a="1"/>
  <c r="V188" s="1"/>
  <c r="V190" a="1"/>
  <c r="V190" s="1"/>
  <c r="V196" a="1"/>
  <c r="V196" s="1"/>
  <c r="V198" a="1"/>
  <c r="V198" s="1"/>
  <c r="V100" a="1"/>
  <c r="V100" s="1"/>
  <c r="R199"/>
  <c r="G424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V98" a="1"/>
  <c r="V98" s="1"/>
  <c r="P199"/>
  <c r="V11" a="1"/>
  <c r="V11" s="1"/>
  <c r="V12" a="1"/>
  <c r="V12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V70" a="1"/>
  <c r="V70" s="1"/>
  <c r="V72" a="1"/>
  <c r="V72" s="1"/>
  <c r="V74" a="1"/>
  <c r="V74" s="1"/>
  <c r="V76" a="1"/>
  <c r="V76" s="1"/>
  <c r="V99" i="488" a="1"/>
  <c r="V99" s="1"/>
  <c r="V396" i="489" a="1"/>
  <c r="V396" s="1"/>
  <c r="C427"/>
  <c r="M211"/>
  <c r="I452" i="488"/>
  <c r="AA417"/>
  <c r="AA415"/>
  <c r="AA418"/>
  <c r="AA412"/>
  <c r="AA419"/>
  <c r="S399"/>
  <c r="S286"/>
  <c r="S285"/>
  <c r="AA206"/>
  <c r="AA205"/>
  <c r="AA209"/>
  <c r="AA203"/>
  <c r="S75"/>
  <c r="S74"/>
  <c r="S99"/>
  <c r="I452" i="489"/>
  <c r="AA417"/>
  <c r="AA415"/>
  <c r="AA418"/>
  <c r="AA412"/>
  <c r="AA419"/>
  <c r="S398"/>
  <c r="S399"/>
  <c r="S396"/>
  <c r="S307"/>
  <c r="S308"/>
  <c r="S319"/>
  <c r="S317"/>
  <c r="S236"/>
  <c r="S235"/>
  <c r="AA208"/>
  <c r="AA206"/>
  <c r="AA209"/>
  <c r="AA203"/>
  <c r="S187"/>
  <c r="V190" a="1"/>
  <c r="V190" s="1"/>
  <c r="S196"/>
  <c r="S197"/>
  <c r="S188"/>
  <c r="S189"/>
  <c r="S111"/>
  <c r="S124"/>
  <c r="S125"/>
  <c r="S127"/>
  <c r="S140"/>
  <c r="S141"/>
  <c r="S143"/>
  <c r="S156"/>
  <c r="S157"/>
  <c r="S159"/>
  <c r="S172"/>
  <c r="S173"/>
  <c r="S175"/>
  <c r="S112"/>
  <c r="S113"/>
  <c r="S120"/>
  <c r="S121"/>
  <c r="S128"/>
  <c r="S129"/>
  <c r="S136"/>
  <c r="S137"/>
  <c r="S144"/>
  <c r="S145"/>
  <c r="S152"/>
  <c r="S153"/>
  <c r="S160"/>
  <c r="S161"/>
  <c r="S168"/>
  <c r="S169"/>
  <c r="S176"/>
  <c r="S177"/>
  <c r="S184"/>
  <c r="S185"/>
  <c r="S190"/>
  <c r="S194"/>
  <c r="S198"/>
  <c r="S109"/>
  <c r="S25"/>
  <c r="S26"/>
  <c r="K433" i="488"/>
  <c r="O433" s="1" a="1"/>
  <c r="O433" s="1"/>
  <c r="V399" a="1"/>
  <c r="V399" s="1"/>
  <c r="V287" a="1"/>
  <c r="V287" s="1"/>
  <c r="V286" a="1"/>
  <c r="V286" s="1"/>
  <c r="V285" a="1"/>
  <c r="V285" s="1"/>
  <c r="V404" a="1"/>
  <c r="V404" s="1"/>
  <c r="V407" a="1"/>
  <c r="V407" s="1"/>
  <c r="V397" a="1"/>
  <c r="V397" s="1"/>
  <c r="V398" a="1"/>
  <c r="V398" s="1"/>
  <c r="R408"/>
  <c r="V289" a="1"/>
  <c r="V289" s="1"/>
  <c r="V297" a="1"/>
  <c r="V297" s="1"/>
  <c r="V300" a="1"/>
  <c r="V300" s="1"/>
  <c r="V301" a="1"/>
  <c r="V301" s="1"/>
  <c r="V304" a="1"/>
  <c r="V304" s="1"/>
  <c r="V305" a="1"/>
  <c r="V305" s="1"/>
  <c r="V308" a="1"/>
  <c r="V308" s="1"/>
  <c r="V309" a="1"/>
  <c r="V309" s="1"/>
  <c r="V322" a="1"/>
  <c r="V322" s="1"/>
  <c r="V323" a="1"/>
  <c r="V323" s="1"/>
  <c r="V326" a="1"/>
  <c r="V326" s="1"/>
  <c r="V327" a="1"/>
  <c r="V327" s="1"/>
  <c r="V337" a="1"/>
  <c r="V337" s="1"/>
  <c r="V338" a="1"/>
  <c r="V338" s="1"/>
  <c r="V343" a="1"/>
  <c r="V343" s="1"/>
  <c r="V344" a="1"/>
  <c r="V344" s="1"/>
  <c r="V347" a="1"/>
  <c r="V347" s="1"/>
  <c r="V348" a="1"/>
  <c r="V348" s="1"/>
  <c r="V351" a="1"/>
  <c r="V351" s="1"/>
  <c r="V352" a="1"/>
  <c r="V352" s="1"/>
  <c r="V357" a="1"/>
  <c r="V357" s="1"/>
  <c r="V358" a="1"/>
  <c r="V358" s="1"/>
  <c r="V379" a="1"/>
  <c r="V379" s="1"/>
  <c r="V380" a="1"/>
  <c r="V380" s="1"/>
  <c r="V383" a="1"/>
  <c r="V383" s="1"/>
  <c r="V384" a="1"/>
  <c r="V384" s="1"/>
  <c r="V387" a="1"/>
  <c r="V387" s="1"/>
  <c r="V388" a="1"/>
  <c r="V388" s="1"/>
  <c r="V391" a="1"/>
  <c r="V391" s="1"/>
  <c r="V392" a="1"/>
  <c r="V392" s="1"/>
  <c r="V395" a="1"/>
  <c r="V395" s="1"/>
  <c r="V284" a="1"/>
  <c r="V284" s="1"/>
  <c r="K408" a="1"/>
  <c r="K408" s="1"/>
  <c r="P408"/>
  <c r="O409" s="1" a="1"/>
  <c r="O409" s="1"/>
  <c r="V219" a="1"/>
  <c r="V219" s="1"/>
  <c r="S224"/>
  <c r="V226" a="1"/>
  <c r="V226" s="1"/>
  <c r="S227"/>
  <c r="S228"/>
  <c r="V230" a="1"/>
  <c r="V230" s="1"/>
  <c r="S231"/>
  <c r="S232"/>
  <c r="V234" a="1"/>
  <c r="V234" s="1"/>
  <c r="S235"/>
  <c r="S236"/>
  <c r="S239"/>
  <c r="V241" a="1"/>
  <c r="V241" s="1"/>
  <c r="S242"/>
  <c r="S243"/>
  <c r="V245" a="1"/>
  <c r="V245" s="1"/>
  <c r="S246"/>
  <c r="S247"/>
  <c r="V250" a="1"/>
  <c r="V250" s="1"/>
  <c r="S251"/>
  <c r="S252"/>
  <c r="V254" a="1"/>
  <c r="V254" s="1"/>
  <c r="S255"/>
  <c r="S259"/>
  <c r="S260"/>
  <c r="V262" a="1"/>
  <c r="V262" s="1"/>
  <c r="S263"/>
  <c r="S264"/>
  <c r="S267"/>
  <c r="S270"/>
  <c r="S273"/>
  <c r="V281" a="1"/>
  <c r="V281" s="1"/>
  <c r="V282" a="1"/>
  <c r="V282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V235" a="1"/>
  <c r="V235" s="1"/>
  <c r="V236" a="1"/>
  <c r="V236" s="1"/>
  <c r="V239" a="1"/>
  <c r="V239" s="1"/>
  <c r="V242" a="1"/>
  <c r="V242" s="1"/>
  <c r="V243" a="1"/>
  <c r="V243" s="1"/>
  <c r="V246" a="1"/>
  <c r="V246" s="1"/>
  <c r="V251" a="1"/>
  <c r="V251" s="1"/>
  <c r="V252" a="1"/>
  <c r="V252" s="1"/>
  <c r="V259" a="1"/>
  <c r="V259" s="1"/>
  <c r="V260" a="1"/>
  <c r="V260" s="1"/>
  <c r="V263" a="1"/>
  <c r="V263" s="1"/>
  <c r="V264" a="1"/>
  <c r="V264" s="1"/>
  <c r="V267" a="1"/>
  <c r="V267" s="1"/>
  <c r="V272" a="1"/>
  <c r="V272" s="1"/>
  <c r="V273" a="1"/>
  <c r="V273" s="1"/>
  <c r="V279" a="1"/>
  <c r="V279" s="1"/>
  <c r="V280" a="1"/>
  <c r="V280" s="1"/>
  <c r="V77" a="1"/>
  <c r="V77" s="1"/>
  <c r="V89" a="1"/>
  <c r="V89" s="1"/>
  <c r="V93" a="1"/>
  <c r="V93" s="1"/>
  <c r="V97" a="1"/>
  <c r="V97" s="1"/>
  <c r="V101" a="1"/>
  <c r="V101" s="1"/>
  <c r="V113" a="1"/>
  <c r="V113" s="1"/>
  <c r="V117" a="1"/>
  <c r="V117" s="1"/>
  <c r="V129" a="1"/>
  <c r="V129" s="1"/>
  <c r="V133" a="1"/>
  <c r="V133" s="1"/>
  <c r="V137" a="1"/>
  <c r="V137" s="1"/>
  <c r="V141" a="1"/>
  <c r="V141" s="1"/>
  <c r="V149" a="1"/>
  <c r="V149" s="1"/>
  <c r="V169" a="1"/>
  <c r="V169" s="1"/>
  <c r="V173" a="1"/>
  <c r="V173" s="1"/>
  <c r="V177" a="1"/>
  <c r="V177" s="1"/>
  <c r="V181" a="1"/>
  <c r="V181" s="1"/>
  <c r="V185" a="1"/>
  <c r="V185" s="1"/>
  <c r="V189" a="1"/>
  <c r="V189" s="1"/>
  <c r="V74" a="1"/>
  <c r="V74" s="1"/>
  <c r="V196" a="1"/>
  <c r="V196" s="1"/>
  <c r="V198" a="1"/>
  <c r="V198" s="1"/>
  <c r="V188" a="1"/>
  <c r="V188" s="1"/>
  <c r="V100" a="1"/>
  <c r="V100" s="1"/>
  <c r="V102" a="1"/>
  <c r="V102" s="1"/>
  <c r="V106" a="1"/>
  <c r="V106" s="1"/>
  <c r="V112" a="1"/>
  <c r="V112" s="1"/>
  <c r="V114" a="1"/>
  <c r="V114" s="1"/>
  <c r="V116" a="1"/>
  <c r="V116" s="1"/>
  <c r="V118" a="1"/>
  <c r="V118" s="1"/>
  <c r="V120" a="1"/>
  <c r="V120" s="1"/>
  <c r="V126" a="1"/>
  <c r="V126" s="1"/>
  <c r="V128" a="1"/>
  <c r="V128" s="1"/>
  <c r="V132" a="1"/>
  <c r="V132" s="1"/>
  <c r="V134" a="1"/>
  <c r="V134" s="1"/>
  <c r="V136" a="1"/>
  <c r="V136" s="1"/>
  <c r="V138" a="1"/>
  <c r="V138" s="1"/>
  <c r="V140" a="1"/>
  <c r="V140" s="1"/>
  <c r="V142" a="1"/>
  <c r="V142" s="1"/>
  <c r="V146" a="1"/>
  <c r="V146" s="1"/>
  <c r="V148" a="1"/>
  <c r="V148" s="1"/>
  <c r="V168" a="1"/>
  <c r="V168" s="1"/>
  <c r="V170" a="1"/>
  <c r="V170" s="1"/>
  <c r="V172" a="1"/>
  <c r="V172" s="1"/>
  <c r="V174" a="1"/>
  <c r="V174" s="1"/>
  <c r="V176" a="1"/>
  <c r="V176" s="1"/>
  <c r="V178" a="1"/>
  <c r="V178" s="1"/>
  <c r="V180" a="1"/>
  <c r="V180" s="1"/>
  <c r="V182" a="1"/>
  <c r="V182" s="1"/>
  <c r="V184" a="1"/>
  <c r="V184" s="1"/>
  <c r="V186" a="1"/>
  <c r="V186" s="1"/>
  <c r="K199" a="1"/>
  <c r="K199" s="1"/>
  <c r="C423" s="1"/>
  <c r="V98" a="1"/>
  <c r="V98" s="1"/>
  <c r="V76" a="1"/>
  <c r="V76" s="1"/>
  <c r="V78" a="1"/>
  <c r="V78" s="1"/>
  <c r="V80" a="1"/>
  <c r="V80" s="1"/>
  <c r="V82" a="1"/>
  <c r="V82" s="1"/>
  <c r="V84" a="1"/>
  <c r="V84" s="1"/>
  <c r="V88" a="1"/>
  <c r="V88" s="1"/>
  <c r="V90" a="1"/>
  <c r="V90" s="1"/>
  <c r="V92" a="1"/>
  <c r="V92" s="1"/>
  <c r="V94" a="1"/>
  <c r="V94" s="1"/>
  <c r="V96" a="1"/>
  <c r="V96" s="1"/>
  <c r="R199"/>
  <c r="V70" a="1"/>
  <c r="V70" s="1"/>
  <c r="V72" a="1"/>
  <c r="V72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V26" a="1"/>
  <c r="V26" s="1"/>
  <c r="V28" a="1"/>
  <c r="V28" s="1"/>
  <c r="V30" a="1"/>
  <c r="V30" s="1"/>
  <c r="V32" a="1"/>
  <c r="V32" s="1"/>
  <c r="V34" a="1"/>
  <c r="V34" s="1"/>
  <c r="V36" a="1"/>
  <c r="V36" s="1"/>
  <c r="V42" a="1"/>
  <c r="V42" s="1"/>
  <c r="V44" a="1"/>
  <c r="V44" s="1"/>
  <c r="V50" a="1"/>
  <c r="V50" s="1"/>
  <c r="V52" a="1"/>
  <c r="V52" s="1"/>
  <c r="V54" a="1"/>
  <c r="V54" s="1"/>
  <c r="V56" a="1"/>
  <c r="V56" s="1"/>
  <c r="V58" a="1"/>
  <c r="V58" s="1"/>
  <c r="V62" a="1"/>
  <c r="V62" s="1"/>
  <c r="V64" a="1"/>
  <c r="V64" s="1"/>
  <c r="K433" i="489"/>
  <c r="O433" s="1" a="1"/>
  <c r="O433" s="1"/>
  <c r="K432"/>
  <c r="O432" s="1" a="1"/>
  <c r="O432" s="1"/>
  <c r="V399" a="1"/>
  <c r="V399" s="1"/>
  <c r="V397" a="1"/>
  <c r="V397" s="1"/>
  <c r="V398" a="1"/>
  <c r="V398" s="1"/>
  <c r="V308" a="1"/>
  <c r="V308" s="1"/>
  <c r="V236" a="1"/>
  <c r="V236" s="1"/>
  <c r="V235" a="1"/>
  <c r="V235" s="1"/>
  <c r="V405" a="1"/>
  <c r="V405" s="1"/>
  <c r="V406" a="1"/>
  <c r="V406" s="1"/>
  <c r="K408" a="1"/>
  <c r="K408" s="1"/>
  <c r="V237" a="1"/>
  <c r="V237" s="1"/>
  <c r="V240" a="1"/>
  <c r="V240" s="1"/>
  <c r="V241" a="1"/>
  <c r="V241" s="1"/>
  <c r="V244" a="1"/>
  <c r="V244" s="1"/>
  <c r="V245" a="1"/>
  <c r="V245" s="1"/>
  <c r="V250" a="1"/>
  <c r="V250" s="1"/>
  <c r="V253" a="1"/>
  <c r="V253" s="1"/>
  <c r="V254" a="1"/>
  <c r="V254" s="1"/>
  <c r="V261" a="1"/>
  <c r="V261" s="1"/>
  <c r="V262" a="1"/>
  <c r="V262" s="1"/>
  <c r="V265" a="1"/>
  <c r="V265" s="1"/>
  <c r="V268" a="1"/>
  <c r="V268" s="1"/>
  <c r="V271" a="1"/>
  <c r="V271" s="1"/>
  <c r="V281" a="1"/>
  <c r="V281" s="1"/>
  <c r="V282" a="1"/>
  <c r="V282" s="1"/>
  <c r="V285" a="1"/>
  <c r="V285" s="1"/>
  <c r="V286" a="1"/>
  <c r="V286" s="1"/>
  <c r="V289" a="1"/>
  <c r="V289" s="1"/>
  <c r="V297" a="1"/>
  <c r="V297" s="1"/>
  <c r="V300" a="1"/>
  <c r="V300" s="1"/>
  <c r="V301" a="1"/>
  <c r="V301" s="1"/>
  <c r="V304" a="1"/>
  <c r="V304" s="1"/>
  <c r="V305" a="1"/>
  <c r="V305" s="1"/>
  <c r="P408"/>
  <c r="V234" a="1"/>
  <c r="V234" s="1"/>
  <c r="V217" a="1"/>
  <c r="V217" s="1"/>
  <c r="V218" a="1"/>
  <c r="V218" s="1"/>
  <c r="V221" a="1"/>
  <c r="V221" s="1"/>
  <c r="V222" a="1"/>
  <c r="V222" s="1"/>
  <c r="V227" a="1"/>
  <c r="V227" s="1"/>
  <c r="V228" a="1"/>
  <c r="V228" s="1"/>
  <c r="V231" a="1"/>
  <c r="V231" s="1"/>
  <c r="V232" a="1"/>
  <c r="V232" s="1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30"/>
  <c r="S31"/>
  <c r="S38"/>
  <c r="S39"/>
  <c r="S46"/>
  <c r="S47"/>
  <c r="S54"/>
  <c r="S55"/>
  <c r="S62"/>
  <c r="S63"/>
  <c r="S70"/>
  <c r="S71"/>
  <c r="S78"/>
  <c r="S79"/>
  <c r="S86"/>
  <c r="S87"/>
  <c r="S94"/>
  <c r="S95"/>
  <c r="S102"/>
  <c r="S103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R199"/>
  <c r="G424" s="1"/>
  <c r="K199" a="1"/>
  <c r="K199" s="1"/>
  <c r="C423" s="1"/>
  <c r="V25" a="1"/>
  <c r="V25" s="1"/>
  <c r="V8" a="1"/>
  <c r="V8" s="1"/>
  <c r="V11" a="1"/>
  <c r="V11" s="1"/>
  <c r="V16" a="1"/>
  <c r="V16" s="1"/>
  <c r="V18" a="1"/>
  <c r="V18" s="1"/>
  <c r="V20" a="1"/>
  <c r="V20" s="1"/>
  <c r="V22" a="1"/>
  <c r="V22" s="1"/>
  <c r="V24" a="1"/>
  <c r="V24" s="1"/>
  <c r="L199" i="491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90"/>
  <c r="V6" a="1"/>
  <c r="V6" s="1"/>
  <c r="P199"/>
  <c r="S6"/>
  <c r="S199" s="1" a="1"/>
  <c r="S199" s="1"/>
  <c r="W200"/>
  <c r="AA210"/>
  <c r="K430"/>
  <c r="K429"/>
  <c r="L408"/>
  <c r="V215" a="1"/>
  <c r="V215" s="1"/>
  <c r="G211"/>
  <c r="S215"/>
  <c r="S408" s="1" a="1"/>
  <c r="S408" s="1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L199" i="489"/>
  <c r="V6" a="1"/>
  <c r="V6" s="1"/>
  <c r="P199"/>
  <c r="S6"/>
  <c r="S199" s="1" a="1"/>
  <c r="S199" s="1"/>
  <c r="W200"/>
  <c r="AA210"/>
  <c r="L408"/>
  <c r="V215" a="1"/>
  <c r="V215" s="1"/>
  <c r="G211"/>
  <c r="S215"/>
  <c r="S408" s="1" a="1"/>
  <c r="S408" s="1"/>
  <c r="W409"/>
  <c r="I426" a="1"/>
  <c r="I426" s="1"/>
  <c r="L199" i="488"/>
  <c r="V6" a="1"/>
  <c r="V6" s="1"/>
  <c r="P199"/>
  <c r="S6"/>
  <c r="S199" s="1" a="1"/>
  <c r="S199" s="1"/>
  <c r="W200"/>
  <c r="AA210"/>
  <c r="L408"/>
  <c r="V215" a="1"/>
  <c r="V215" s="1"/>
  <c r="S215"/>
  <c r="S408" s="1" a="1"/>
  <c r="S408" s="1"/>
  <c r="W409"/>
  <c r="I426" a="1"/>
  <c r="I426" s="1"/>
  <c r="L199" i="487"/>
  <c r="V6" a="1"/>
  <c r="V6" s="1"/>
  <c r="C424"/>
  <c r="K424" s="1"/>
  <c r="S6"/>
  <c r="W200"/>
  <c r="AA210"/>
  <c r="L408"/>
  <c r="V215" a="1"/>
  <c r="V215" s="1"/>
  <c r="S215"/>
  <c r="W409"/>
  <c r="I426" a="1"/>
  <c r="I426" s="1"/>
  <c r="V6" i="486" a="1"/>
  <c r="V6" s="1"/>
  <c r="S6"/>
  <c r="W200"/>
  <c r="AA210"/>
  <c r="V215" a="1"/>
  <c r="V215" s="1"/>
  <c r="S215"/>
  <c r="C452"/>
  <c r="J452" s="1"/>
  <c r="Q452" s="1"/>
  <c r="S452" s="1" a="1"/>
  <c r="S452" s="1"/>
  <c r="U452" a="1"/>
  <c r="U452" s="1"/>
  <c r="T452" a="1"/>
  <c r="T452" s="1"/>
  <c r="W409"/>
  <c r="I426" a="1"/>
  <c r="I426" s="1"/>
  <c r="J437"/>
  <c r="Q437" s="1"/>
  <c r="J438"/>
  <c r="Q438" s="1"/>
  <c r="J439"/>
  <c r="Q439" s="1"/>
  <c r="J440"/>
  <c r="Q440" s="1"/>
  <c r="J441"/>
  <c r="Q441" s="1"/>
  <c r="J442"/>
  <c r="Q442" s="1"/>
  <c r="J443"/>
  <c r="Q443" s="1"/>
  <c r="J444"/>
  <c r="Q444" s="1"/>
  <c r="J445"/>
  <c r="Q445" s="1"/>
  <c r="J446"/>
  <c r="Q446" s="1"/>
  <c r="J447"/>
  <c r="Q447" s="1"/>
  <c r="J448"/>
  <c r="Q448" s="1"/>
  <c r="J449"/>
  <c r="Q449" s="1"/>
  <c r="J450"/>
  <c r="Q450" s="1"/>
  <c r="J451"/>
  <c r="Q451" s="1"/>
  <c r="T437" a="1"/>
  <c r="T437" s="1"/>
  <c r="T438" a="1"/>
  <c r="T438" s="1"/>
  <c r="T443" a="1"/>
  <c r="T443" s="1"/>
  <c r="T444" a="1"/>
  <c r="T444" s="1"/>
  <c r="T445" a="1"/>
  <c r="T445" s="1"/>
  <c r="T450" a="1"/>
  <c r="T450" s="1"/>
  <c r="T451" a="1"/>
  <c r="T451" s="1"/>
  <c r="S408" l="1" a="1"/>
  <c r="S408" s="1"/>
  <c r="S199" a="1"/>
  <c r="S199" s="1"/>
  <c r="S408" i="487" a="1"/>
  <c r="S408" s="1"/>
  <c r="S199" a="1"/>
  <c r="S199" s="1"/>
  <c r="O200"/>
  <c r="C423"/>
  <c r="G424" i="488"/>
  <c r="V199" i="489" a="1"/>
  <c r="V199" s="1"/>
  <c r="S450" i="491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S450" i="490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8" a="1"/>
  <c r="M208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7" a="1"/>
  <c r="M417" s="1"/>
  <c r="M416" a="1"/>
  <c r="M416" s="1"/>
  <c r="M415" a="1"/>
  <c r="M415" s="1"/>
  <c r="S420" a="1"/>
  <c r="S420" s="1"/>
  <c r="M418" a="1"/>
  <c r="M418" s="1"/>
  <c r="V408" a="1"/>
  <c r="V408" s="1"/>
  <c r="C424" i="489"/>
  <c r="K424" s="1"/>
  <c r="G423"/>
  <c r="S211" a="1"/>
  <c r="S211" s="1"/>
  <c r="M208" a="1"/>
  <c r="M208" s="1"/>
  <c r="M207" a="1"/>
  <c r="M207" s="1"/>
  <c r="M206" a="1"/>
  <c r="M206" s="1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C424" i="488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G423" i="487"/>
  <c r="S211" a="1"/>
  <c r="S211" s="1"/>
  <c r="M207" a="1"/>
  <c r="M207" s="1"/>
  <c r="M206" a="1"/>
  <c r="M206" s="1"/>
  <c r="V199"/>
  <c r="M209" a="1"/>
  <c r="M209" s="1"/>
  <c r="O424"/>
  <c r="S424" s="1" a="1"/>
  <c r="S424" s="1"/>
  <c r="M416" a="1"/>
  <c r="M416" s="1"/>
  <c r="M415" a="1"/>
  <c r="M415" s="1"/>
  <c r="S420" a="1"/>
  <c r="S420" s="1"/>
  <c r="M418" a="1"/>
  <c r="M418" s="1"/>
  <c r="V408" a="1"/>
  <c r="V408" s="1"/>
  <c r="S450" i="486" a="1"/>
  <c r="S450" s="1"/>
  <c r="R450"/>
  <c r="S448" a="1"/>
  <c r="S448" s="1"/>
  <c r="R448"/>
  <c r="S446" a="1"/>
  <c r="S446" s="1"/>
  <c r="R446"/>
  <c r="S444" a="1"/>
  <c r="S444" s="1"/>
  <c r="R444"/>
  <c r="S442" a="1"/>
  <c r="S442" s="1"/>
  <c r="R442"/>
  <c r="S440" a="1"/>
  <c r="S440" s="1"/>
  <c r="R440"/>
  <c r="S438" a="1"/>
  <c r="S438" s="1"/>
  <c r="R438"/>
  <c r="C424"/>
  <c r="K424" s="1"/>
  <c r="O200"/>
  <c r="G423"/>
  <c r="S211" a="1"/>
  <c r="S211" s="1"/>
  <c r="M207" a="1"/>
  <c r="M207" s="1"/>
  <c r="M206" a="1"/>
  <c r="M206" s="1"/>
  <c r="V199"/>
  <c r="M209" a="1"/>
  <c r="M209" s="1"/>
  <c r="O424"/>
  <c r="S424" s="1" a="1"/>
  <c r="S424" s="1"/>
  <c r="S451" a="1"/>
  <c r="S451" s="1"/>
  <c r="R451"/>
  <c r="S449" a="1"/>
  <c r="S449" s="1"/>
  <c r="R449"/>
  <c r="S447" a="1"/>
  <c r="S447" s="1"/>
  <c r="R447"/>
  <c r="S445" a="1"/>
  <c r="S445" s="1"/>
  <c r="R445"/>
  <c r="S443" a="1"/>
  <c r="S443" s="1"/>
  <c r="R443"/>
  <c r="R452" s="1"/>
  <c r="S441" a="1"/>
  <c r="S441" s="1"/>
  <c r="R441"/>
  <c r="S439" a="1"/>
  <c r="S439" s="1"/>
  <c r="R439"/>
  <c r="S437" a="1"/>
  <c r="S437" s="1"/>
  <c r="R437"/>
  <c r="M416" a="1"/>
  <c r="M416" s="1"/>
  <c r="M415" a="1"/>
  <c r="M415" s="1"/>
  <c r="S420" a="1"/>
  <c r="S420" s="1"/>
  <c r="M418" a="1"/>
  <c r="M418" s="1"/>
  <c r="V408" a="1"/>
  <c r="V408" s="1"/>
  <c r="G429" i="491" l="1"/>
  <c r="O423"/>
  <c r="S423"/>
  <c r="K423"/>
  <c r="G428"/>
  <c r="G426" a="1"/>
  <c r="G426" s="1"/>
  <c r="G430"/>
  <c r="G427"/>
  <c r="G429" i="490"/>
  <c r="O423"/>
  <c r="S423"/>
  <c r="K423"/>
  <c r="G428"/>
  <c r="G426" a="1"/>
  <c r="G426" s="1"/>
  <c r="G430"/>
  <c r="G427"/>
  <c r="G429" i="489"/>
  <c r="O423"/>
  <c r="K423"/>
  <c r="G426" a="1"/>
  <c r="G426" s="1"/>
  <c r="G430"/>
  <c r="G427"/>
  <c r="G429" i="488"/>
  <c r="O423"/>
  <c r="K423"/>
  <c r="G426" a="1"/>
  <c r="G426" s="1"/>
  <c r="G430"/>
  <c r="G427"/>
  <c r="G429" i="487"/>
  <c r="O423"/>
  <c r="K423"/>
  <c r="G426" a="1"/>
  <c r="G426" s="1"/>
  <c r="G430"/>
  <c r="G427"/>
  <c r="G429" i="486"/>
  <c r="O423"/>
  <c r="S423"/>
  <c r="K423"/>
  <c r="G426" a="1"/>
  <c r="G426" s="1"/>
  <c r="G430"/>
  <c r="G427"/>
  <c r="C452" i="48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T445" s="1" a="1"/>
  <c r="T445" s="1"/>
  <c r="C451"/>
  <c r="U451" s="1" a="1"/>
  <c r="U451" s="1"/>
  <c r="C439"/>
  <c r="T439" s="1" a="1"/>
  <c r="T439" s="1"/>
  <c r="C447"/>
  <c r="T447" s="1" a="1"/>
  <c r="T447" s="1"/>
  <c r="C449"/>
  <c r="T449" s="1" a="1"/>
  <c r="T449" s="1"/>
  <c r="C441"/>
  <c r="J441" s="1"/>
  <c r="Q441" s="1"/>
  <c r="C443"/>
  <c r="T443" s="1" a="1"/>
  <c r="T443" s="1"/>
  <c r="S441" l="1" a="1"/>
  <c r="S441" s="1"/>
  <c r="R441"/>
  <c r="T441" a="1"/>
  <c r="T441" s="1"/>
  <c r="J449"/>
  <c r="Q449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3"/>
  <c r="Q443" s="1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45" a="1"/>
  <c r="U445" s="1"/>
  <c r="U443" a="1"/>
  <c r="U443" s="1"/>
  <c r="T437" a="1"/>
  <c r="T437" s="1"/>
  <c r="T450" a="1"/>
  <c r="T450" s="1"/>
  <c r="T444" a="1"/>
  <c r="T444" s="1"/>
  <c r="T438" a="1"/>
  <c r="T438" s="1"/>
  <c r="R438" l="1"/>
  <c r="S438" a="1"/>
  <c r="S438" s="1"/>
  <c r="R446"/>
  <c r="S446" a="1"/>
  <c r="S446" s="1"/>
  <c r="R445"/>
  <c r="S445" a="1"/>
  <c r="S445" s="1"/>
  <c r="S447" a="1"/>
  <c r="S447" s="1"/>
  <c r="R447"/>
  <c r="R440"/>
  <c r="S440" a="1"/>
  <c r="S440" s="1"/>
  <c r="R448"/>
  <c r="S448" a="1"/>
  <c r="S448" s="1"/>
  <c r="S451" a="1"/>
  <c r="S451" s="1"/>
  <c r="R451"/>
  <c r="R442"/>
  <c r="S442" a="1"/>
  <c r="S442" s="1"/>
  <c r="R450"/>
  <c r="S450" a="1"/>
  <c r="S450" s="1"/>
  <c r="R439"/>
  <c r="S439" a="1"/>
  <c r="S439" s="1"/>
  <c r="S443" a="1"/>
  <c r="S443" s="1"/>
  <c r="R443"/>
  <c r="R444"/>
  <c r="S444" a="1"/>
  <c r="S444" s="1"/>
  <c r="S437" a="1"/>
  <c r="S437" s="1"/>
  <c r="R437"/>
  <c r="R449"/>
  <c r="S449" a="1"/>
  <c r="S449" s="1"/>
  <c r="R452" l="1"/>
  <c r="S423" s="1"/>
  <c r="C452" i="488"/>
  <c r="T452" s="1" a="1"/>
  <c r="T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J448" s="1"/>
  <c r="Q448" s="1"/>
  <c r="C450"/>
  <c r="J450" s="1"/>
  <c r="Q450" s="1"/>
  <c r="C437"/>
  <c r="J437" s="1"/>
  <c r="Q437" s="1"/>
  <c r="C445"/>
  <c r="J445" s="1"/>
  <c r="Q445" s="1"/>
  <c r="C451"/>
  <c r="J451" s="1"/>
  <c r="Q451" s="1"/>
  <c r="C439"/>
  <c r="J439" s="1"/>
  <c r="Q439" s="1"/>
  <c r="C441"/>
  <c r="J441" s="1"/>
  <c r="Q441" s="1"/>
  <c r="C447"/>
  <c r="J447" s="1"/>
  <c r="Q447" s="1"/>
  <c r="C449"/>
  <c r="J449" s="1"/>
  <c r="Q449" s="1"/>
  <c r="C443"/>
  <c r="J443" s="1"/>
  <c r="Q443" s="1"/>
  <c r="T449" l="1" a="1"/>
  <c r="T449" s="1"/>
  <c r="R449"/>
  <c r="S449" a="1"/>
  <c r="S449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R443"/>
  <c r="S443" a="1"/>
  <c r="S443" s="1"/>
  <c r="R447"/>
  <c r="S447" a="1"/>
  <c r="S447" s="1"/>
  <c r="R439"/>
  <c r="S439" a="1"/>
  <c r="S439" s="1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T447" a="1"/>
  <c r="T447" s="1"/>
  <c r="T441" a="1"/>
  <c r="T441" s="1"/>
  <c r="T439" a="1"/>
  <c r="T439" s="1"/>
  <c r="T451" a="1"/>
  <c r="T451" s="1"/>
  <c r="U451" a="1"/>
  <c r="U451" s="1"/>
  <c r="T445" a="1"/>
  <c r="T445" s="1"/>
  <c r="U445" a="1"/>
  <c r="U445" s="1"/>
  <c r="T443" a="1"/>
  <c r="T443" s="1"/>
  <c r="U443" a="1"/>
  <c r="U443" s="1"/>
  <c r="T437" a="1"/>
  <c r="T437" s="1"/>
  <c r="U437" a="1"/>
  <c r="U437" s="1"/>
  <c r="T450" a="1"/>
  <c r="T450" s="1"/>
  <c r="U450" a="1"/>
  <c r="U450" s="1"/>
  <c r="T448" a="1"/>
  <c r="T448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J452"/>
  <c r="Q452" s="1"/>
  <c r="S452" s="1" a="1"/>
  <c r="S452" s="1"/>
  <c r="U452" a="1"/>
  <c r="U452" s="1"/>
  <c r="R452" l="1"/>
  <c r="S423" s="1"/>
  <c r="K417" i="489"/>
  <c r="M420" s="1"/>
  <c r="C428" l="1"/>
  <c r="K430" s="1"/>
  <c r="G420"/>
  <c r="M417" a="1"/>
  <c r="M417" s="1"/>
  <c r="G428" l="1"/>
  <c r="K429"/>
  <c r="K208" i="488"/>
  <c r="M211" s="1"/>
  <c r="M208" l="1" a="1"/>
  <c r="M208" s="1"/>
  <c r="G211"/>
  <c r="K417"/>
  <c r="G420" s="1"/>
  <c r="C428" l="1"/>
  <c r="K430" s="1"/>
  <c r="M417" a="1"/>
  <c r="M417" s="1"/>
  <c r="M420"/>
  <c r="G428"/>
  <c r="K429" l="1"/>
  <c r="C437" i="487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T449" s="1" a="1"/>
  <c r="T449" s="1"/>
  <c r="C451"/>
  <c r="U451" s="1" a="1"/>
  <c r="U451" s="1"/>
  <c r="C438"/>
  <c r="U438" s="1" a="1"/>
  <c r="U438" s="1"/>
  <c r="C444"/>
  <c r="J444" s="1"/>
  <c r="Q444" s="1"/>
  <c r="C450"/>
  <c r="J450" s="1"/>
  <c r="Q450" s="1"/>
  <c r="C452"/>
  <c r="U452" s="1" a="1"/>
  <c r="U452" s="1"/>
  <c r="C440"/>
  <c r="T440" s="1" a="1"/>
  <c r="T440" s="1"/>
  <c r="C442"/>
  <c r="T442" s="1" a="1"/>
  <c r="T442" s="1"/>
  <c r="C446"/>
  <c r="T446" s="1" a="1"/>
  <c r="T446" s="1"/>
  <c r="C448"/>
  <c r="T448" s="1" a="1"/>
  <c r="T448" s="1"/>
  <c r="C443"/>
  <c r="U443" s="1" a="1"/>
  <c r="U443" s="1"/>
  <c r="U450" l="1" a="1"/>
  <c r="U450" s="1"/>
  <c r="T450" a="1"/>
  <c r="T450" s="1"/>
  <c r="T438" a="1"/>
  <c r="T438" s="1"/>
  <c r="R444"/>
  <c r="S444" a="1"/>
  <c r="S444" s="1"/>
  <c r="R450"/>
  <c r="S450" a="1"/>
  <c r="S450" s="1"/>
  <c r="J448"/>
  <c r="Q448" s="1"/>
  <c r="J442"/>
  <c r="Q442" s="1"/>
  <c r="J452"/>
  <c r="Q452" s="1"/>
  <c r="S452" s="1" a="1"/>
  <c r="S452" s="1"/>
  <c r="J451"/>
  <c r="Q451" s="1"/>
  <c r="J447"/>
  <c r="Q447" s="1"/>
  <c r="J441"/>
  <c r="Q441" s="1"/>
  <c r="J437"/>
  <c r="Q437" s="1"/>
  <c r="T444" a="1"/>
  <c r="T444" s="1"/>
  <c r="U444" a="1"/>
  <c r="U444" s="1"/>
  <c r="J443"/>
  <c r="Q443" s="1"/>
  <c r="J446"/>
  <c r="Q446" s="1"/>
  <c r="J440"/>
  <c r="Q440" s="1"/>
  <c r="J438"/>
  <c r="Q438" s="1"/>
  <c r="J449"/>
  <c r="Q449" s="1"/>
  <c r="J445"/>
  <c r="Q445" s="1"/>
  <c r="J439"/>
  <c r="Q439" s="1"/>
  <c r="T452" a="1"/>
  <c r="T452" s="1"/>
  <c r="T451" a="1"/>
  <c r="T451" s="1"/>
  <c r="T445" a="1"/>
  <c r="T445" s="1"/>
  <c r="T443" a="1"/>
  <c r="T443" s="1"/>
  <c r="T437" a="1"/>
  <c r="T437" s="1"/>
  <c r="R445" l="1"/>
  <c r="S445" a="1"/>
  <c r="S445" s="1"/>
  <c r="R438"/>
  <c r="S438" a="1"/>
  <c r="S438" s="1"/>
  <c r="R446"/>
  <c r="S446" a="1"/>
  <c r="S446" s="1"/>
  <c r="R437"/>
  <c r="S437" a="1"/>
  <c r="S437" s="1"/>
  <c r="R447"/>
  <c r="S447" a="1"/>
  <c r="S447" s="1"/>
  <c r="R448"/>
  <c r="S448" a="1"/>
  <c r="S448" s="1"/>
  <c r="R439"/>
  <c r="S439" a="1"/>
  <c r="S439" s="1"/>
  <c r="R449"/>
  <c r="S449" a="1"/>
  <c r="S449" s="1"/>
  <c r="R440"/>
  <c r="S440" a="1"/>
  <c r="S440" s="1"/>
  <c r="S443" a="1"/>
  <c r="S443" s="1"/>
  <c r="R443"/>
  <c r="R452" s="1"/>
  <c r="S423" s="1"/>
  <c r="R441"/>
  <c r="S441" a="1"/>
  <c r="S441" s="1"/>
  <c r="R451"/>
  <c r="S451" a="1"/>
  <c r="S451" s="1"/>
  <c r="R442"/>
  <c r="S442" a="1"/>
  <c r="S442" s="1"/>
  <c r="K208"/>
  <c r="M211" s="1"/>
  <c r="M208" l="1" a="1"/>
  <c r="M208" s="1"/>
  <c r="G211"/>
  <c r="K417"/>
  <c r="G420" s="1"/>
  <c r="C428" l="1"/>
  <c r="M417" a="1"/>
  <c r="M417" s="1"/>
  <c r="M420"/>
  <c r="K430" l="1"/>
  <c r="K429"/>
  <c r="G428"/>
  <c r="C452" i="520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1"/>
  <c r="J441" s="1"/>
  <c r="Q441" s="1"/>
  <c r="C449"/>
  <c r="J449" s="1"/>
  <c r="Q449" s="1"/>
  <c r="C447"/>
  <c r="T447" s="1" a="1"/>
  <c r="T447" s="1"/>
  <c r="J447"/>
  <c r="Q447" s="1"/>
  <c r="C443"/>
  <c r="U443" s="1" a="1"/>
  <c r="U443" s="1"/>
  <c r="J443"/>
  <c r="Q443" s="1"/>
  <c r="R449" l="1"/>
  <c r="S449" a="1"/>
  <c r="S449" s="1"/>
  <c r="R443"/>
  <c r="S443" a="1"/>
  <c r="S443" s="1"/>
  <c r="R447"/>
  <c r="S447" a="1"/>
  <c r="S447" s="1"/>
  <c r="R445"/>
  <c r="S445" a="1"/>
  <c r="S445" s="1"/>
  <c r="R441"/>
  <c r="S441" a="1"/>
  <c r="S441" s="1"/>
  <c r="R451"/>
  <c r="S451" a="1"/>
  <c r="S451" s="1"/>
  <c r="R437"/>
  <c r="S437" a="1"/>
  <c r="S437" s="1"/>
  <c r="R448"/>
  <c r="S448" a="1"/>
  <c r="S448" s="1"/>
  <c r="R444"/>
  <c r="S444" a="1"/>
  <c r="S444" s="1"/>
  <c r="R440"/>
  <c r="S440" a="1"/>
  <c r="S440" s="1"/>
  <c r="J439"/>
  <c r="Q439" s="1"/>
  <c r="J450"/>
  <c r="Q450" s="1"/>
  <c r="J446"/>
  <c r="Q446" s="1"/>
  <c r="J442"/>
  <c r="Q442" s="1"/>
  <c r="J438"/>
  <c r="Q438" s="1"/>
  <c r="T449" a="1"/>
  <c r="T449" s="1"/>
  <c r="T441" a="1"/>
  <c r="T441" s="1"/>
  <c r="T451" a="1"/>
  <c r="T451" s="1"/>
  <c r="U451" a="1"/>
  <c r="U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38" l="1"/>
  <c r="S438" a="1"/>
  <c r="S438" s="1"/>
  <c r="R446"/>
  <c r="S446" a="1"/>
  <c r="S446" s="1"/>
  <c r="R439"/>
  <c r="S439" a="1"/>
  <c r="S439" s="1"/>
  <c r="R442"/>
  <c r="S442" a="1"/>
  <c r="S442" s="1"/>
  <c r="R450"/>
  <c r="R452" s="1"/>
  <c r="S423" s="1"/>
  <c r="S450" a="1"/>
  <c r="S450" s="1"/>
  <c r="K208"/>
  <c r="G211" s="1"/>
  <c r="M211" l="1"/>
  <c r="M208" a="1"/>
  <c r="M208" s="1"/>
  <c r="G417" l="1"/>
  <c r="K417" s="1"/>
  <c r="M420" l="1"/>
  <c r="C428"/>
  <c r="G420"/>
  <c r="M417" a="1"/>
  <c r="M417" s="1"/>
  <c r="K430" l="1"/>
  <c r="K429"/>
  <c r="G428"/>
  <c r="G208" i="521"/>
  <c r="K208" s="1"/>
  <c r="M208" l="1" a="1"/>
  <c r="M208" s="1"/>
  <c r="G211"/>
  <c r="M211"/>
  <c r="G208" i="486"/>
  <c r="G417" i="521" l="1"/>
  <c r="K417" s="1"/>
  <c r="M420" l="1"/>
  <c r="M417" a="1"/>
  <c r="M417" s="1"/>
  <c r="C428"/>
  <c r="G420"/>
  <c r="G417" i="486"/>
  <c r="K430" i="521" l="1"/>
  <c r="K429"/>
  <c r="G428"/>
  <c r="C452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J445" s="1"/>
  <c r="Q445" s="1"/>
  <c r="C451"/>
  <c r="J451" s="1"/>
  <c r="Q451" s="1"/>
  <c r="C439"/>
  <c r="T439" s="1" a="1"/>
  <c r="T439" s="1"/>
  <c r="C447"/>
  <c r="T447" s="1" a="1"/>
  <c r="T447" s="1"/>
  <c r="C449"/>
  <c r="J449" s="1"/>
  <c r="Q449" s="1"/>
  <c r="C441"/>
  <c r="T441" s="1" a="1"/>
  <c r="T441" s="1"/>
  <c r="J441"/>
  <c r="Q441" s="1"/>
  <c r="C443"/>
  <c r="U443" s="1" a="1"/>
  <c r="U443" s="1"/>
  <c r="J443"/>
  <c r="Q443" s="1"/>
  <c r="S443" l="1" a="1"/>
  <c r="S443" s="1"/>
  <c r="R443"/>
  <c r="R449"/>
  <c r="S449" a="1"/>
  <c r="S449" s="1"/>
  <c r="R445"/>
  <c r="S445" a="1"/>
  <c r="S445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50"/>
  <c r="Q450" s="1"/>
  <c r="J446"/>
  <c r="Q446" s="1"/>
  <c r="J442"/>
  <c r="Q442" s="1"/>
  <c r="J438"/>
  <c r="Q438" s="1"/>
  <c r="T449" a="1"/>
  <c r="T449" s="1"/>
  <c r="U451" a="1"/>
  <c r="U451" s="1"/>
  <c r="T451" a="1"/>
  <c r="T451" s="1"/>
  <c r="T445" a="1"/>
  <c r="T445" s="1"/>
  <c r="U445" a="1"/>
  <c r="U445" s="1"/>
  <c r="T443" a="1"/>
  <c r="T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S442" l="1" a="1"/>
  <c r="S442" s="1"/>
  <c r="R442"/>
  <c r="S450" a="1"/>
  <c r="S450" s="1"/>
  <c r="R450"/>
  <c r="R447"/>
  <c r="S447" a="1"/>
  <c r="S447" s="1"/>
  <c r="S438" a="1"/>
  <c r="S438" s="1"/>
  <c r="R438"/>
  <c r="S446" a="1"/>
  <c r="S446" s="1"/>
  <c r="R446"/>
  <c r="R439"/>
  <c r="S439" a="1"/>
  <c r="S439" s="1"/>
  <c r="R452"/>
  <c r="S423" s="1"/>
  <c r="K208" i="523"/>
  <c r="G211" s="1"/>
  <c r="M211" l="1"/>
  <c r="C428"/>
  <c r="M208" a="1"/>
  <c r="M208" s="1"/>
  <c r="K430" l="1"/>
  <c r="G428"/>
  <c r="K429"/>
  <c r="C452"/>
  <c r="T452" s="1" a="1"/>
  <c r="T452" s="1"/>
  <c r="C438"/>
  <c r="J438" s="1"/>
  <c r="Q438" s="1"/>
  <c r="C440"/>
  <c r="T440" s="1" a="1"/>
  <c r="T440" s="1"/>
  <c r="C442"/>
  <c r="T442" s="1" a="1"/>
  <c r="T442" s="1"/>
  <c r="C444"/>
  <c r="U444" s="1" a="1"/>
  <c r="U444" s="1"/>
  <c r="C446"/>
  <c r="J446" s="1"/>
  <c r="Q446" s="1"/>
  <c r="C448"/>
  <c r="J448" s="1"/>
  <c r="Q448" s="1"/>
  <c r="U450" a="1"/>
  <c r="U450" s="1"/>
  <c r="C450"/>
  <c r="J450" s="1"/>
  <c r="Q450" s="1"/>
  <c r="T450" a="1"/>
  <c r="T450" s="1"/>
  <c r="C437"/>
  <c r="U437" s="1" a="1"/>
  <c r="U437" s="1"/>
  <c r="U445" a="1"/>
  <c r="U445" s="1"/>
  <c r="C445"/>
  <c r="T445" s="1" a="1"/>
  <c r="T445" s="1"/>
  <c r="J445"/>
  <c r="Q445" s="1"/>
  <c r="C451"/>
  <c r="U451" s="1" a="1"/>
  <c r="U451" s="1"/>
  <c r="C439"/>
  <c r="J439" s="1"/>
  <c r="Q439" s="1"/>
  <c r="C441"/>
  <c r="J441" s="1"/>
  <c r="Q441" s="1"/>
  <c r="C447"/>
  <c r="J447" s="1"/>
  <c r="Q447" s="1"/>
  <c r="C449"/>
  <c r="J449" s="1"/>
  <c r="Q449" s="1"/>
  <c r="C443"/>
  <c r="T443" s="1" a="1"/>
  <c r="T443" s="1"/>
  <c r="T441" l="1" a="1"/>
  <c r="T441" s="1"/>
  <c r="T446" a="1"/>
  <c r="T446" s="1"/>
  <c r="J442"/>
  <c r="Q442" s="1"/>
  <c r="J440"/>
  <c r="Q440" s="1"/>
  <c r="T438" a="1"/>
  <c r="T438" s="1"/>
  <c r="U438" a="1"/>
  <c r="U438" s="1"/>
  <c r="R449"/>
  <c r="S449" a="1"/>
  <c r="S449" s="1"/>
  <c r="S441" a="1"/>
  <c r="S441" s="1"/>
  <c r="R441"/>
  <c r="S439" a="1"/>
  <c r="S439" s="1"/>
  <c r="R439"/>
  <c r="R445"/>
  <c r="S445" a="1"/>
  <c r="S445" s="1"/>
  <c r="R446"/>
  <c r="S446" a="1"/>
  <c r="S446" s="1"/>
  <c r="R438"/>
  <c r="S438" a="1"/>
  <c r="S438" s="1"/>
  <c r="R447"/>
  <c r="S447" a="1"/>
  <c r="S447" s="1"/>
  <c r="R450"/>
  <c r="S450" a="1"/>
  <c r="S450" s="1"/>
  <c r="R448"/>
  <c r="S448" a="1"/>
  <c r="S448" s="1"/>
  <c r="R442"/>
  <c r="S442" a="1"/>
  <c r="S442" s="1"/>
  <c r="R440"/>
  <c r="S440" a="1"/>
  <c r="S440" s="1"/>
  <c r="J444"/>
  <c r="Q444" s="1"/>
  <c r="J452"/>
  <c r="Q452" s="1"/>
  <c r="S452" s="1" a="1"/>
  <c r="S452" s="1"/>
  <c r="U443" a="1"/>
  <c r="U443" s="1"/>
  <c r="T449" a="1"/>
  <c r="T449" s="1"/>
  <c r="T447" a="1"/>
  <c r="T447" s="1"/>
  <c r="T439" a="1"/>
  <c r="T439" s="1"/>
  <c r="T451" a="1"/>
  <c r="T451" s="1"/>
  <c r="T437" a="1"/>
  <c r="T437" s="1"/>
  <c r="T448" a="1"/>
  <c r="T448" s="1"/>
  <c r="J443"/>
  <c r="Q443" s="1"/>
  <c r="J451"/>
  <c r="Q451" s="1"/>
  <c r="J437"/>
  <c r="Q437" s="1"/>
  <c r="T444" a="1"/>
  <c r="T444" s="1"/>
  <c r="U452" a="1"/>
  <c r="U452" s="1"/>
  <c r="S437" l="1" a="1"/>
  <c r="S437" s="1"/>
  <c r="R437"/>
  <c r="S443" a="1"/>
  <c r="S443" s="1"/>
  <c r="R443"/>
  <c r="R451"/>
  <c r="S451" a="1"/>
  <c r="S451" s="1"/>
  <c r="R444"/>
  <c r="S444" a="1"/>
  <c r="S444" s="1"/>
  <c r="R452" l="1"/>
  <c r="S423" s="1"/>
  <c r="C437" i="524"/>
  <c r="U437" s="1" a="1"/>
  <c r="U437" s="1"/>
  <c r="C439"/>
  <c r="T439" s="1" a="1"/>
  <c r="T439" s="1"/>
  <c r="C441"/>
  <c r="T441" s="1" a="1"/>
  <c r="T441" s="1"/>
  <c r="C445"/>
  <c r="U445" s="1" a="1"/>
  <c r="U445" s="1"/>
  <c r="C447"/>
  <c r="T447" s="1" a="1"/>
  <c r="T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52"/>
  <c r="U452" s="1" a="1"/>
  <c r="U452" s="1"/>
  <c r="C440"/>
  <c r="J440" s="1"/>
  <c r="Q440" s="1"/>
  <c r="C442"/>
  <c r="T442" s="1" a="1"/>
  <c r="T442" s="1"/>
  <c r="C448"/>
  <c r="T448" s="1" a="1"/>
  <c r="T448" s="1"/>
  <c r="C443"/>
  <c r="U443" s="1" a="1"/>
  <c r="U443" s="1"/>
  <c r="C446"/>
  <c r="T446" s="1" a="1"/>
  <c r="T446" s="1"/>
  <c r="T440" l="1" a="1"/>
  <c r="T440" s="1"/>
  <c r="U450" a="1"/>
  <c r="U450" s="1"/>
  <c r="U438" a="1"/>
  <c r="U438" s="1"/>
  <c r="J446"/>
  <c r="Q446" s="1"/>
  <c r="T450" a="1"/>
  <c r="T450" s="1"/>
  <c r="T438" a="1"/>
  <c r="T438" s="1"/>
  <c r="T449" a="1"/>
  <c r="T449" s="1"/>
  <c r="S440" a="1"/>
  <c r="S440" s="1"/>
  <c r="R440"/>
  <c r="S450" a="1"/>
  <c r="S450" s="1"/>
  <c r="R450"/>
  <c r="S438" a="1"/>
  <c r="S438" s="1"/>
  <c r="R438"/>
  <c r="R449"/>
  <c r="S449" a="1"/>
  <c r="S449" s="1"/>
  <c r="S446" a="1"/>
  <c r="S446" s="1"/>
  <c r="R446"/>
  <c r="J448"/>
  <c r="Q448" s="1"/>
  <c r="J442"/>
  <c r="Q442" s="1"/>
  <c r="J452"/>
  <c r="Q452" s="1"/>
  <c r="S452" s="1" a="1"/>
  <c r="S452" s="1"/>
  <c r="J444"/>
  <c r="Q444" s="1"/>
  <c r="J451"/>
  <c r="Q451" s="1"/>
  <c r="J437"/>
  <c r="Q437" s="1"/>
  <c r="T452" a="1"/>
  <c r="T452" s="1"/>
  <c r="T451" a="1"/>
  <c r="T451" s="1"/>
  <c r="J443"/>
  <c r="Q443" s="1"/>
  <c r="J445"/>
  <c r="Q445" s="1"/>
  <c r="J439"/>
  <c r="Q439" s="1"/>
  <c r="J447"/>
  <c r="Q447" s="1"/>
  <c r="J441"/>
  <c r="Q441" s="1"/>
  <c r="T444" a="1"/>
  <c r="T444" s="1"/>
  <c r="T445" a="1"/>
  <c r="T445" s="1"/>
  <c r="T443" a="1"/>
  <c r="T443" s="1"/>
  <c r="T437" a="1"/>
  <c r="T437" s="1"/>
  <c r="S441" l="1" a="1"/>
  <c r="S441" s="1"/>
  <c r="R441"/>
  <c r="R439"/>
  <c r="S439" a="1"/>
  <c r="S439" s="1"/>
  <c r="S443" a="1"/>
  <c r="S443" s="1"/>
  <c r="R443"/>
  <c r="R451"/>
  <c r="S451" a="1"/>
  <c r="S451" s="1"/>
  <c r="S448" a="1"/>
  <c r="S448" s="1"/>
  <c r="R448"/>
  <c r="S447" a="1"/>
  <c r="S447" s="1"/>
  <c r="R447"/>
  <c r="R445"/>
  <c r="S445" a="1"/>
  <c r="S445" s="1"/>
  <c r="S437" a="1"/>
  <c r="S437" s="1"/>
  <c r="R437"/>
  <c r="S444" a="1"/>
  <c r="S444" s="1"/>
  <c r="R444"/>
  <c r="S442" a="1"/>
  <c r="S442" s="1"/>
  <c r="R442"/>
  <c r="R452" l="1"/>
  <c r="S423" s="1"/>
  <c r="T448" i="525" a="1"/>
  <c r="T448" s="1"/>
  <c r="C437"/>
  <c r="U437" s="1" a="1"/>
  <c r="U437" s="1"/>
  <c r="C439"/>
  <c r="T439" s="1" a="1"/>
  <c r="T439" s="1"/>
  <c r="C441"/>
  <c r="T441" s="1" a="1"/>
  <c r="T441" s="1"/>
  <c r="C445"/>
  <c r="J445" s="1"/>
  <c r="Q445" s="1"/>
  <c r="C447"/>
  <c r="J447" s="1"/>
  <c r="Q447" s="1"/>
  <c r="C449"/>
  <c r="J449" s="1"/>
  <c r="Q449" s="1"/>
  <c r="C451"/>
  <c r="U451" s="1" a="1"/>
  <c r="U451" s="1"/>
  <c r="C438"/>
  <c r="J438" s="1"/>
  <c r="Q438" s="1"/>
  <c r="C444"/>
  <c r="U444" s="1" a="1"/>
  <c r="U444" s="1"/>
  <c r="C450"/>
  <c r="J450" s="1"/>
  <c r="Q450" s="1"/>
  <c r="C440"/>
  <c r="T440" s="1" a="1"/>
  <c r="T440" s="1"/>
  <c r="C442"/>
  <c r="J442" s="1"/>
  <c r="Q442" s="1"/>
  <c r="C448"/>
  <c r="J448" s="1"/>
  <c r="Q448" s="1"/>
  <c r="C443"/>
  <c r="U443" s="1" a="1"/>
  <c r="U443" s="1"/>
  <c r="C452"/>
  <c r="U452" s="1" a="1"/>
  <c r="U452" s="1"/>
  <c r="C446"/>
  <c r="T446" s="1" a="1"/>
  <c r="T446" s="1"/>
  <c r="J446"/>
  <c r="Q446" s="1"/>
  <c r="T450" l="1" a="1"/>
  <c r="T450" s="1"/>
  <c r="T438" a="1"/>
  <c r="T438" s="1"/>
  <c r="T449" a="1"/>
  <c r="T449" s="1"/>
  <c r="U445" a="1"/>
  <c r="U445" s="1"/>
  <c r="J443"/>
  <c r="Q443" s="1"/>
  <c r="R443" s="1"/>
  <c r="T442" a="1"/>
  <c r="T442" s="1"/>
  <c r="U450" a="1"/>
  <c r="U450" s="1"/>
  <c r="U438" a="1"/>
  <c r="U438" s="1"/>
  <c r="T445" a="1"/>
  <c r="T445" s="1"/>
  <c r="S447" a="1"/>
  <c r="S447" s="1"/>
  <c r="R447"/>
  <c r="S448" a="1"/>
  <c r="S448" s="1"/>
  <c r="R448"/>
  <c r="S446" a="1"/>
  <c r="S446" s="1"/>
  <c r="R446"/>
  <c r="S442" a="1"/>
  <c r="S442" s="1"/>
  <c r="R442"/>
  <c r="S450" a="1"/>
  <c r="S450" s="1"/>
  <c r="R450"/>
  <c r="S438" a="1"/>
  <c r="S438" s="1"/>
  <c r="R438"/>
  <c r="R449"/>
  <c r="S449" a="1"/>
  <c r="S449" s="1"/>
  <c r="R445"/>
  <c r="S445" a="1"/>
  <c r="S445" s="1"/>
  <c r="J452"/>
  <c r="Q452" s="1"/>
  <c r="S452" s="1" a="1"/>
  <c r="S452" s="1"/>
  <c r="J440"/>
  <c r="Q440" s="1"/>
  <c r="J444"/>
  <c r="Q444" s="1"/>
  <c r="T447" a="1"/>
  <c r="T447" s="1"/>
  <c r="J439"/>
  <c r="Q439" s="1"/>
  <c r="J451"/>
  <c r="Q451" s="1"/>
  <c r="J441"/>
  <c r="Q441" s="1"/>
  <c r="J437"/>
  <c r="Q437" s="1"/>
  <c r="T444" a="1"/>
  <c r="T444" s="1"/>
  <c r="T451" a="1"/>
  <c r="T451" s="1"/>
  <c r="T443" a="1"/>
  <c r="T443" s="1"/>
  <c r="T437" a="1"/>
  <c r="T437" s="1"/>
  <c r="T452" a="1"/>
  <c r="T452" s="1"/>
  <c r="S443" l="1" a="1"/>
  <c r="S443" s="1"/>
  <c r="S441" a="1"/>
  <c r="S441" s="1"/>
  <c r="R441"/>
  <c r="R439"/>
  <c r="S439" a="1"/>
  <c r="S439" s="1"/>
  <c r="S444" a="1"/>
  <c r="S444" s="1"/>
  <c r="R444"/>
  <c r="S437" a="1"/>
  <c r="S437" s="1"/>
  <c r="R437"/>
  <c r="S451" a="1"/>
  <c r="S451" s="1"/>
  <c r="R451"/>
  <c r="R452" s="1"/>
  <c r="S423" s="1"/>
  <c r="S440" a="1"/>
  <c r="S440" s="1"/>
  <c r="R440"/>
  <c r="K417" i="524"/>
  <c r="G420" s="1"/>
  <c r="M417" l="1" a="1"/>
  <c r="M417" s="1"/>
  <c r="M420"/>
  <c r="C428"/>
  <c r="K430" l="1"/>
  <c r="K429"/>
  <c r="G428"/>
  <c r="K208" i="525"/>
  <c r="M211" s="1"/>
  <c r="M208" l="1" a="1"/>
  <c r="M208" s="1"/>
  <c r="G211"/>
  <c r="K417"/>
  <c r="M420" s="1"/>
  <c r="G420" l="1"/>
  <c r="C428"/>
  <c r="M417" a="1"/>
  <c r="M417" s="1"/>
  <c r="K429" l="1"/>
  <c r="K430"/>
  <c r="G428"/>
  <c r="C452" i="527" l="1"/>
  <c r="T452" s="1" a="1"/>
  <c r="T452" s="1"/>
  <c r="C438"/>
  <c r="U438" s="1" a="1"/>
  <c r="U438" s="1"/>
  <c r="C440"/>
  <c r="J440" s="1"/>
  <c r="Q440" s="1"/>
  <c r="C442"/>
  <c r="T442" s="1" a="1"/>
  <c r="T442" s="1"/>
  <c r="C444"/>
  <c r="J444" s="1"/>
  <c r="Q444" s="1"/>
  <c r="C446"/>
  <c r="T446" s="1" a="1"/>
  <c r="T446" s="1"/>
  <c r="C448"/>
  <c r="J448" s="1"/>
  <c r="Q448" s="1"/>
  <c r="C450"/>
  <c r="U450" s="1" a="1"/>
  <c r="U450" s="1"/>
  <c r="C437"/>
  <c r="J437" s="1"/>
  <c r="Q437" s="1"/>
  <c r="C445"/>
  <c r="U445" s="1" a="1"/>
  <c r="U445" s="1"/>
  <c r="C451"/>
  <c r="J451" s="1"/>
  <c r="Q451" s="1"/>
  <c r="C439"/>
  <c r="T439" s="1" a="1"/>
  <c r="T439" s="1"/>
  <c r="C447"/>
  <c r="T447" s="1" a="1"/>
  <c r="T447" s="1"/>
  <c r="C441"/>
  <c r="T441" s="1" a="1"/>
  <c r="T441" s="1"/>
  <c r="C449"/>
  <c r="T449" s="1" a="1"/>
  <c r="T449" s="1"/>
  <c r="C443"/>
  <c r="T443" s="1" a="1"/>
  <c r="T443" s="1"/>
  <c r="J443" l="1"/>
  <c r="Q443" s="1"/>
  <c r="S443" s="1" a="1"/>
  <c r="S443" s="1"/>
  <c r="J449"/>
  <c r="Q449" s="1"/>
  <c r="J441"/>
  <c r="Q441" s="1"/>
  <c r="R449"/>
  <c r="S449" a="1"/>
  <c r="S449" s="1"/>
  <c r="R441"/>
  <c r="S441" a="1"/>
  <c r="S441" s="1"/>
  <c r="R451"/>
  <c r="S451" a="1"/>
  <c r="S451" s="1"/>
  <c r="R437"/>
  <c r="S437" a="1"/>
  <c r="S437" s="1"/>
  <c r="S448" a="1"/>
  <c r="S448" s="1"/>
  <c r="R448"/>
  <c r="S444" a="1"/>
  <c r="S444" s="1"/>
  <c r="R444"/>
  <c r="S440" a="1"/>
  <c r="S440" s="1"/>
  <c r="R440"/>
  <c r="J447"/>
  <c r="Q447" s="1"/>
  <c r="J439"/>
  <c r="Q439" s="1"/>
  <c r="J445"/>
  <c r="Q445" s="1"/>
  <c r="J450"/>
  <c r="Q450" s="1"/>
  <c r="J446"/>
  <c r="Q446" s="1"/>
  <c r="J442"/>
  <c r="Q442" s="1"/>
  <c r="J438"/>
  <c r="Q438" s="1"/>
  <c r="T451" a="1"/>
  <c r="T451" s="1"/>
  <c r="U451" a="1"/>
  <c r="U451" s="1"/>
  <c r="T445" a="1"/>
  <c r="T445" s="1"/>
  <c r="U443" a="1"/>
  <c r="U443" s="1"/>
  <c r="T437" a="1"/>
  <c r="T437" s="1"/>
  <c r="U437" a="1"/>
  <c r="U437" s="1"/>
  <c r="T450" a="1"/>
  <c r="T450" s="1"/>
  <c r="T448" a="1"/>
  <c r="T448" s="1"/>
  <c r="T444" a="1"/>
  <c r="T444" s="1"/>
  <c r="U444" a="1"/>
  <c r="U444" s="1"/>
  <c r="T440" a="1"/>
  <c r="T440" s="1"/>
  <c r="T438" a="1"/>
  <c r="T438" s="1"/>
  <c r="J452"/>
  <c r="Q452" s="1"/>
  <c r="S452" s="1" a="1"/>
  <c r="S452" s="1"/>
  <c r="U452" a="1"/>
  <c r="U452" s="1"/>
  <c r="R443" l="1"/>
  <c r="S438" a="1"/>
  <c r="S438" s="1"/>
  <c r="R438"/>
  <c r="S446" a="1"/>
  <c r="S446" s="1"/>
  <c r="R446"/>
  <c r="R445"/>
  <c r="S445" a="1"/>
  <c r="S445" s="1"/>
  <c r="R447"/>
  <c r="S447" a="1"/>
  <c r="S447" s="1"/>
  <c r="S442" a="1"/>
  <c r="S442" s="1"/>
  <c r="R442"/>
  <c r="S450" a="1"/>
  <c r="S450" s="1"/>
  <c r="R450"/>
  <c r="R439"/>
  <c r="S439" a="1"/>
  <c r="S439" s="1"/>
  <c r="R452" l="1"/>
  <c r="S423" s="1"/>
  <c r="K208" l="1"/>
  <c r="G211" s="1"/>
  <c r="M211" l="1"/>
  <c r="M208" a="1"/>
  <c r="M208" s="1"/>
  <c r="K417"/>
  <c r="M420" s="1"/>
  <c r="G420" l="1"/>
  <c r="C428"/>
  <c r="M417" a="1"/>
  <c r="M417" s="1"/>
  <c r="K429" l="1"/>
  <c r="K430"/>
  <c r="G428"/>
  <c r="C450" i="526"/>
  <c r="J450" s="1"/>
  <c r="Q450" s="1"/>
  <c r="C438"/>
  <c r="J438" s="1"/>
  <c r="Q438" s="1"/>
  <c r="C440"/>
  <c r="T440" s="1" a="1"/>
  <c r="T440" s="1"/>
  <c r="C442"/>
  <c r="J442" s="1"/>
  <c r="Q442" s="1"/>
  <c r="C444"/>
  <c r="U444" s="1" a="1"/>
  <c r="U444" s="1"/>
  <c r="C446"/>
  <c r="J446" s="1"/>
  <c r="Q446" s="1"/>
  <c r="C448"/>
  <c r="T448" s="1" a="1"/>
  <c r="T448" s="1"/>
  <c r="C437"/>
  <c r="J437" s="1"/>
  <c r="Q437" s="1"/>
  <c r="C445"/>
  <c r="T445" s="1" a="1"/>
  <c r="T445" s="1"/>
  <c r="C451"/>
  <c r="J451" s="1"/>
  <c r="Q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T443" s="1" a="1"/>
  <c r="T443" s="1"/>
  <c r="C452"/>
  <c r="J452" s="1"/>
  <c r="Q452" s="1"/>
  <c r="S452" s="1" a="1"/>
  <c r="S452" s="1"/>
  <c r="U451" l="1" a="1"/>
  <c r="U451" s="1"/>
  <c r="U443" a="1"/>
  <c r="U443" s="1"/>
  <c r="U437" a="1"/>
  <c r="U437" s="1"/>
  <c r="U450" a="1"/>
  <c r="U450" s="1"/>
  <c r="J443"/>
  <c r="Q443" s="1"/>
  <c r="R443" s="1"/>
  <c r="T451" a="1"/>
  <c r="T451" s="1"/>
  <c r="T437" a="1"/>
  <c r="T437" s="1"/>
  <c r="T450" a="1"/>
  <c r="T450" s="1"/>
  <c r="R450"/>
  <c r="S450" a="1"/>
  <c r="S450" s="1"/>
  <c r="S443" a="1"/>
  <c r="S443" s="1"/>
  <c r="S451" a="1"/>
  <c r="S451" s="1"/>
  <c r="R451"/>
  <c r="S437" a="1"/>
  <c r="S437" s="1"/>
  <c r="R437"/>
  <c r="R446"/>
  <c r="S446" a="1"/>
  <c r="S446" s="1"/>
  <c r="R442"/>
  <c r="S442" a="1"/>
  <c r="S442" s="1"/>
  <c r="R438"/>
  <c r="S438" a="1"/>
  <c r="S438" s="1"/>
  <c r="J439"/>
  <c r="Q439" s="1"/>
  <c r="J445"/>
  <c r="Q445" s="1"/>
  <c r="J448"/>
  <c r="Q448" s="1"/>
  <c r="J444"/>
  <c r="Q444" s="1"/>
  <c r="J440"/>
  <c r="Q440" s="1"/>
  <c r="U445" a="1"/>
  <c r="U445" s="1"/>
  <c r="T446" a="1"/>
  <c r="T446" s="1"/>
  <c r="T444" a="1"/>
  <c r="T444" s="1"/>
  <c r="T442" a="1"/>
  <c r="T442" s="1"/>
  <c r="T438" a="1"/>
  <c r="T438" s="1"/>
  <c r="U438" a="1"/>
  <c r="U438" s="1"/>
  <c r="U452" a="1"/>
  <c r="U452" s="1"/>
  <c r="T452" a="1"/>
  <c r="T452" s="1"/>
  <c r="J447"/>
  <c r="Q447" s="1"/>
  <c r="J449"/>
  <c r="Q449" s="1"/>
  <c r="J441"/>
  <c r="Q441" s="1"/>
  <c r="R440" l="1"/>
  <c r="S440" a="1"/>
  <c r="S440" s="1"/>
  <c r="R448"/>
  <c r="S448" a="1"/>
  <c r="S448" s="1"/>
  <c r="S439" a="1"/>
  <c r="S439" s="1"/>
  <c r="R439"/>
  <c r="S449" a="1"/>
  <c r="S449" s="1"/>
  <c r="R449"/>
  <c r="S441" a="1"/>
  <c r="S441" s="1"/>
  <c r="R441"/>
  <c r="S447" a="1"/>
  <c r="S447" s="1"/>
  <c r="R447"/>
  <c r="R444"/>
  <c r="S444" a="1"/>
  <c r="S444" s="1"/>
  <c r="S445" a="1"/>
  <c r="S445" s="1"/>
  <c r="R445"/>
  <c r="R452"/>
  <c r="S423" s="1"/>
  <c r="K417"/>
  <c r="G420" s="1"/>
  <c r="C428" l="1"/>
  <c r="M420"/>
  <c r="M417" a="1"/>
  <c r="M417" s="1"/>
  <c r="G428" l="1"/>
  <c r="K430"/>
  <c r="K429"/>
  <c r="C437" i="517" l="1"/>
  <c r="J437" s="1"/>
  <c r="Q437" s="1"/>
  <c r="C439"/>
  <c r="J439" s="1"/>
  <c r="Q439" s="1"/>
  <c r="C441"/>
  <c r="J441" s="1"/>
  <c r="Q441" s="1"/>
  <c r="C445"/>
  <c r="J445" s="1"/>
  <c r="Q445" s="1"/>
  <c r="C447"/>
  <c r="J447" s="1"/>
  <c r="Q447" s="1"/>
  <c r="C449"/>
  <c r="J449" s="1"/>
  <c r="Q449" s="1"/>
  <c r="C451"/>
  <c r="J451" s="1"/>
  <c r="Q451" s="1"/>
  <c r="C438"/>
  <c r="J438" s="1"/>
  <c r="Q438" s="1"/>
  <c r="C444"/>
  <c r="T444" s="1" a="1"/>
  <c r="T444" s="1"/>
  <c r="C450"/>
  <c r="J450" s="1"/>
  <c r="Q450" s="1"/>
  <c r="C440"/>
  <c r="J440" s="1"/>
  <c r="Q440" s="1"/>
  <c r="C442"/>
  <c r="J442" s="1"/>
  <c r="Q442" s="1"/>
  <c r="C446"/>
  <c r="J446" s="1"/>
  <c r="Q446" s="1"/>
  <c r="C448"/>
  <c r="J448" s="1"/>
  <c r="Q448" s="1"/>
  <c r="C452"/>
  <c r="J452" s="1"/>
  <c r="Q452" s="1"/>
  <c r="S452" s="1" a="1"/>
  <c r="S452" s="1"/>
  <c r="C443"/>
  <c r="J443" s="1"/>
  <c r="Q443" s="1"/>
  <c r="T448" l="1" a="1"/>
  <c r="T448" s="1"/>
  <c r="T450" a="1"/>
  <c r="T450" s="1"/>
  <c r="T438" a="1"/>
  <c r="T438" s="1"/>
  <c r="T449" a="1"/>
  <c r="T449" s="1"/>
  <c r="U445" a="1"/>
  <c r="U445" s="1"/>
  <c r="T442" a="1"/>
  <c r="T442" s="1"/>
  <c r="U450" a="1"/>
  <c r="U450" s="1"/>
  <c r="U438" a="1"/>
  <c r="U438" s="1"/>
  <c r="T445" a="1"/>
  <c r="T445" s="1"/>
  <c r="R446"/>
  <c r="S446" a="1"/>
  <c r="S446" s="1"/>
  <c r="R440"/>
  <c r="S440" a="1"/>
  <c r="S440" s="1"/>
  <c r="S443" a="1"/>
  <c r="S443" s="1"/>
  <c r="R443"/>
  <c r="R448"/>
  <c r="S448" a="1"/>
  <c r="S448" s="1"/>
  <c r="R442"/>
  <c r="S442" a="1"/>
  <c r="S442" s="1"/>
  <c r="R450"/>
  <c r="S450" a="1"/>
  <c r="S450" s="1"/>
  <c r="R438"/>
  <c r="S438" a="1"/>
  <c r="S438" s="1"/>
  <c r="S449" a="1"/>
  <c r="S449" s="1"/>
  <c r="R449"/>
  <c r="S445" a="1"/>
  <c r="S445" s="1"/>
  <c r="R445"/>
  <c r="S439" a="1"/>
  <c r="S439" s="1"/>
  <c r="R439"/>
  <c r="S451" a="1"/>
  <c r="S451" s="1"/>
  <c r="R451"/>
  <c r="S447" a="1"/>
  <c r="S447" s="1"/>
  <c r="R447"/>
  <c r="S441" a="1"/>
  <c r="S441" s="1"/>
  <c r="R441"/>
  <c r="S437" a="1"/>
  <c r="S437" s="1"/>
  <c r="R437"/>
  <c r="J444"/>
  <c r="Q444" s="1"/>
  <c r="T446" a="1"/>
  <c r="T446" s="1"/>
  <c r="T440" a="1"/>
  <c r="T440" s="1"/>
  <c r="U444" a="1"/>
  <c r="U444" s="1"/>
  <c r="T451" a="1"/>
  <c r="T451" s="1"/>
  <c r="U451" a="1"/>
  <c r="U451" s="1"/>
  <c r="T447" a="1"/>
  <c r="T447" s="1"/>
  <c r="T443" a="1"/>
  <c r="T443" s="1"/>
  <c r="U443" a="1"/>
  <c r="U443" s="1"/>
  <c r="T441" a="1"/>
  <c r="T441" s="1"/>
  <c r="T439" a="1"/>
  <c r="T439" s="1"/>
  <c r="T437" a="1"/>
  <c r="T437" s="1"/>
  <c r="U437" a="1"/>
  <c r="U437" s="1"/>
  <c r="T452" a="1"/>
  <c r="T452" s="1"/>
  <c r="U452" a="1"/>
  <c r="U452" s="1"/>
  <c r="R444" l="1"/>
  <c r="S444" a="1"/>
  <c r="S444" s="1"/>
  <c r="R452"/>
  <c r="S423" s="1"/>
  <c r="K208"/>
  <c r="G211" s="1"/>
  <c r="M211" l="1"/>
  <c r="M208" a="1"/>
  <c r="M208" s="1"/>
  <c r="K417"/>
  <c r="G420" s="1"/>
  <c r="M420" l="1"/>
  <c r="C428"/>
  <c r="M417" a="1"/>
  <c r="M417" s="1"/>
  <c r="G428" l="1"/>
  <c r="K430"/>
  <c r="K429"/>
  <c r="C452" i="519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U437" s="1" a="1"/>
  <c r="U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47"/>
  <c r="Q447" s="1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38"/>
  <c r="Q438" s="1"/>
  <c r="T451" a="1"/>
  <c r="T451" s="1"/>
  <c r="T445" a="1"/>
  <c r="T445" s="1"/>
  <c r="T443" a="1"/>
  <c r="T443" s="1"/>
  <c r="T437" a="1"/>
  <c r="T437" s="1"/>
  <c r="T450" a="1"/>
  <c r="T450" s="1"/>
  <c r="T444" a="1"/>
  <c r="T444" s="1"/>
  <c r="T438" a="1"/>
  <c r="T438" s="1"/>
  <c r="S440" l="1" a="1"/>
  <c r="S440" s="1"/>
  <c r="R440"/>
  <c r="S448" a="1"/>
  <c r="S448" s="1"/>
  <c r="R448"/>
  <c r="S451" a="1"/>
  <c r="S451" s="1"/>
  <c r="R451"/>
  <c r="S449" a="1"/>
  <c r="S449" s="1"/>
  <c r="R449"/>
  <c r="R446"/>
  <c r="S446" a="1"/>
  <c r="S446" s="1"/>
  <c r="S445" a="1"/>
  <c r="S445" s="1"/>
  <c r="R445"/>
  <c r="S447" a="1"/>
  <c r="S447" s="1"/>
  <c r="R447"/>
  <c r="R438"/>
  <c r="S438" a="1"/>
  <c r="S438" s="1"/>
  <c r="S444" a="1"/>
  <c r="S444" s="1"/>
  <c r="R444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52"/>
  <c r="S423" s="1"/>
  <c r="K208"/>
  <c r="G211" s="1"/>
  <c r="M211" l="1"/>
  <c r="M208" a="1"/>
  <c r="M208" s="1"/>
  <c r="K417"/>
  <c r="M420" s="1"/>
  <c r="G420" l="1"/>
  <c r="C428"/>
  <c r="M417" a="1"/>
  <c r="M417" s="1"/>
  <c r="K430" l="1"/>
  <c r="K429"/>
  <c r="G428"/>
  <c r="C452" i="518" l="1"/>
  <c r="J452" s="1"/>
  <c r="Q452" s="1"/>
  <c r="S452" s="1" a="1"/>
  <c r="S452" s="1"/>
  <c r="C438"/>
  <c r="J438" s="1"/>
  <c r="Q438" s="1"/>
  <c r="C440"/>
  <c r="J440" s="1"/>
  <c r="Q440" s="1"/>
  <c r="C442"/>
  <c r="J442" s="1"/>
  <c r="Q442" s="1"/>
  <c r="C444"/>
  <c r="J444" s="1"/>
  <c r="Q444" s="1"/>
  <c r="C446"/>
  <c r="J446" s="1"/>
  <c r="Q446" s="1"/>
  <c r="C448"/>
  <c r="T448" s="1" a="1"/>
  <c r="T448" s="1"/>
  <c r="C450"/>
  <c r="J450" s="1"/>
  <c r="Q450" s="1"/>
  <c r="C437"/>
  <c r="U437" s="1" a="1"/>
  <c r="U437" s="1"/>
  <c r="C445"/>
  <c r="J445" s="1"/>
  <c r="Q445" s="1"/>
  <c r="C451"/>
  <c r="U451" s="1" a="1"/>
  <c r="U451" s="1"/>
  <c r="C439"/>
  <c r="J439" s="1"/>
  <c r="Q439" s="1"/>
  <c r="C441"/>
  <c r="T441" s="1" a="1"/>
  <c r="T441" s="1"/>
  <c r="C447"/>
  <c r="J447" s="1"/>
  <c r="Q447" s="1"/>
  <c r="C449"/>
  <c r="T449" s="1" a="1"/>
  <c r="T449" s="1"/>
  <c r="C443"/>
  <c r="J443" s="1"/>
  <c r="Q443" s="1"/>
  <c r="T439" l="1" a="1"/>
  <c r="T439" s="1"/>
  <c r="U445" a="1"/>
  <c r="U445" s="1"/>
  <c r="T447" a="1"/>
  <c r="T447" s="1"/>
  <c r="T445" a="1"/>
  <c r="T445" s="1"/>
  <c r="R444"/>
  <c r="S444" a="1"/>
  <c r="S444" s="1"/>
  <c r="R440"/>
  <c r="S440" a="1"/>
  <c r="S440" s="1"/>
  <c r="S443" a="1"/>
  <c r="S443" s="1"/>
  <c r="R443"/>
  <c r="R447"/>
  <c r="S447" a="1"/>
  <c r="S447" s="1"/>
  <c r="S439" a="1"/>
  <c r="S439" s="1"/>
  <c r="R439"/>
  <c r="R445"/>
  <c r="S445" a="1"/>
  <c r="S445" s="1"/>
  <c r="R450"/>
  <c r="S450" a="1"/>
  <c r="S450" s="1"/>
  <c r="R446"/>
  <c r="S446" a="1"/>
  <c r="S446" s="1"/>
  <c r="R442"/>
  <c r="S442" a="1"/>
  <c r="S442" s="1"/>
  <c r="R438"/>
  <c r="S438" a="1"/>
  <c r="S438" s="1"/>
  <c r="J441"/>
  <c r="Q441" s="1"/>
  <c r="J451"/>
  <c r="Q451" s="1"/>
  <c r="J437"/>
  <c r="Q437" s="1"/>
  <c r="J448"/>
  <c r="Q448" s="1"/>
  <c r="T451" a="1"/>
  <c r="T451" s="1"/>
  <c r="U443" a="1"/>
  <c r="U443" s="1"/>
  <c r="T443" a="1"/>
  <c r="T443" s="1"/>
  <c r="T437" a="1"/>
  <c r="T437" s="1"/>
  <c r="T450" a="1"/>
  <c r="T450" s="1"/>
  <c r="U450" a="1"/>
  <c r="U450" s="1"/>
  <c r="T446" a="1"/>
  <c r="T446" s="1"/>
  <c r="T444" a="1"/>
  <c r="T444" s="1"/>
  <c r="U444" a="1"/>
  <c r="U444" s="1"/>
  <c r="T442" a="1"/>
  <c r="T442" s="1"/>
  <c r="T440" a="1"/>
  <c r="T440" s="1"/>
  <c r="T438" a="1"/>
  <c r="T438" s="1"/>
  <c r="U438" a="1"/>
  <c r="U438" s="1"/>
  <c r="U452" a="1"/>
  <c r="U452" s="1"/>
  <c r="T452" a="1"/>
  <c r="T452" s="1"/>
  <c r="J449"/>
  <c r="Q449" s="1"/>
  <c r="R449" l="1"/>
  <c r="S449" a="1"/>
  <c r="S449" s="1"/>
  <c r="R437"/>
  <c r="S437" a="1"/>
  <c r="S437" s="1"/>
  <c r="R441"/>
  <c r="S441" a="1"/>
  <c r="S441" s="1"/>
  <c r="R448"/>
  <c r="S448" a="1"/>
  <c r="S448" s="1"/>
  <c r="R451"/>
  <c r="S451" a="1"/>
  <c r="S451" s="1"/>
  <c r="R452"/>
  <c r="S423" s="1"/>
  <c r="K208"/>
  <c r="G211" s="1"/>
  <c r="M211" l="1"/>
  <c r="M208" a="1"/>
  <c r="M208" s="1"/>
  <c r="K417"/>
  <c r="M420" s="1"/>
  <c r="G420" l="1"/>
  <c r="C428"/>
  <c r="M417" a="1"/>
  <c r="M417" s="1"/>
  <c r="K429" l="1"/>
  <c r="K430"/>
  <c r="G428"/>
  <c r="C452" i="516" l="1"/>
  <c r="T452" s="1" a="1"/>
  <c r="T452" s="1"/>
  <c r="C438"/>
  <c r="U438" s="1" a="1"/>
  <c r="U438" s="1"/>
  <c r="C440"/>
  <c r="T440" s="1" a="1"/>
  <c r="T440" s="1"/>
  <c r="C442"/>
  <c r="T442" s="1" a="1"/>
  <c r="T442" s="1"/>
  <c r="C444"/>
  <c r="U444" s="1" a="1"/>
  <c r="U444" s="1"/>
  <c r="C446"/>
  <c r="T446" s="1" a="1"/>
  <c r="T446" s="1"/>
  <c r="C448"/>
  <c r="T448" s="1" a="1"/>
  <c r="T448" s="1"/>
  <c r="C450"/>
  <c r="U450" s="1" a="1"/>
  <c r="U450" s="1"/>
  <c r="C437"/>
  <c r="T437" s="1" a="1"/>
  <c r="T437" s="1"/>
  <c r="C445"/>
  <c r="U445" s="1" a="1"/>
  <c r="U445" s="1"/>
  <c r="C451"/>
  <c r="U451" s="1" a="1"/>
  <c r="U451" s="1"/>
  <c r="C439"/>
  <c r="T439" s="1" a="1"/>
  <c r="T439" s="1"/>
  <c r="C441"/>
  <c r="T441" s="1" a="1"/>
  <c r="T441" s="1"/>
  <c r="C447"/>
  <c r="T447" s="1" a="1"/>
  <c r="T447" s="1"/>
  <c r="C449"/>
  <c r="T449" s="1" a="1"/>
  <c r="T449" s="1"/>
  <c r="C443"/>
  <c r="U443" s="1" a="1"/>
  <c r="U443" s="1"/>
  <c r="J443"/>
  <c r="Q443" s="1"/>
  <c r="S443" l="1" a="1"/>
  <c r="S443" s="1"/>
  <c r="R443"/>
  <c r="J439"/>
  <c r="Q439" s="1"/>
  <c r="J445"/>
  <c r="Q445" s="1"/>
  <c r="J450"/>
  <c r="Q450" s="1"/>
  <c r="J446"/>
  <c r="Q446" s="1"/>
  <c r="J442"/>
  <c r="Q442" s="1"/>
  <c r="J449"/>
  <c r="Q449" s="1"/>
  <c r="J441"/>
  <c r="Q441" s="1"/>
  <c r="J451"/>
  <c r="Q451" s="1"/>
  <c r="J437"/>
  <c r="Q437" s="1"/>
  <c r="J448"/>
  <c r="Q448" s="1"/>
  <c r="J444"/>
  <c r="Q444" s="1"/>
  <c r="J440"/>
  <c r="Q440" s="1"/>
  <c r="J452"/>
  <c r="Q452" s="1"/>
  <c r="S452" s="1" a="1"/>
  <c r="S452" s="1"/>
  <c r="U452" a="1"/>
  <c r="U452" s="1"/>
  <c r="J447"/>
  <c r="Q447" s="1"/>
  <c r="J438"/>
  <c r="Q438" s="1"/>
  <c r="T451" a="1"/>
  <c r="T451" s="1"/>
  <c r="T445" a="1"/>
  <c r="T445" s="1"/>
  <c r="T443" a="1"/>
  <c r="T443" s="1"/>
  <c r="U437" a="1"/>
  <c r="U437" s="1"/>
  <c r="T450" a="1"/>
  <c r="T450" s="1"/>
  <c r="T444" a="1"/>
  <c r="T444" s="1"/>
  <c r="T438" a="1"/>
  <c r="T438" s="1"/>
  <c r="S447" l="1" a="1"/>
  <c r="S447" s="1"/>
  <c r="R447"/>
  <c r="R444"/>
  <c r="S444" a="1"/>
  <c r="S444" s="1"/>
  <c r="S437" a="1"/>
  <c r="S437" s="1"/>
  <c r="R437"/>
  <c r="S441" a="1"/>
  <c r="S441" s="1"/>
  <c r="R441"/>
  <c r="R442"/>
  <c r="S442" a="1"/>
  <c r="S442" s="1"/>
  <c r="R450"/>
  <c r="S450" a="1"/>
  <c r="S450" s="1"/>
  <c r="S439" a="1"/>
  <c r="S439" s="1"/>
  <c r="R439"/>
  <c r="R438"/>
  <c r="S438" a="1"/>
  <c r="S438" s="1"/>
  <c r="R440"/>
  <c r="S440" a="1"/>
  <c r="S440" s="1"/>
  <c r="R448"/>
  <c r="S448" a="1"/>
  <c r="S448" s="1"/>
  <c r="S451" a="1"/>
  <c r="S451" s="1"/>
  <c r="R451"/>
  <c r="S449" a="1"/>
  <c r="S449" s="1"/>
  <c r="R449"/>
  <c r="R446"/>
  <c r="S446" a="1"/>
  <c r="S446" s="1"/>
  <c r="S445" a="1"/>
  <c r="S445" s="1"/>
  <c r="R445"/>
  <c r="R452"/>
  <c r="S423" s="1"/>
  <c r="K208"/>
  <c r="G211" s="1"/>
  <c r="I208" i="486"/>
  <c r="K208" s="1"/>
  <c r="M211" l="1"/>
  <c r="M208" a="1"/>
  <c r="M208" s="1"/>
  <c r="G211"/>
  <c r="M211" i="516"/>
  <c r="M208" a="1"/>
  <c r="M208" s="1"/>
  <c r="K417"/>
  <c r="M420" s="1"/>
  <c r="I417" i="486"/>
  <c r="K417" s="1"/>
  <c r="G420" l="1"/>
  <c r="C428"/>
  <c r="M417" a="1"/>
  <c r="M417" s="1"/>
  <c r="M420"/>
  <c r="G420" i="516"/>
  <c r="C428"/>
  <c r="M417" a="1"/>
  <c r="M417" s="1"/>
  <c r="K430" l="1"/>
  <c r="K429"/>
  <c r="G428"/>
  <c r="G428" i="486"/>
  <c r="K429"/>
  <c r="K430"/>
</calcChain>
</file>

<file path=xl/comments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0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451kg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培训新工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人，培训机手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60g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287kg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11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325kg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名。培训新工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人。涮果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241kg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充填：</t>
        </r>
        <r>
          <rPr>
            <sz val="9"/>
            <color indexed="81"/>
            <rFont val="Tahoma"/>
            <family val="2"/>
          </rPr>
          <t xml:space="preserve">541kg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跟进机手一人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259.6kg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340kg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机手跟进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b/>
            <sz val="9"/>
            <color indexed="81"/>
            <rFont val="Tahoma"/>
            <family val="2"/>
          </rPr>
          <t>18502</t>
        </r>
        <r>
          <rPr>
            <b/>
            <sz val="9"/>
            <color indexed="81"/>
            <rFont val="宋体"/>
            <family val="3"/>
            <charset val="134"/>
          </rPr>
          <t>机台卫生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人，处理异常品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220kg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喷码2人，培训1人</t>
        </r>
      </text>
    </comment>
  </commentList>
</comments>
</file>

<file path=xl/comments1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170kg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跟进新机手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人，喷码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人，处理拉丝果冻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440kg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喷码2人，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370kg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人，学机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162.8kg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>144kg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人，跟进机手培训新工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人，卫生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sz val="9"/>
            <color indexed="81"/>
            <rFont val="宋体"/>
            <family val="3"/>
            <charset val="134"/>
          </rPr>
          <t>充填领用：</t>
        </r>
        <r>
          <rPr>
            <sz val="9"/>
            <color indexed="81"/>
            <rFont val="Tahoma"/>
            <family val="2"/>
          </rPr>
          <t xml:space="preserve">231kg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140kg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3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4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5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6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7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2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72kg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人，培训新工一人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G412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50kg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31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4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70kg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人。培训机手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宋体"/>
            <family val="3"/>
            <charset val="134"/>
          </rPr>
          <t>人培训</t>
        </r>
        <r>
          <rPr>
            <b/>
            <sz val="9"/>
            <color indexed="81"/>
            <rFont val="Tahoma"/>
            <family val="2"/>
          </rPr>
          <t>.</t>
        </r>
        <r>
          <rPr>
            <b/>
            <sz val="9"/>
            <color indexed="81"/>
            <rFont val="宋体"/>
            <family val="3"/>
            <charset val="134"/>
          </rPr>
          <t>处理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5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果冻条调试消毒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G203" authorId="1">
      <text>
        <r>
          <rPr>
            <b/>
            <sz val="9"/>
            <color indexed="81"/>
            <rFont val="宋体"/>
            <family val="3"/>
            <charset val="134"/>
          </rPr>
          <t>充填领用：</t>
        </r>
        <r>
          <rPr>
            <b/>
            <sz val="9"/>
            <color indexed="81"/>
            <rFont val="Tahoma"/>
            <family val="2"/>
          </rPr>
          <t>80kg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人，涮果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人，放杯，放果：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b/>
            <sz val="9"/>
            <color indexed="81"/>
            <rFont val="Tahoma"/>
            <family val="2"/>
          </rPr>
          <t>85g</t>
        </r>
        <r>
          <rPr>
            <b/>
            <sz val="9"/>
            <color indexed="81"/>
            <rFont val="宋体"/>
            <family val="3"/>
            <charset val="134"/>
          </rPr>
          <t>吸吸喷码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  <author>微软用户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U209" authorId="1">
      <text>
        <r>
          <rPr>
            <b/>
            <sz val="9"/>
            <color indexed="81"/>
            <rFont val="宋体"/>
            <family val="3"/>
            <charset val="134"/>
          </rPr>
          <t>学机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宋体"/>
            <family val="3"/>
            <charset val="134"/>
          </rPr>
          <t>人，培训涮果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  <comment ref="U418" authorId="1">
      <text>
        <r>
          <rPr>
            <b/>
            <sz val="9"/>
            <color indexed="81"/>
            <rFont val="宋体"/>
            <family val="3"/>
            <charset val="134"/>
          </rPr>
          <t>喷码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宋体"/>
            <family val="3"/>
            <charset val="134"/>
          </rPr>
          <t>人，培训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宋体"/>
            <family val="3"/>
            <charset val="134"/>
          </rPr>
          <t>人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Q5" authorId="0">
      <text>
        <r>
          <rPr>
            <sz val="9"/>
            <color indexed="81"/>
            <rFont val="宋体"/>
            <family val="3"/>
            <charset val="134"/>
          </rPr>
          <t xml:space="preserve">白班11小时/班
</t>
        </r>
      </text>
    </comment>
    <comment ref="Q214" authorId="0">
      <text>
        <r>
          <rPr>
            <sz val="9"/>
            <color indexed="81"/>
            <rFont val="宋体"/>
            <family val="3"/>
            <charset val="134"/>
          </rPr>
          <t xml:space="preserve">晚班11.5小时/班
</t>
        </r>
      </text>
    </comment>
  </commentList>
</comments>
</file>

<file path=xl/sharedStrings.xml><?xml version="1.0" encoding="utf-8"?>
<sst xmlns="http://schemas.openxmlformats.org/spreadsheetml/2006/main" count="44184" uniqueCount="330">
  <si>
    <t xml:space="preserve">           南京来一口食品有限公司</t>
  </si>
  <si>
    <t>充 填 车 间 生 产 日 报 表</t>
  </si>
  <si>
    <t>一、充填A班生产日报表</t>
  </si>
  <si>
    <t>物料编码</t>
  </si>
  <si>
    <t>设备编号</t>
  </si>
  <si>
    <t>产品名称</t>
  </si>
  <si>
    <t>品种</t>
  </si>
  <si>
    <t>计划单号</t>
  </si>
  <si>
    <t>生产计划(锅)</t>
  </si>
  <si>
    <t>上班结余(锅)</t>
  </si>
  <si>
    <t>实际生产(锅)</t>
  </si>
  <si>
    <t>本班余留(kg)</t>
  </si>
  <si>
    <t>计划数量(kg)</t>
  </si>
  <si>
    <t>实际产量(kg)</t>
  </si>
  <si>
    <t>标准定容（kg/锅）</t>
  </si>
  <si>
    <t>机台标准工时（h/锅）</t>
  </si>
  <si>
    <t>计划停机工时</t>
  </si>
  <si>
    <t>机台标准总工时（h）</t>
  </si>
  <si>
    <t>实际总工时（h）</t>
  </si>
  <si>
    <t>差异（h）</t>
  </si>
  <si>
    <t>标准人力配制</t>
  </si>
  <si>
    <t>实际人力配制</t>
  </si>
  <si>
    <t>计划达成率</t>
  </si>
  <si>
    <t>机台异常工时（h）</t>
  </si>
  <si>
    <t>出勤时间</t>
  </si>
  <si>
    <t>实际工时</t>
  </si>
  <si>
    <t>生产异常</t>
  </si>
  <si>
    <t>设备故障</t>
  </si>
  <si>
    <t>原材料异常</t>
  </si>
  <si>
    <t>工艺异常</t>
  </si>
  <si>
    <t>计划原因</t>
  </si>
  <si>
    <t>新工培训</t>
  </si>
  <si>
    <t>其他</t>
  </si>
  <si>
    <t>2501-2510</t>
  </si>
  <si>
    <t>30g果冻条</t>
  </si>
  <si>
    <t>香橙</t>
  </si>
  <si>
    <t>红苹果</t>
  </si>
  <si>
    <t>哈密瓜</t>
  </si>
  <si>
    <t>香芋</t>
  </si>
  <si>
    <t>芒果</t>
  </si>
  <si>
    <t>酸奶</t>
  </si>
  <si>
    <t>草莓</t>
  </si>
  <si>
    <t>玉米</t>
  </si>
  <si>
    <t>3001-3004</t>
  </si>
  <si>
    <t>15g钙锌果无日期</t>
  </si>
  <si>
    <t>18.5g布甸果冻礼包</t>
  </si>
  <si>
    <t>18.5g法式布丁</t>
  </si>
  <si>
    <t>椰子</t>
  </si>
  <si>
    <t>18.5g果浆果冻</t>
  </si>
  <si>
    <t>橙皮</t>
  </si>
  <si>
    <t>18.5g乳酸果冻礼包</t>
  </si>
  <si>
    <t>25g乳酸果冻</t>
  </si>
  <si>
    <t>3002/3004</t>
  </si>
  <si>
    <t>30g椰果</t>
  </si>
  <si>
    <t>荔枝</t>
  </si>
  <si>
    <t>3003-3004</t>
  </si>
  <si>
    <t>30g果味果冻</t>
  </si>
  <si>
    <t>苹果</t>
  </si>
  <si>
    <t>30g果肉果冻</t>
  </si>
  <si>
    <t>30g果肉果冻(香橙)</t>
  </si>
  <si>
    <t>3601-3602</t>
  </si>
  <si>
    <t>36g情人心语层层果冻</t>
  </si>
  <si>
    <t>36g情人心语层层果冻(香橙)</t>
  </si>
  <si>
    <t>红毛丹</t>
  </si>
  <si>
    <t>36g情人心语果肉果冻</t>
  </si>
  <si>
    <t>36g情人心语果肉果冻(菠萝)</t>
  </si>
  <si>
    <t>菠萝</t>
  </si>
  <si>
    <t>4501-4503</t>
  </si>
  <si>
    <t>30g钙铁锌果冻</t>
  </si>
  <si>
    <t>蔓越莓</t>
  </si>
  <si>
    <t>柠檬</t>
  </si>
  <si>
    <t>奇异果</t>
  </si>
  <si>
    <t>百香果</t>
  </si>
  <si>
    <t>42g布甸</t>
  </si>
  <si>
    <t>鸡蛋</t>
  </si>
  <si>
    <t>45g奶香酪果冻</t>
  </si>
  <si>
    <t>45g奶香酪果冻(香芋)</t>
  </si>
  <si>
    <t>45g果肉果冻</t>
  </si>
  <si>
    <t>45g果肉果冻(青提)</t>
  </si>
  <si>
    <t>青提</t>
  </si>
  <si>
    <t>黄桃</t>
  </si>
  <si>
    <t>60g果味果冻</t>
  </si>
  <si>
    <t>60g果味果冻(黄桃)</t>
  </si>
  <si>
    <t>45g果浆果冻（散装）</t>
  </si>
  <si>
    <t>杨梅</t>
  </si>
  <si>
    <t>话梅</t>
  </si>
  <si>
    <t>45g果浆果冻（无文字）</t>
  </si>
  <si>
    <t>5001-5003</t>
  </si>
  <si>
    <t>65g可吸果冻</t>
  </si>
  <si>
    <t>50g动物园吸之冻(玉米)</t>
  </si>
  <si>
    <t>海马香橙</t>
  </si>
  <si>
    <t>50g动物园吸之冻</t>
  </si>
  <si>
    <t>5001/5003</t>
  </si>
  <si>
    <t>50g水果园吸之冻</t>
  </si>
  <si>
    <t>50g水果园吸之冻(草莓)</t>
  </si>
  <si>
    <t>50g果蔬园吸之冻</t>
  </si>
  <si>
    <t>50g果蔬园吸之冻(香橙)</t>
  </si>
  <si>
    <t>50g水果园吸之冻(苹果)</t>
  </si>
  <si>
    <t>50g兵器吸之冻</t>
  </si>
  <si>
    <t>50g兵器吸之冻(哈密瓜)</t>
  </si>
  <si>
    <t>50ml棒冰冰果味饮料</t>
  </si>
  <si>
    <t>82ml棒冰冰果味饮料(草莓)</t>
  </si>
  <si>
    <t>83ml棒冰冰果味饮料(草莓)</t>
  </si>
  <si>
    <t>84ml棒冰冰果味饮料(草莓)</t>
  </si>
  <si>
    <t>85ml棒冰冰果味饮料(草莓)</t>
  </si>
  <si>
    <t>乳酸</t>
  </si>
  <si>
    <t>78ml棒冰冰果味饮料</t>
  </si>
  <si>
    <t>82ml棒冰冰果味饮料</t>
  </si>
  <si>
    <t>可乐</t>
  </si>
  <si>
    <t>104可吸果冻爽果冻</t>
  </si>
  <si>
    <t>120g水果园吸之冻</t>
  </si>
  <si>
    <t>120g水果园吸之冻(芒果)</t>
  </si>
  <si>
    <t>130g可吸果冻爽</t>
  </si>
  <si>
    <t>130g可吸果冻爽(草莓)</t>
  </si>
  <si>
    <t>冰糖葫芦风味饮料</t>
  </si>
  <si>
    <t>山楂</t>
  </si>
  <si>
    <t>5001-5005</t>
  </si>
  <si>
    <t>雪梨</t>
  </si>
  <si>
    <t>6501-6503</t>
  </si>
  <si>
    <t>80g情人心语果冻</t>
  </si>
  <si>
    <t>80g情人心语果冻(荔枝)</t>
  </si>
  <si>
    <t>125g果味果司果冻</t>
  </si>
  <si>
    <t>125g果味果司果冻(哈密瓜)</t>
  </si>
  <si>
    <t>90g布甸果冻</t>
  </si>
  <si>
    <r>
      <rPr>
        <sz val="12"/>
        <rFont val="华文楷体"/>
        <family val="3"/>
        <charset val="134"/>
      </rPr>
      <t>6501-6504</t>
    </r>
  </si>
  <si>
    <r>
      <rPr>
        <sz val="12"/>
        <rFont val="华文楷体"/>
        <family val="3"/>
        <charset val="134"/>
      </rPr>
      <t>90g布甸果冻</t>
    </r>
  </si>
  <si>
    <t>巧克力</t>
  </si>
  <si>
    <t>90g双层布甸果冻</t>
  </si>
  <si>
    <t>92g布甸果冻</t>
  </si>
  <si>
    <t>92g果粒布甸果冻</t>
  </si>
  <si>
    <t>110g果肉果冻</t>
  </si>
  <si>
    <t>95g果肉果冻(杂果)</t>
  </si>
  <si>
    <t>枇杷</t>
  </si>
  <si>
    <t>圣女果</t>
  </si>
  <si>
    <t>95g果肉果冻</t>
  </si>
  <si>
    <t>杂果</t>
  </si>
  <si>
    <t>6501-6504</t>
  </si>
  <si>
    <t>95g鲜果果冻</t>
  </si>
  <si>
    <t>6501-6505</t>
  </si>
  <si>
    <t>125g果肉果冻</t>
  </si>
  <si>
    <t>125g果肉果冻(杂果)</t>
  </si>
  <si>
    <t>125g椰果果冻</t>
  </si>
  <si>
    <t>椰果</t>
  </si>
  <si>
    <t>95g果浆果冻</t>
  </si>
  <si>
    <t>6501-6506</t>
  </si>
  <si>
    <t>70g法式布丁</t>
  </si>
  <si>
    <t>红豆</t>
  </si>
  <si>
    <t>花生核桃</t>
  </si>
  <si>
    <t>100g优酪果汁果冻</t>
  </si>
  <si>
    <t>香蕉</t>
  </si>
  <si>
    <t>135g胶原蛋白果汁果冻</t>
  </si>
  <si>
    <t>蜂蜜柚子</t>
  </si>
  <si>
    <t>冰糖雪梨</t>
  </si>
  <si>
    <t>135g法式布丁</t>
  </si>
  <si>
    <t>160g果粒布甸果冻</t>
  </si>
  <si>
    <t>160g优酪果汁果冻</t>
  </si>
  <si>
    <t>200g椰果果冻</t>
  </si>
  <si>
    <t>185g什锦果冻</t>
  </si>
  <si>
    <t>185g什锦果冻(杂果)</t>
  </si>
  <si>
    <t>200g果肉果冻</t>
  </si>
  <si>
    <t>200g什锦果冻(杂果)四孔机</t>
  </si>
  <si>
    <t>200g什锦果冻</t>
  </si>
  <si>
    <t>120g粗粮</t>
  </si>
  <si>
    <t>南瓜</t>
  </si>
  <si>
    <t>绿豆</t>
  </si>
  <si>
    <t>85g雪人吸吸果冻</t>
  </si>
  <si>
    <t>葡萄</t>
  </si>
  <si>
    <t>13001-13003</t>
  </si>
  <si>
    <t>85g吸吸果冻</t>
  </si>
  <si>
    <t>13001-13004</t>
  </si>
  <si>
    <t>13001-13005</t>
  </si>
  <si>
    <t>13001-13006</t>
  </si>
  <si>
    <t>么么冰风味饮料</t>
  </si>
  <si>
    <t>蓝莓</t>
  </si>
  <si>
    <t>香草</t>
  </si>
  <si>
    <t>小              计</t>
  </si>
  <si>
    <t>人员嫁动率</t>
  </si>
  <si>
    <t>物耗报表</t>
  </si>
  <si>
    <t>品      名</t>
  </si>
  <si>
    <t>计划用量</t>
  </si>
  <si>
    <t>实际用量</t>
  </si>
  <si>
    <t>超耗</t>
  </si>
  <si>
    <t>超耗率</t>
  </si>
  <si>
    <t>备注</t>
  </si>
  <si>
    <t>当班人员出勤情况</t>
  </si>
  <si>
    <t>岗位/工序</t>
  </si>
  <si>
    <t>标准配置人数</t>
  </si>
  <si>
    <t>实际出勤人数</t>
  </si>
  <si>
    <t>标准工时</t>
  </si>
  <si>
    <t>实际出勤工时</t>
  </si>
  <si>
    <t>当班异常工时</t>
  </si>
  <si>
    <t>白      糖</t>
  </si>
  <si>
    <t>果      糖</t>
  </si>
  <si>
    <t xml:space="preserve">机台人员 </t>
  </si>
  <si>
    <t>果肉罐头</t>
  </si>
  <si>
    <t>配料人员</t>
  </si>
  <si>
    <t>能耗报表</t>
  </si>
  <si>
    <t>管理指标</t>
  </si>
  <si>
    <t>本次抄表数据</t>
  </si>
  <si>
    <t>上次抄表数据</t>
  </si>
  <si>
    <t>当班使用量</t>
  </si>
  <si>
    <t>吨产品耗用量</t>
  </si>
  <si>
    <t>制果人员</t>
  </si>
  <si>
    <t>自来水</t>
  </si>
  <si>
    <t>水耗标准(m3/T)</t>
  </si>
  <si>
    <t>煮果人员</t>
  </si>
  <si>
    <t>电能</t>
  </si>
  <si>
    <t>电耗标准(kw.h/T)</t>
  </si>
  <si>
    <t>开罐人员</t>
  </si>
  <si>
    <t>蒸汽</t>
  </si>
  <si>
    <t>汽耗标准（T/T)</t>
  </si>
  <si>
    <t>物料人员</t>
  </si>
  <si>
    <t>Ⅱ类烟煤</t>
  </si>
  <si>
    <t>生物质标准（85kg/T)</t>
  </si>
  <si>
    <t>辅助人员</t>
  </si>
  <si>
    <t>煤标准（85kg/T)</t>
  </si>
  <si>
    <t>合计</t>
  </si>
  <si>
    <t>煤汽比（6T/T)</t>
  </si>
  <si>
    <t>生物质汽比（6T/T)</t>
  </si>
  <si>
    <t>人均产能</t>
  </si>
  <si>
    <t>二、充填B班生产日报表</t>
  </si>
  <si>
    <t>3001-3005</t>
  </si>
  <si>
    <t xml:space="preserve">  </t>
  </si>
  <si>
    <t>三、基础数据汇总</t>
  </si>
  <si>
    <t>3.1、生产计划与人工工时</t>
  </si>
  <si>
    <t>当天生产计划(kg)</t>
  </si>
  <si>
    <t>当天生产总产量(kg)</t>
  </si>
  <si>
    <t>计划达成率(%)</t>
  </si>
  <si>
    <t>当天人均产能：</t>
  </si>
  <si>
    <t>标准总工时（h）</t>
  </si>
  <si>
    <t>当天异常工时（h）</t>
  </si>
  <si>
    <t>异常工时占比</t>
  </si>
  <si>
    <t>3.2、能耗数据</t>
  </si>
  <si>
    <t>当天用水量（m³）</t>
  </si>
  <si>
    <t>吨产品用水量</t>
  </si>
  <si>
    <t>当天用电量（kw.h）</t>
  </si>
  <si>
    <t>吨产品用电量</t>
  </si>
  <si>
    <t>当天耗汽量(T)</t>
  </si>
  <si>
    <t>吨产品耗汽量</t>
  </si>
  <si>
    <t>当天耗生物质量（T）</t>
  </si>
  <si>
    <t>吨产品耗生物质量</t>
  </si>
  <si>
    <t>当天生物质汽比</t>
  </si>
  <si>
    <t>当天耗煤量（T）</t>
  </si>
  <si>
    <t>吨产品耗煤量</t>
  </si>
  <si>
    <t>当天煤汽比</t>
  </si>
  <si>
    <t>3.1、物耗数据</t>
  </si>
  <si>
    <t>当天白糖计划用量(kg)</t>
  </si>
  <si>
    <t>当天白糖实际用量</t>
  </si>
  <si>
    <t>当天白糖超耗量</t>
  </si>
  <si>
    <t>当天白糖超耗率</t>
  </si>
  <si>
    <t>当天果糖计划用量(kg)</t>
  </si>
  <si>
    <t>当天果糖实际用量</t>
  </si>
  <si>
    <t>当天果糖超耗量</t>
  </si>
  <si>
    <t>当天果糖超耗率</t>
  </si>
  <si>
    <t>当天罐头计划用量(kg)</t>
  </si>
  <si>
    <t>当天罐头实际用量</t>
  </si>
  <si>
    <t>当天罐头超耗量</t>
  </si>
  <si>
    <t>当天罐头超耗率</t>
  </si>
  <si>
    <t>四、人员出勤情况</t>
  </si>
  <si>
    <t xml:space="preserve">车间 </t>
  </si>
  <si>
    <t xml:space="preserve">在编人数 </t>
  </si>
  <si>
    <t xml:space="preserve">昨天人数 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</si>
  <si>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</si>
  <si>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</si>
  <si>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</si>
  <si>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</si>
  <si>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</si>
  <si>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应出勤人数 </t>
  </si>
  <si>
    <t xml:space="preserve">请假 </t>
  </si>
  <si>
    <t xml:space="preserve">旷工 </t>
  </si>
  <si>
    <t>迟到</t>
  </si>
  <si>
    <t xml:space="preserve">早退 </t>
  </si>
  <si>
    <t xml:space="preserve">已辞职 </t>
  </si>
  <si>
    <t>已自离</t>
  </si>
  <si>
    <t xml:space="preserve">实际出勤人数 </t>
  </si>
  <si>
    <t xml:space="preserve">人员出勤率 </t>
  </si>
  <si>
    <t>人员流失率</t>
  </si>
  <si>
    <t>关键岗位流失率</t>
  </si>
  <si>
    <t>A班配料员</t>
  </si>
  <si>
    <t>A班机长</t>
  </si>
  <si>
    <t>A班开罐、制果人员</t>
  </si>
  <si>
    <t>A班放杯、放果人员</t>
  </si>
  <si>
    <t>A班物料人员</t>
  </si>
  <si>
    <t>A班辅助人员</t>
  </si>
  <si>
    <t>小     计</t>
  </si>
  <si>
    <t>B班配料员</t>
  </si>
  <si>
    <t>B班机长</t>
  </si>
  <si>
    <t>B班开罐、制果人员</t>
  </si>
  <si>
    <t>B班放杯、放果人员</t>
  </si>
  <si>
    <t>B班物料人员</t>
  </si>
  <si>
    <t>B班辅助人员</t>
  </si>
  <si>
    <t>常白班人员</t>
  </si>
  <si>
    <t xml:space="preserve">合计 </t>
  </si>
  <si>
    <t>审核：</t>
  </si>
  <si>
    <t>制表：张娇</t>
  </si>
  <si>
    <t>5001-5004</t>
  </si>
  <si>
    <t>94小怪兽可吸果冻</t>
    <phoneticPr fontId="17" type="noConversion"/>
  </si>
  <si>
    <t>酸奶</t>
    <phoneticPr fontId="17" type="noConversion"/>
  </si>
  <si>
    <t>蔓越莓</t>
    <phoneticPr fontId="17" type="noConversion"/>
  </si>
  <si>
    <t>香蕉牛奶</t>
    <phoneticPr fontId="17" type="noConversion"/>
  </si>
  <si>
    <t>5001-5003</t>
    <phoneticPr fontId="17" type="noConversion"/>
  </si>
  <si>
    <t>45g果味果冻</t>
    <phoneticPr fontId="18" type="noConversion"/>
  </si>
  <si>
    <t>芒果</t>
    <phoneticPr fontId="19" type="noConversion"/>
  </si>
  <si>
    <t>水蜜桃</t>
    <phoneticPr fontId="19" type="noConversion"/>
  </si>
  <si>
    <t>28拉丝果冻</t>
    <phoneticPr fontId="19" type="noConversion"/>
  </si>
  <si>
    <t>120g通天娃娃可吸果冻</t>
    <phoneticPr fontId="19" type="noConversion"/>
  </si>
  <si>
    <t>酸奶味</t>
    <phoneticPr fontId="19" type="noConversion"/>
  </si>
  <si>
    <t>草莓味</t>
    <phoneticPr fontId="19" type="noConversion"/>
  </si>
  <si>
    <t>香蕉牛奶味</t>
    <phoneticPr fontId="19" type="noConversion"/>
  </si>
  <si>
    <t>哈密瓜</t>
    <phoneticPr fontId="20" type="noConversion"/>
  </si>
  <si>
    <t>酸奶</t>
    <phoneticPr fontId="20" type="noConversion"/>
  </si>
  <si>
    <t>香蕉</t>
    <phoneticPr fontId="17" type="noConversion"/>
  </si>
  <si>
    <t>60g吸吸果冻</t>
    <phoneticPr fontId="21" type="noConversion"/>
  </si>
  <si>
    <t>5粒袋水晶冻</t>
    <phoneticPr fontId="22" type="noConversion"/>
  </si>
  <si>
    <t>香橙</t>
    <phoneticPr fontId="22" type="noConversion"/>
  </si>
  <si>
    <t>草莓</t>
    <phoneticPr fontId="22" type="noConversion"/>
  </si>
  <si>
    <t>50g动物园可吸</t>
    <phoneticPr fontId="17" type="noConversion"/>
  </si>
  <si>
    <t>50g果蔬园可吸</t>
    <phoneticPr fontId="17" type="noConversion"/>
  </si>
  <si>
    <t>120g果蔬园可吸</t>
    <phoneticPr fontId="17" type="noConversion"/>
  </si>
  <si>
    <t>5001/5003</t>
    <phoneticPr fontId="26" type="noConversion"/>
  </si>
  <si>
    <t>5001/5003</t>
    <phoneticPr fontId="17" type="noConversion"/>
  </si>
  <si>
    <t>5001/5003</t>
    <phoneticPr fontId="17" type="noConversion"/>
  </si>
  <si>
    <t xml:space="preserve"> </t>
    <phoneticPr fontId="26" type="noConversion"/>
  </si>
  <si>
    <t>5001/5003</t>
    <phoneticPr fontId="17" type="noConversion"/>
  </si>
  <si>
    <t xml:space="preserve"> </t>
    <phoneticPr fontId="17" type="noConversion"/>
  </si>
  <si>
    <t>1475/1508</t>
    <phoneticPr fontId="17" type="noConversion"/>
  </si>
  <si>
    <t>1455/1499</t>
    <phoneticPr fontId="26" type="noConversion"/>
  </si>
  <si>
    <t>1537/1567</t>
    <phoneticPr fontId="26" type="noConversion"/>
  </si>
  <si>
    <t>1571/1598</t>
    <phoneticPr fontId="26" type="noConversion"/>
  </si>
  <si>
    <t>1568/1593</t>
    <phoneticPr fontId="26" type="noConversion"/>
  </si>
</sst>
</file>

<file path=xl/styles.xml><?xml version="1.0" encoding="utf-8"?>
<styleSheet xmlns="http://schemas.openxmlformats.org/spreadsheetml/2006/main">
  <numFmts count="12">
    <numFmt numFmtId="176" formatCode="0_);[Red]\(0\)"/>
    <numFmt numFmtId="177" formatCode="0.0_);[Red]\(0.0\)"/>
    <numFmt numFmtId="178" formatCode="0.00_ ;[Red]\-0.00\ "/>
    <numFmt numFmtId="179" formatCode="0.00_);[Red]\(0.00\)"/>
    <numFmt numFmtId="180" formatCode="0_ "/>
    <numFmt numFmtId="181" formatCode="0.00_ "/>
    <numFmt numFmtId="182" formatCode="0.0_ "/>
    <numFmt numFmtId="183" formatCode="0_ ;[Red]\-0\ "/>
    <numFmt numFmtId="184" formatCode="0.0_ ;[Red]\-0.0\ "/>
    <numFmt numFmtId="185" formatCode="0.0000_ "/>
    <numFmt numFmtId="186" formatCode="0.000_ "/>
    <numFmt numFmtId="187" formatCode="0.0;_怲"/>
  </numFmts>
  <fonts count="27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4"/>
      <color theme="1"/>
      <name val="华文楷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6"/>
      <name val="华文楷体"/>
      <family val="3"/>
      <charset val="134"/>
    </font>
    <font>
      <b/>
      <sz val="14"/>
      <name val="华文楷体"/>
      <family val="3"/>
      <charset val="134"/>
    </font>
    <font>
      <sz val="12"/>
      <name val="华文楷体"/>
      <family val="3"/>
      <charset val="134"/>
    </font>
    <font>
      <sz val="12"/>
      <color theme="1"/>
      <name val="华文楷体"/>
      <family val="3"/>
      <charset val="134"/>
    </font>
    <font>
      <sz val="12"/>
      <color rgb="FFFF0000"/>
      <name val="华文楷体"/>
      <family val="3"/>
      <charset val="134"/>
    </font>
    <font>
      <sz val="11"/>
      <name val="华文楷体"/>
      <family val="3"/>
      <charset val="134"/>
    </font>
    <font>
      <b/>
      <sz val="12"/>
      <name val="华文楷体"/>
      <family val="3"/>
      <charset val="134"/>
    </font>
    <font>
      <sz val="11"/>
      <color theme="1"/>
      <name val="华文楷体"/>
      <family val="3"/>
      <charset val="134"/>
    </font>
    <font>
      <b/>
      <sz val="11"/>
      <name val="华文楷体"/>
      <family val="3"/>
      <charset val="134"/>
    </font>
    <font>
      <sz val="11"/>
      <name val="华文中宋"/>
      <family val="3"/>
      <charset val="134"/>
    </font>
    <font>
      <sz val="16"/>
      <name val="华文楷体"/>
      <family val="3"/>
      <charset val="134"/>
    </font>
    <font>
      <sz val="14"/>
      <name val="华文楷体"/>
      <family val="3"/>
      <charset val="134"/>
    </font>
    <font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36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7" fillId="0" borderId="2" xfId="0" applyFont="1" applyBorder="1">
      <alignment vertical="center"/>
    </xf>
    <xf numFmtId="177" fontId="8" fillId="0" borderId="2" xfId="0" applyNumberFormat="1" applyFont="1" applyFill="1" applyBorder="1" applyAlignment="1">
      <alignment horizontal="center" vertical="center"/>
    </xf>
    <xf numFmtId="178" fontId="6" fillId="3" borderId="2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7" fillId="0" borderId="2" xfId="0" applyFont="1" applyFill="1" applyBorder="1">
      <alignment vertical="center"/>
    </xf>
    <xf numFmtId="178" fontId="6" fillId="2" borderId="2" xfId="0" applyNumberFormat="1" applyFont="1" applyFill="1" applyBorder="1" applyAlignment="1">
      <alignment horizontal="center" vertical="center"/>
    </xf>
    <xf numFmtId="178" fontId="1" fillId="2" borderId="2" xfId="0" applyNumberFormat="1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/>
    <xf numFmtId="177" fontId="6" fillId="4" borderId="2" xfId="0" applyNumberFormat="1" applyFont="1" applyFill="1" applyBorder="1" applyAlignment="1">
      <alignment horizontal="center" vertical="center"/>
    </xf>
    <xf numFmtId="177" fontId="6" fillId="0" borderId="7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/>
    </xf>
    <xf numFmtId="10" fontId="10" fillId="0" borderId="0" xfId="0" applyNumberFormat="1" applyFont="1" applyFill="1" applyBorder="1" applyAlignment="1">
      <alignment vertical="center" wrapText="1"/>
    </xf>
    <xf numFmtId="0" fontId="7" fillId="5" borderId="2" xfId="0" applyFont="1" applyFill="1" applyBorder="1">
      <alignment vertical="center"/>
    </xf>
    <xf numFmtId="0" fontId="6" fillId="5" borderId="2" xfId="0" applyFont="1" applyFill="1" applyBorder="1" applyAlignment="1">
      <alignment vertical="center"/>
    </xf>
    <xf numFmtId="0" fontId="0" fillId="5" borderId="2" xfId="0" applyFill="1" applyBorder="1">
      <alignment vertical="center"/>
    </xf>
    <xf numFmtId="0" fontId="7" fillId="5" borderId="3" xfId="0" applyFont="1" applyFill="1" applyBorder="1">
      <alignment vertical="center"/>
    </xf>
    <xf numFmtId="178" fontId="6" fillId="4" borderId="2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7" fontId="6" fillId="3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0" borderId="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177" fontId="6" fillId="8" borderId="2" xfId="0" applyNumberFormat="1" applyFont="1" applyFill="1" applyBorder="1" applyAlignment="1">
      <alignment horizontal="center" vertical="center"/>
    </xf>
    <xf numFmtId="178" fontId="1" fillId="0" borderId="0" xfId="0" applyNumberFormat="1" applyFont="1" applyFill="1">
      <alignment vertical="center"/>
    </xf>
    <xf numFmtId="178" fontId="1" fillId="0" borderId="0" xfId="0" applyNumberFormat="1" applyFont="1">
      <alignment vertical="center"/>
    </xf>
    <xf numFmtId="178" fontId="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6" fillId="2" borderId="7" xfId="0" applyNumberFormat="1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center" vertical="center"/>
    </xf>
    <xf numFmtId="10" fontId="10" fillId="0" borderId="2" xfId="0" applyNumberFormat="1" applyFont="1" applyFill="1" applyBorder="1" applyAlignment="1">
      <alignment vertical="center" wrapText="1"/>
    </xf>
    <xf numFmtId="178" fontId="10" fillId="0" borderId="2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78" fontId="0" fillId="0" borderId="0" xfId="0" applyNumberForma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177" fontId="6" fillId="0" borderId="0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178" fontId="9" fillId="0" borderId="1" xfId="0" applyNumberFormat="1" applyFont="1" applyFill="1" applyBorder="1" applyAlignment="1"/>
    <xf numFmtId="176" fontId="6" fillId="0" borderId="2" xfId="0" applyNumberFormat="1" applyFont="1" applyFill="1" applyBorder="1" applyAlignment="1">
      <alignment horizontal="center" vertical="center" wrapText="1"/>
    </xf>
    <xf numFmtId="176" fontId="6" fillId="9" borderId="2" xfId="0" applyNumberFormat="1" applyFont="1" applyFill="1" applyBorder="1" applyAlignment="1">
      <alignment horizontal="center" vertical="center" wrapText="1"/>
    </xf>
    <xf numFmtId="176" fontId="6" fillId="1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181" fontId="10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178" fontId="0" fillId="0" borderId="0" xfId="0" applyNumberFormat="1">
      <alignment vertical="center"/>
    </xf>
    <xf numFmtId="178" fontId="0" fillId="0" borderId="0" xfId="0" applyNumberFormat="1" applyFill="1" applyBorder="1">
      <alignment vertical="center"/>
    </xf>
    <xf numFmtId="0" fontId="6" fillId="0" borderId="1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8" fontId="6" fillId="0" borderId="14" xfId="0" applyNumberFormat="1" applyFont="1" applyFill="1" applyBorder="1" applyAlignment="1">
      <alignment horizontal="center" vertical="center"/>
    </xf>
    <xf numFmtId="178" fontId="6" fillId="0" borderId="1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183" fontId="6" fillId="0" borderId="2" xfId="0" applyNumberFormat="1" applyFont="1" applyFill="1" applyBorder="1" applyAlignment="1">
      <alignment horizontal="center" vertical="center" wrapText="1"/>
    </xf>
    <xf numFmtId="183" fontId="6" fillId="9" borderId="2" xfId="0" applyNumberFormat="1" applyFont="1" applyFill="1" applyBorder="1" applyAlignment="1">
      <alignment horizontal="center" vertical="center" wrapText="1"/>
    </xf>
    <xf numFmtId="183" fontId="6" fillId="10" borderId="2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178" fontId="1" fillId="0" borderId="0" xfId="0" applyNumberFormat="1" applyFont="1" applyFill="1" applyBorder="1">
      <alignment vertical="center"/>
    </xf>
    <xf numFmtId="178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8" fontId="9" fillId="0" borderId="0" xfId="0" applyNumberFormat="1" applyFont="1" applyFill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83" fontId="6" fillId="0" borderId="0" xfId="0" applyNumberFormat="1" applyFont="1" applyFill="1" applyBorder="1" applyAlignment="1">
      <alignment horizontal="center" vertical="center" wrapText="1"/>
    </xf>
    <xf numFmtId="178" fontId="6" fillId="0" borderId="0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10" fontId="10" fillId="0" borderId="0" xfId="0" applyNumberFormat="1" applyFont="1" applyFill="1" applyAlignment="1">
      <alignment horizontal="center" vertical="center"/>
    </xf>
    <xf numFmtId="0" fontId="0" fillId="0" borderId="0" xfId="0" applyFill="1" applyBorder="1">
      <alignment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2" borderId="2" xfId="0" applyNumberFormat="1" applyFont="1" applyFill="1" applyBorder="1" applyAlignment="1">
      <alignment horizontal="center" vertical="center"/>
    </xf>
    <xf numFmtId="10" fontId="6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vertical="center"/>
    </xf>
    <xf numFmtId="178" fontId="10" fillId="0" borderId="4" xfId="0" applyNumberFormat="1" applyFont="1" applyFill="1" applyBorder="1" applyAlignment="1">
      <alignment horizontal="center" vertical="center" wrapText="1"/>
    </xf>
    <xf numFmtId="178" fontId="10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/>
    </xf>
    <xf numFmtId="10" fontId="6" fillId="0" borderId="3" xfId="0" applyNumberFormat="1" applyFont="1" applyFill="1" applyBorder="1" applyAlignment="1">
      <alignment horizontal="center" vertical="center" wrapText="1"/>
    </xf>
    <xf numFmtId="10" fontId="6" fillId="9" borderId="2" xfId="0" applyNumberFormat="1" applyFont="1" applyFill="1" applyBorder="1" applyAlignment="1">
      <alignment horizontal="center" vertical="center" wrapText="1"/>
    </xf>
    <xf numFmtId="10" fontId="6" fillId="9" borderId="3" xfId="0" applyNumberFormat="1" applyFont="1" applyFill="1" applyBorder="1" applyAlignment="1">
      <alignment horizontal="center" vertical="center" wrapText="1"/>
    </xf>
    <xf numFmtId="10" fontId="6" fillId="10" borderId="2" xfId="0" applyNumberFormat="1" applyFont="1" applyFill="1" applyBorder="1" applyAlignment="1">
      <alignment horizontal="center" vertical="center" wrapText="1"/>
    </xf>
    <xf numFmtId="10" fontId="10" fillId="6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77" fontId="6" fillId="2" borderId="2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3" borderId="2" xfId="0" applyFont="1" applyFill="1" applyBorder="1">
      <alignment vertical="center"/>
    </xf>
    <xf numFmtId="176" fontId="6" fillId="3" borderId="2" xfId="0" applyNumberFormat="1" applyFont="1" applyFill="1" applyBorder="1" applyAlignment="1">
      <alignment horizontal="center" vertical="center"/>
    </xf>
    <xf numFmtId="178" fontId="1" fillId="3" borderId="2" xfId="0" applyNumberFormat="1" applyFont="1" applyFill="1" applyBorder="1" applyAlignment="1">
      <alignment horizontal="center" vertical="center"/>
    </xf>
    <xf numFmtId="0" fontId="6" fillId="3" borderId="2" xfId="0" applyNumberFormat="1" applyFont="1" applyFill="1" applyBorder="1" applyAlignment="1">
      <alignment horizontal="center" vertical="center"/>
    </xf>
    <xf numFmtId="10" fontId="6" fillId="3" borderId="2" xfId="0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9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85" fontId="6" fillId="0" borderId="2" xfId="0" applyNumberFormat="1" applyFont="1" applyFill="1" applyBorder="1" applyAlignment="1">
      <alignment horizontal="center" vertical="center" wrapText="1"/>
    </xf>
    <xf numFmtId="186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>
      <alignment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2" borderId="2" xfId="0" applyNumberFormat="1" applyFont="1" applyFill="1" applyBorder="1" applyAlignment="1">
      <alignment horizontal="center" vertical="center"/>
    </xf>
    <xf numFmtId="182" fontId="6" fillId="3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1" fontId="6" fillId="3" borderId="2" xfId="0" applyNumberFormat="1" applyFont="1" applyFill="1" applyBorder="1" applyAlignment="1">
      <alignment horizontal="center" vertical="center"/>
    </xf>
    <xf numFmtId="181" fontId="6" fillId="2" borderId="2" xfId="0" applyNumberFormat="1" applyFont="1" applyFill="1" applyBorder="1" applyAlignment="1">
      <alignment horizontal="center" vertical="center"/>
    </xf>
    <xf numFmtId="181" fontId="8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87" fontId="6" fillId="0" borderId="2" xfId="0" applyNumberFormat="1" applyFont="1" applyFill="1" applyBorder="1" applyAlignment="1">
      <alignment horizontal="center" vertical="center"/>
    </xf>
    <xf numFmtId="187" fontId="6" fillId="3" borderId="2" xfId="0" applyNumberFormat="1" applyFont="1" applyFill="1" applyBorder="1" applyAlignment="1">
      <alignment horizontal="center" vertical="center"/>
    </xf>
    <xf numFmtId="187" fontId="6" fillId="2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0" fontId="6" fillId="0" borderId="5" xfId="0" applyNumberFormat="1" applyFont="1" applyFill="1" applyBorder="1" applyAlignment="1">
      <alignment horizontal="center" vertical="center" wrapText="1"/>
    </xf>
    <xf numFmtId="10" fontId="6" fillId="0" borderId="6" xfId="0" applyNumberFormat="1" applyFont="1" applyFill="1" applyBorder="1" applyAlignment="1">
      <alignment horizontal="center" vertical="center" wrapText="1"/>
    </xf>
    <xf numFmtId="179" fontId="6" fillId="0" borderId="3" xfId="0" applyNumberFormat="1" applyFont="1" applyFill="1" applyBorder="1" applyAlignment="1">
      <alignment horizontal="center" vertical="center" wrapText="1"/>
    </xf>
    <xf numFmtId="179" fontId="6" fillId="0" borderId="7" xfId="0" applyNumberFormat="1" applyFont="1" applyFill="1" applyBorder="1" applyAlignment="1">
      <alignment horizontal="center" vertical="center" wrapText="1"/>
    </xf>
    <xf numFmtId="179" fontId="6" fillId="0" borderId="4" xfId="0" applyNumberFormat="1" applyFont="1" applyFill="1" applyBorder="1" applyAlignment="1">
      <alignment horizontal="center" vertical="center" wrapText="1"/>
    </xf>
    <xf numFmtId="178" fontId="6" fillId="0" borderId="5" xfId="0" applyNumberFormat="1" applyFont="1" applyFill="1" applyBorder="1" applyAlignment="1">
      <alignment horizontal="center" vertical="center" wrapText="1"/>
    </xf>
    <xf numFmtId="178" fontId="6" fillId="0" borderId="6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178" fontId="11" fillId="0" borderId="3" xfId="0" applyNumberFormat="1" applyFont="1" applyBorder="1" applyAlignment="1">
      <alignment horizontal="center" vertical="center"/>
    </xf>
    <xf numFmtId="178" fontId="11" fillId="0" borderId="7" xfId="0" applyNumberFormat="1" applyFont="1" applyBorder="1" applyAlignment="1">
      <alignment horizontal="center" vertical="center"/>
    </xf>
    <xf numFmtId="178" fontId="11" fillId="0" borderId="4" xfId="0" applyNumberFormat="1" applyFont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/>
    </xf>
    <xf numFmtId="10" fontId="6" fillId="6" borderId="7" xfId="0" applyNumberFormat="1" applyFont="1" applyFill="1" applyBorder="1" applyAlignment="1">
      <alignment horizontal="center" vertical="center"/>
    </xf>
    <xf numFmtId="10" fontId="6" fillId="6" borderId="4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78" fontId="12" fillId="7" borderId="2" xfId="0" applyNumberFormat="1" applyFont="1" applyFill="1" applyBorder="1" applyAlignment="1">
      <alignment horizontal="center" vertical="center"/>
    </xf>
    <xf numFmtId="178" fontId="6" fillId="7" borderId="2" xfId="0" applyNumberFormat="1" applyFont="1" applyFill="1" applyBorder="1" applyAlignment="1">
      <alignment horizontal="center" vertical="top"/>
    </xf>
    <xf numFmtId="183" fontId="6" fillId="7" borderId="2" xfId="0" applyNumberFormat="1" applyFont="1" applyFill="1" applyBorder="1" applyAlignment="1">
      <alignment horizontal="center" vertical="top"/>
    </xf>
    <xf numFmtId="182" fontId="6" fillId="5" borderId="3" xfId="0" applyNumberFormat="1" applyFont="1" applyFill="1" applyBorder="1" applyAlignment="1">
      <alignment horizontal="center" vertical="center"/>
    </xf>
    <xf numFmtId="182" fontId="6" fillId="5" borderId="4" xfId="0" applyNumberFormat="1" applyFont="1" applyFill="1" applyBorder="1" applyAlignment="1">
      <alignment horizontal="center" vertical="center"/>
    </xf>
    <xf numFmtId="178" fontId="6" fillId="5" borderId="3" xfId="0" applyNumberFormat="1" applyFont="1" applyFill="1" applyBorder="1" applyAlignment="1">
      <alignment horizontal="center" vertical="center" wrapText="1"/>
    </xf>
    <xf numFmtId="178" fontId="6" fillId="5" borderId="4" xfId="0" applyNumberFormat="1" applyFont="1" applyFill="1" applyBorder="1" applyAlignment="1">
      <alignment horizontal="center" vertical="center" wrapText="1"/>
    </xf>
    <xf numFmtId="178" fontId="6" fillId="5" borderId="2" xfId="0" applyNumberFormat="1" applyFont="1" applyFill="1" applyBorder="1" applyAlignment="1">
      <alignment horizontal="center" vertical="center" wrapText="1"/>
    </xf>
    <xf numFmtId="178" fontId="6" fillId="6" borderId="2" xfId="0" applyNumberFormat="1" applyFont="1" applyFill="1" applyBorder="1" applyAlignment="1">
      <alignment horizontal="center" vertical="center" wrapText="1"/>
    </xf>
    <xf numFmtId="178" fontId="6" fillId="5" borderId="3" xfId="0" applyNumberFormat="1" applyFont="1" applyFill="1" applyBorder="1" applyAlignment="1">
      <alignment horizontal="center" vertical="center"/>
    </xf>
    <xf numFmtId="178" fontId="6" fillId="5" borderId="4" xfId="0" applyNumberFormat="1" applyFont="1" applyFill="1" applyBorder="1" applyAlignment="1">
      <alignment horizontal="center" vertical="center"/>
    </xf>
    <xf numFmtId="178" fontId="6" fillId="6" borderId="2" xfId="0" applyNumberFormat="1" applyFont="1" applyFill="1" applyBorder="1" applyAlignment="1">
      <alignment horizontal="center" vertical="center"/>
    </xf>
    <xf numFmtId="178" fontId="6" fillId="6" borderId="8" xfId="0" applyNumberFormat="1" applyFont="1" applyFill="1" applyBorder="1" applyAlignment="1">
      <alignment horizontal="center" vertical="center"/>
    </xf>
    <xf numFmtId="178" fontId="6" fillId="6" borderId="9" xfId="0" applyNumberFormat="1" applyFont="1" applyFill="1" applyBorder="1" applyAlignment="1">
      <alignment horizontal="center" vertical="center"/>
    </xf>
    <xf numFmtId="178" fontId="6" fillId="6" borderId="12" xfId="0" applyNumberFormat="1" applyFont="1" applyFill="1" applyBorder="1" applyAlignment="1">
      <alignment horizontal="center" vertical="center"/>
    </xf>
    <xf numFmtId="178" fontId="6" fillId="6" borderId="1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178" fontId="6" fillId="5" borderId="2" xfId="0" applyNumberFormat="1" applyFont="1" applyFill="1" applyBorder="1" applyAlignment="1">
      <alignment horizontal="center" vertical="center"/>
    </xf>
    <xf numFmtId="178" fontId="0" fillId="5" borderId="3" xfId="0" applyNumberFormat="1" applyFill="1" applyBorder="1" applyAlignment="1">
      <alignment horizontal="center" vertical="center"/>
    </xf>
    <xf numFmtId="178" fontId="0" fillId="5" borderId="4" xfId="0" applyNumberFormat="1" applyFill="1" applyBorder="1" applyAlignment="1">
      <alignment horizontal="center" vertical="center"/>
    </xf>
    <xf numFmtId="183" fontId="6" fillId="6" borderId="3" xfId="0" applyNumberFormat="1" applyFont="1" applyFill="1" applyBorder="1" applyAlignment="1">
      <alignment horizontal="center" vertical="center"/>
    </xf>
    <xf numFmtId="183" fontId="6" fillId="6" borderId="7" xfId="0" applyNumberFormat="1" applyFont="1" applyFill="1" applyBorder="1" applyAlignment="1">
      <alignment horizontal="center" vertical="center"/>
    </xf>
    <xf numFmtId="183" fontId="6" fillId="6" borderId="4" xfId="0" applyNumberFormat="1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178" fontId="11" fillId="0" borderId="7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9" fillId="7" borderId="2" xfId="0" applyNumberFormat="1" applyFont="1" applyFill="1" applyBorder="1" applyAlignment="1">
      <alignment horizontal="center" vertical="center"/>
    </xf>
    <xf numFmtId="182" fontId="13" fillId="5" borderId="3" xfId="0" applyNumberFormat="1" applyFont="1" applyFill="1" applyBorder="1" applyAlignment="1">
      <alignment horizontal="center" vertical="center"/>
    </xf>
    <xf numFmtId="182" fontId="13" fillId="5" borderId="4" xfId="0" applyNumberFormat="1" applyFont="1" applyFill="1" applyBorder="1" applyAlignment="1">
      <alignment horizontal="center" vertical="center"/>
    </xf>
    <xf numFmtId="182" fontId="6" fillId="5" borderId="2" xfId="0" applyNumberFormat="1" applyFont="1" applyFill="1" applyBorder="1" applyAlignment="1">
      <alignment horizontal="center" vertical="center"/>
    </xf>
    <xf numFmtId="182" fontId="6" fillId="5" borderId="3" xfId="0" applyNumberFormat="1" applyFont="1" applyFill="1" applyBorder="1" applyAlignment="1">
      <alignment horizontal="center" vertical="center" wrapText="1"/>
    </xf>
    <xf numFmtId="182" fontId="6" fillId="5" borderId="4" xfId="0" applyNumberFormat="1" applyFont="1" applyFill="1" applyBorder="1" applyAlignment="1">
      <alignment horizontal="center" vertical="center" wrapText="1"/>
    </xf>
    <xf numFmtId="182" fontId="15" fillId="5" borderId="3" xfId="0" applyNumberFormat="1" applyFont="1" applyFill="1" applyBorder="1" applyAlignment="1">
      <alignment horizontal="center" vertical="center"/>
    </xf>
    <xf numFmtId="182" fontId="15" fillId="5" borderId="4" xfId="0" applyNumberFormat="1" applyFont="1" applyFill="1" applyBorder="1" applyAlignment="1">
      <alignment horizontal="center" vertical="center"/>
    </xf>
    <xf numFmtId="184" fontId="6" fillId="7" borderId="2" xfId="0" applyNumberFormat="1" applyFont="1" applyFill="1" applyBorder="1" applyAlignment="1">
      <alignment horizontal="center" vertical="top"/>
    </xf>
    <xf numFmtId="178" fontId="6" fillId="6" borderId="3" xfId="0" applyNumberFormat="1" applyFont="1" applyFill="1" applyBorder="1" applyAlignment="1">
      <alignment horizontal="center" vertical="center"/>
    </xf>
    <xf numFmtId="178" fontId="6" fillId="6" borderId="7" xfId="0" applyNumberFormat="1" applyFont="1" applyFill="1" applyBorder="1" applyAlignment="1">
      <alignment horizontal="center" vertical="center"/>
    </xf>
    <xf numFmtId="178" fontId="6" fillId="6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178" fontId="5" fillId="6" borderId="2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8" fontId="7" fillId="0" borderId="2" xfId="0" applyNumberFormat="1" applyFont="1" applyFill="1" applyBorder="1" applyAlignment="1">
      <alignment horizontal="center" vertical="center"/>
    </xf>
    <xf numFmtId="10" fontId="6" fillId="6" borderId="2" xfId="0" applyNumberFormat="1" applyFont="1" applyFill="1" applyBorder="1" applyAlignment="1">
      <alignment horizontal="center" vertical="center"/>
    </xf>
    <xf numFmtId="10" fontId="6" fillId="5" borderId="2" xfId="0" applyNumberFormat="1" applyFont="1" applyFill="1" applyBorder="1" applyAlignment="1">
      <alignment horizontal="center" vertical="center" wrapText="1"/>
    </xf>
    <xf numFmtId="178" fontId="8" fillId="6" borderId="2" xfId="0" applyNumberFormat="1" applyFont="1" applyFill="1" applyBorder="1" applyAlignment="1">
      <alignment horizontal="center" vertical="center"/>
    </xf>
    <xf numFmtId="181" fontId="0" fillId="6" borderId="2" xfId="0" applyNumberFormat="1" applyFill="1" applyBorder="1" applyAlignment="1">
      <alignment horizontal="center" vertical="center"/>
    </xf>
    <xf numFmtId="10" fontId="6" fillId="6" borderId="3" xfId="0" applyNumberFormat="1" applyFont="1" applyFill="1" applyBorder="1" applyAlignment="1">
      <alignment horizontal="center" vertical="center" wrapText="1"/>
    </xf>
    <xf numFmtId="10" fontId="6" fillId="6" borderId="4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177" fontId="6" fillId="0" borderId="4" xfId="0" applyNumberFormat="1" applyFont="1" applyFill="1" applyBorder="1" applyAlignment="1">
      <alignment horizontal="center" vertical="center"/>
    </xf>
    <xf numFmtId="178" fontId="9" fillId="0" borderId="3" xfId="0" applyNumberFormat="1" applyFont="1" applyFill="1" applyBorder="1" applyAlignment="1">
      <alignment horizontal="center" vertical="center"/>
    </xf>
    <xf numFmtId="178" fontId="9" fillId="0" borderId="4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178" fontId="9" fillId="0" borderId="2" xfId="0" applyNumberFormat="1" applyFont="1" applyFill="1" applyBorder="1" applyAlignment="1">
      <alignment horizontal="center" vertical="center"/>
    </xf>
    <xf numFmtId="177" fontId="9" fillId="0" borderId="2" xfId="0" applyNumberFormat="1" applyFont="1" applyFill="1" applyBorder="1" applyAlignment="1">
      <alignment horizontal="center" vertical="center"/>
    </xf>
    <xf numFmtId="178" fontId="6" fillId="10" borderId="3" xfId="0" applyNumberFormat="1" applyFont="1" applyFill="1" applyBorder="1" applyAlignment="1">
      <alignment horizontal="center" vertical="top"/>
    </xf>
    <xf numFmtId="178" fontId="6" fillId="10" borderId="4" xfId="0" applyNumberFormat="1" applyFont="1" applyFill="1" applyBorder="1" applyAlignment="1">
      <alignment horizontal="center" vertical="top"/>
    </xf>
    <xf numFmtId="0" fontId="6" fillId="10" borderId="2" xfId="0" applyFont="1" applyFill="1" applyBorder="1" applyAlignment="1">
      <alignment horizontal="center" vertical="center" wrapText="1"/>
    </xf>
    <xf numFmtId="178" fontId="6" fillId="9" borderId="3" xfId="0" applyNumberFormat="1" applyFont="1" applyFill="1" applyBorder="1" applyAlignment="1">
      <alignment horizontal="center" vertical="top"/>
    </xf>
    <xf numFmtId="178" fontId="6" fillId="9" borderId="4" xfId="0" applyNumberFormat="1" applyFont="1" applyFill="1" applyBorder="1" applyAlignment="1">
      <alignment horizontal="center" vertical="top"/>
    </xf>
    <xf numFmtId="178" fontId="6" fillId="7" borderId="3" xfId="0" applyNumberFormat="1" applyFont="1" applyFill="1" applyBorder="1" applyAlignment="1">
      <alignment horizontal="center" vertical="top"/>
    </xf>
    <xf numFmtId="178" fontId="6" fillId="7" borderId="4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295275</xdr:colOff>
      <xdr:row>1</xdr:row>
      <xdr:rowOff>9526</xdr:rowOff>
    </xdr:to>
    <xdr:pic>
      <xdr:nvPicPr>
        <xdr:cNvPr id="2" name="图片 1" descr="QQ截图20140120152205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1"/>
          <a:ext cx="2952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1"/>
  <dimension ref="A1:AC454"/>
  <sheetViews>
    <sheetView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35" t="s">
        <v>25</v>
      </c>
      <c r="S5" s="249"/>
      <c r="T5" s="251"/>
      <c r="U5" s="251"/>
      <c r="V5" s="25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61" t="s">
        <v>34</v>
      </c>
      <c r="D6" s="26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61" t="s">
        <v>34</v>
      </c>
      <c r="D7" s="26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61" t="s">
        <v>34</v>
      </c>
      <c r="D8" s="26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61" t="s">
        <v>34</v>
      </c>
      <c r="D9" s="26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48" t="s">
        <v>34</v>
      </c>
      <c r="D10" s="24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48" t="s">
        <v>34</v>
      </c>
      <c r="D11" s="24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48" t="s">
        <v>34</v>
      </c>
      <c r="D12" s="24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48" t="s">
        <v>34</v>
      </c>
      <c r="D13" s="24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59" t="s">
        <v>313</v>
      </c>
      <c r="D14" s="26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59" t="s">
        <v>313</v>
      </c>
      <c r="D15" s="26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59" t="s">
        <v>44</v>
      </c>
      <c r="D16" s="26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59" t="s">
        <v>44</v>
      </c>
      <c r="D17" s="26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59" t="s">
        <v>44</v>
      </c>
      <c r="D18" s="26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48" t="s">
        <v>45</v>
      </c>
      <c r="D19" s="24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48" t="s">
        <v>46</v>
      </c>
      <c r="D20" s="24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48" t="s">
        <v>48</v>
      </c>
      <c r="D21" s="24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48" t="s">
        <v>50</v>
      </c>
      <c r="D22" s="24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48" t="s">
        <v>50</v>
      </c>
      <c r="D23" s="24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48" t="s">
        <v>50</v>
      </c>
      <c r="D24" s="24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48" t="s">
        <v>51</v>
      </c>
      <c r="D25" s="248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48" t="s">
        <v>51</v>
      </c>
      <c r="D26" s="248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48" t="s">
        <v>51</v>
      </c>
      <c r="D27" s="248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48" t="s">
        <v>51</v>
      </c>
      <c r="D28" s="248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48" t="s">
        <v>53</v>
      </c>
      <c r="D30" s="248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48" t="s">
        <v>53</v>
      </c>
      <c r="D31" s="248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48" t="s">
        <v>53</v>
      </c>
      <c r="D32" s="248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48" t="s">
        <v>56</v>
      </c>
      <c r="D33" s="248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48" t="s">
        <v>56</v>
      </c>
      <c r="D34" s="248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48" t="s">
        <v>56</v>
      </c>
      <c r="D35" s="248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48" t="s">
        <v>56</v>
      </c>
      <c r="D36" s="248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48" t="s">
        <v>58</v>
      </c>
      <c r="D37" s="248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59" t="s">
        <v>304</v>
      </c>
      <c r="D38" s="260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59" t="s">
        <v>304</v>
      </c>
      <c r="D39" s="260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59" t="s">
        <v>304</v>
      </c>
      <c r="D40" s="260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48" t="s">
        <v>61</v>
      </c>
      <c r="D41" s="248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48" t="s">
        <v>61</v>
      </c>
      <c r="D42" s="248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48" t="s">
        <v>61</v>
      </c>
      <c r="D43" s="248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48" t="s">
        <v>64</v>
      </c>
      <c r="D44" s="248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48" t="s">
        <v>64</v>
      </c>
      <c r="D45" s="248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59" t="s">
        <v>68</v>
      </c>
      <c r="D46" s="260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59" t="s">
        <v>68</v>
      </c>
      <c r="D47" s="260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59" t="s">
        <v>68</v>
      </c>
      <c r="D48" s="260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59" t="s">
        <v>68</v>
      </c>
      <c r="D49" s="260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48" t="s">
        <v>73</v>
      </c>
      <c r="D50" s="248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48" t="s">
        <v>73</v>
      </c>
      <c r="D51" s="248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48" t="s">
        <v>73</v>
      </c>
      <c r="D52" s="248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48" t="s">
        <v>73</v>
      </c>
      <c r="D53" s="248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48" t="s">
        <v>75</v>
      </c>
      <c r="D54" s="248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48" t="s">
        <v>75</v>
      </c>
      <c r="D55" s="248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48" t="s">
        <v>75</v>
      </c>
      <c r="D56" s="248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48" t="s">
        <v>77</v>
      </c>
      <c r="D58" s="248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48" t="s">
        <v>77</v>
      </c>
      <c r="D59" s="248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59" t="s">
        <v>301</v>
      </c>
      <c r="D60" s="260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59" t="s">
        <v>301</v>
      </c>
      <c r="D61" s="260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48" t="s">
        <v>81</v>
      </c>
      <c r="D62" s="248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48" t="s">
        <v>81</v>
      </c>
      <c r="D63" s="248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59" t="s">
        <v>83</v>
      </c>
      <c r="D64" s="260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59" t="s">
        <v>83</v>
      </c>
      <c r="D65" s="260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59" t="s">
        <v>83</v>
      </c>
      <c r="D66" s="260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59" t="s">
        <v>86</v>
      </c>
      <c r="D67" s="260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59" t="s">
        <v>86</v>
      </c>
      <c r="D68" s="260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59" t="s">
        <v>86</v>
      </c>
      <c r="D69" s="260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48" t="s">
        <v>88</v>
      </c>
      <c r="D70" s="248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48" t="s">
        <v>88</v>
      </c>
      <c r="D71" s="248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48" t="s">
        <v>88</v>
      </c>
      <c r="D72" s="248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48" t="s">
        <v>88</v>
      </c>
      <c r="D73" s="248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48" t="s">
        <v>316</v>
      </c>
      <c r="D75" s="248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48" t="s">
        <v>317</v>
      </c>
      <c r="D76" s="248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48" t="s">
        <v>317</v>
      </c>
      <c r="D77" s="248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48" t="s">
        <v>317</v>
      </c>
      <c r="D78" s="248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48" t="s">
        <v>98</v>
      </c>
      <c r="D79" s="248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48" t="s">
        <v>98</v>
      </c>
      <c r="D80" s="248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48" t="s">
        <v>98</v>
      </c>
      <c r="D81" s="248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48" t="s">
        <v>98</v>
      </c>
      <c r="D82" s="248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48" t="s">
        <v>100</v>
      </c>
      <c r="D84" s="248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48" t="s">
        <v>100</v>
      </c>
      <c r="D85" s="248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48" t="s">
        <v>100</v>
      </c>
      <c r="D86" s="248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48" t="s">
        <v>100</v>
      </c>
      <c r="D87" s="248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48" t="s">
        <v>106</v>
      </c>
      <c r="D88" s="248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48" t="s">
        <v>106</v>
      </c>
      <c r="D89" s="248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48" t="s">
        <v>106</v>
      </c>
      <c r="D90" s="248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48" t="s">
        <v>106</v>
      </c>
      <c r="D91" s="248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48" t="s">
        <v>107</v>
      </c>
      <c r="D92" s="248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48" t="s">
        <v>107</v>
      </c>
      <c r="D93" s="248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48" t="s">
        <v>107</v>
      </c>
      <c r="D94" s="248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48" t="s">
        <v>107</v>
      </c>
      <c r="D95" s="248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48" t="s">
        <v>107</v>
      </c>
      <c r="D96" s="248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48" t="s">
        <v>318</v>
      </c>
      <c r="D98" s="248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48" t="s">
        <v>318</v>
      </c>
      <c r="D99" s="248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48" t="s">
        <v>112</v>
      </c>
      <c r="D100" s="248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48" t="s">
        <v>112</v>
      </c>
      <c r="D101" s="248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48" t="s">
        <v>112</v>
      </c>
      <c r="D102" s="248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59" t="s">
        <v>296</v>
      </c>
      <c r="D103" s="260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59" t="s">
        <v>296</v>
      </c>
      <c r="D104" s="260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59" t="s">
        <v>296</v>
      </c>
      <c r="D105" s="260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48" t="s">
        <v>119</v>
      </c>
      <c r="D111" s="248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48" t="s">
        <v>119</v>
      </c>
      <c r="D112" s="248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48" t="s">
        <v>121</v>
      </c>
      <c r="D113" s="248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48" t="s">
        <v>121</v>
      </c>
      <c r="D114" s="248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48" t="s">
        <v>121</v>
      </c>
      <c r="D115" s="248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48" t="s">
        <v>123</v>
      </c>
      <c r="D116" s="248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48" t="s">
        <v>125</v>
      </c>
      <c r="D117" s="248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48" t="s">
        <v>123</v>
      </c>
      <c r="D118" s="248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48" t="s">
        <v>123</v>
      </c>
      <c r="D119" s="248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48" t="s">
        <v>123</v>
      </c>
      <c r="D120" s="248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48" t="s">
        <v>127</v>
      </c>
      <c r="D121" s="248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48" t="s">
        <v>127</v>
      </c>
      <c r="D122" s="248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48" t="s">
        <v>127</v>
      </c>
      <c r="D123" s="248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48" t="s">
        <v>127</v>
      </c>
      <c r="D124" s="248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48" t="s">
        <v>127</v>
      </c>
      <c r="D125" s="248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48" t="s">
        <v>128</v>
      </c>
      <c r="D126" s="248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48" t="s">
        <v>128</v>
      </c>
      <c r="D127" s="248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48" t="s">
        <v>128</v>
      </c>
      <c r="D128" s="248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48" t="s">
        <v>128</v>
      </c>
      <c r="D129" s="248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59" t="s">
        <v>129</v>
      </c>
      <c r="D130" s="260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59" t="s">
        <v>129</v>
      </c>
      <c r="D131" s="260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48" t="s">
        <v>130</v>
      </c>
      <c r="D132" s="248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48" t="s">
        <v>130</v>
      </c>
      <c r="D133" s="248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48" t="s">
        <v>130</v>
      </c>
      <c r="D134" s="248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48" t="s">
        <v>130</v>
      </c>
      <c r="D135" s="248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48" t="s">
        <v>130</v>
      </c>
      <c r="D136" s="248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48" t="s">
        <v>134</v>
      </c>
      <c r="D137" s="248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48" t="s">
        <v>134</v>
      </c>
      <c r="D138" s="248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59" t="s">
        <v>137</v>
      </c>
      <c r="D139" s="260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59" t="s">
        <v>137</v>
      </c>
      <c r="D140" s="260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48" t="s">
        <v>139</v>
      </c>
      <c r="D141" s="248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48" t="s">
        <v>141</v>
      </c>
      <c r="D142" s="248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48" t="s">
        <v>143</v>
      </c>
      <c r="D143" s="248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48" t="s">
        <v>143</v>
      </c>
      <c r="D144" s="248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48" t="s">
        <v>143</v>
      </c>
      <c r="D145" s="248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48" t="s">
        <v>145</v>
      </c>
      <c r="D146" s="248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48" t="s">
        <v>145</v>
      </c>
      <c r="D147" s="248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48" t="s">
        <v>145</v>
      </c>
      <c r="D148" s="248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59" t="s">
        <v>145</v>
      </c>
      <c r="D149" s="260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59" t="s">
        <v>153</v>
      </c>
      <c r="D157" s="260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59" t="s">
        <v>153</v>
      </c>
      <c r="D158" s="260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59" t="s">
        <v>153</v>
      </c>
      <c r="D159" s="260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59" t="s">
        <v>153</v>
      </c>
      <c r="D160" s="260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66" t="s">
        <v>154</v>
      </c>
      <c r="D161" s="26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66" t="s">
        <v>154</v>
      </c>
      <c r="D162" s="26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66" t="s">
        <v>154</v>
      </c>
      <c r="D163" s="26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66" t="s">
        <v>154</v>
      </c>
      <c r="D164" s="26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48" t="s">
        <v>156</v>
      </c>
      <c r="D168" s="248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48" t="s">
        <v>157</v>
      </c>
      <c r="D169" s="248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48" t="s">
        <v>157</v>
      </c>
      <c r="D170" s="248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48" t="s">
        <v>159</v>
      </c>
      <c r="D171" s="248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48" t="s">
        <v>159</v>
      </c>
      <c r="D172" s="248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48" t="s">
        <v>159</v>
      </c>
      <c r="D173" s="248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48" t="s">
        <v>159</v>
      </c>
      <c r="D174" s="248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48" t="s">
        <v>161</v>
      </c>
      <c r="D175" s="248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48" t="s">
        <v>161</v>
      </c>
      <c r="D176" s="248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48" t="s">
        <v>162</v>
      </c>
      <c r="D177" s="248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48" t="s">
        <v>162</v>
      </c>
      <c r="D178" s="248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48" t="s">
        <v>162</v>
      </c>
      <c r="D179" s="248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48" t="s">
        <v>162</v>
      </c>
      <c r="D180" s="248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48" t="s">
        <v>165</v>
      </c>
      <c r="D181" s="248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48" t="s">
        <v>165</v>
      </c>
      <c r="D182" s="248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48" t="s">
        <v>165</v>
      </c>
      <c r="D183" s="248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48" t="s">
        <v>165</v>
      </c>
      <c r="D184" s="248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48" t="s">
        <v>165</v>
      </c>
      <c r="D185" s="248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48" t="s">
        <v>165</v>
      </c>
      <c r="D186" s="248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59" t="s">
        <v>168</v>
      </c>
      <c r="D187" s="260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59" t="s">
        <v>168</v>
      </c>
      <c r="D188" s="260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59" t="s">
        <v>168</v>
      </c>
      <c r="D189" s="260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59" t="s">
        <v>168</v>
      </c>
      <c r="D190" s="260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48" t="s">
        <v>312</v>
      </c>
      <c r="D191" s="248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48" t="s">
        <v>312</v>
      </c>
      <c r="D192" s="248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48" t="s">
        <v>312</v>
      </c>
      <c r="D193" s="248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48" t="s">
        <v>312</v>
      </c>
      <c r="D194" s="248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59" t="s">
        <v>172</v>
      </c>
      <c r="D195" s="260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59" t="s">
        <v>172</v>
      </c>
      <c r="D196" s="260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59" t="s">
        <v>172</v>
      </c>
      <c r="D197" s="260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59" t="s">
        <v>172</v>
      </c>
      <c r="D198" s="260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44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44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44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35" t="s">
        <v>25</v>
      </c>
      <c r="S214" s="249"/>
      <c r="T214" s="251"/>
      <c r="U214" s="251"/>
      <c r="V214" s="25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61" t="s">
        <v>34</v>
      </c>
      <c r="D215" s="26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14" t="s">
        <v>34</v>
      </c>
      <c r="D216" s="31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14" t="s">
        <v>34</v>
      </c>
      <c r="D217" s="31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14" t="s">
        <v>34</v>
      </c>
      <c r="D218" s="31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14" t="s">
        <v>34</v>
      </c>
      <c r="D219" s="31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14" t="s">
        <v>34</v>
      </c>
      <c r="D220" s="31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14" t="s">
        <v>34</v>
      </c>
      <c r="D221" s="31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14" t="s">
        <v>34</v>
      </c>
      <c r="D222" s="31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59" t="s">
        <v>313</v>
      </c>
      <c r="D223" s="26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59" t="s">
        <v>313</v>
      </c>
      <c r="D224" s="26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59" t="s">
        <v>44</v>
      </c>
      <c r="D225" s="26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59" t="s">
        <v>44</v>
      </c>
      <c r="D226" s="26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59" t="s">
        <v>44</v>
      </c>
      <c r="D227" s="26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48" t="s">
        <v>45</v>
      </c>
      <c r="D228" s="24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48" t="s">
        <v>46</v>
      </c>
      <c r="D229" s="24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48" t="s">
        <v>48</v>
      </c>
      <c r="D230" s="24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48" t="s">
        <v>50</v>
      </c>
      <c r="D231" s="24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48" t="s">
        <v>50</v>
      </c>
      <c r="D232" s="24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48" t="s">
        <v>50</v>
      </c>
      <c r="D233" s="24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48" t="s">
        <v>51</v>
      </c>
      <c r="D234" s="24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48" t="s">
        <v>51</v>
      </c>
      <c r="D235" s="248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48" t="s">
        <v>51</v>
      </c>
      <c r="D236" s="248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48" t="s">
        <v>51</v>
      </c>
      <c r="D237" s="24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48" t="s">
        <v>53</v>
      </c>
      <c r="D239" s="24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48" t="s">
        <v>53</v>
      </c>
      <c r="D240" s="24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48" t="s">
        <v>53</v>
      </c>
      <c r="D241" s="24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48" t="s">
        <v>56</v>
      </c>
      <c r="D242" s="24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48" t="s">
        <v>56</v>
      </c>
      <c r="D243" s="24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48" t="s">
        <v>56</v>
      </c>
      <c r="D244" s="24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48" t="s">
        <v>56</v>
      </c>
      <c r="D245" s="24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48" t="s">
        <v>58</v>
      </c>
      <c r="D246" s="248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59" t="s">
        <v>304</v>
      </c>
      <c r="D247" s="26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59" t="s">
        <v>304</v>
      </c>
      <c r="D248" s="26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59" t="s">
        <v>304</v>
      </c>
      <c r="D249" s="26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48" t="s">
        <v>61</v>
      </c>
      <c r="D250" s="24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48" t="s">
        <v>61</v>
      </c>
      <c r="D251" s="24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48" t="s">
        <v>61</v>
      </c>
      <c r="D252" s="24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48" t="s">
        <v>64</v>
      </c>
      <c r="D253" s="24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48" t="s">
        <v>64</v>
      </c>
      <c r="D254" s="24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59" t="s">
        <v>68</v>
      </c>
      <c r="D255" s="26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59" t="s">
        <v>68</v>
      </c>
      <c r="D256" s="26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59" t="s">
        <v>68</v>
      </c>
      <c r="D257" s="26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59" t="s">
        <v>68</v>
      </c>
      <c r="D258" s="26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48" t="s">
        <v>73</v>
      </c>
      <c r="D259" s="24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48" t="s">
        <v>73</v>
      </c>
      <c r="D260" s="24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48" t="s">
        <v>73</v>
      </c>
      <c r="D261" s="24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48" t="s">
        <v>73</v>
      </c>
      <c r="D262" s="24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48" t="s">
        <v>75</v>
      </c>
      <c r="D263" s="24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48" t="s">
        <v>75</v>
      </c>
      <c r="D264" s="24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48" t="s">
        <v>75</v>
      </c>
      <c r="D265" s="24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48" t="s">
        <v>77</v>
      </c>
      <c r="D267" s="248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48" t="s">
        <v>77</v>
      </c>
      <c r="D268" s="24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59" t="s">
        <v>301</v>
      </c>
      <c r="D269" s="26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59" t="s">
        <v>301</v>
      </c>
      <c r="D270" s="26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48" t="s">
        <v>81</v>
      </c>
      <c r="D271" s="24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48" t="s">
        <v>81</v>
      </c>
      <c r="D272" s="24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59" t="s">
        <v>83</v>
      </c>
      <c r="D273" s="26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59" t="s">
        <v>83</v>
      </c>
      <c r="D274" s="26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59" t="s">
        <v>83</v>
      </c>
      <c r="D275" s="26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59" t="s">
        <v>86</v>
      </c>
      <c r="D276" s="26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59" t="s">
        <v>86</v>
      </c>
      <c r="D277" s="26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59" t="s">
        <v>86</v>
      </c>
      <c r="D278" s="26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48" t="s">
        <v>88</v>
      </c>
      <c r="D279" s="24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48" t="s">
        <v>88</v>
      </c>
      <c r="D280" s="24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48" t="s">
        <v>88</v>
      </c>
      <c r="D281" s="24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48" t="s">
        <v>88</v>
      </c>
      <c r="D282" s="24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59" t="s">
        <v>90</v>
      </c>
      <c r="D283" s="260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48" t="s">
        <v>91</v>
      </c>
      <c r="D284" s="24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48" t="s">
        <v>93</v>
      </c>
      <c r="D285" s="248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48" t="s">
        <v>95</v>
      </c>
      <c r="D286" s="248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48" t="s">
        <v>93</v>
      </c>
      <c r="D287" s="248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48" t="s">
        <v>98</v>
      </c>
      <c r="D288" s="24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48" t="s">
        <v>98</v>
      </c>
      <c r="D289" s="24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48" t="s">
        <v>98</v>
      </c>
      <c r="D290" s="24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48" t="s">
        <v>98</v>
      </c>
      <c r="D291" s="24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48" t="s">
        <v>100</v>
      </c>
      <c r="D293" s="24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48" t="s">
        <v>100</v>
      </c>
      <c r="D294" s="24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48" t="s">
        <v>100</v>
      </c>
      <c r="D295" s="24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48" t="s">
        <v>100</v>
      </c>
      <c r="D296" s="24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48" t="s">
        <v>106</v>
      </c>
      <c r="D297" s="24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48" t="s">
        <v>106</v>
      </c>
      <c r="D298" s="24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48" t="s">
        <v>106</v>
      </c>
      <c r="D299" s="24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48" t="s">
        <v>106</v>
      </c>
      <c r="D300" s="24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48" t="s">
        <v>107</v>
      </c>
      <c r="D301" s="24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48" t="s">
        <v>107</v>
      </c>
      <c r="D302" s="24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48" t="s">
        <v>107</v>
      </c>
      <c r="D303" s="24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48" t="s">
        <v>107</v>
      </c>
      <c r="D304" s="24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48" t="s">
        <v>107</v>
      </c>
      <c r="D305" s="24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59" t="s">
        <v>109</v>
      </c>
      <c r="D306" s="26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48" t="s">
        <v>110</v>
      </c>
      <c r="D307" s="248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48" t="s">
        <v>110</v>
      </c>
      <c r="D308" s="248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48" t="s">
        <v>112</v>
      </c>
      <c r="D309" s="248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48" t="s">
        <v>112</v>
      </c>
      <c r="D310" s="248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48" t="s">
        <v>112</v>
      </c>
      <c r="D311" s="24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59" t="s">
        <v>296</v>
      </c>
      <c r="D312" s="26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59" t="s">
        <v>296</v>
      </c>
      <c r="D313" s="26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59" t="s">
        <v>296</v>
      </c>
      <c r="D314" s="26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59" t="s">
        <v>114</v>
      </c>
      <c r="D315" s="26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59" t="s">
        <v>114</v>
      </c>
      <c r="D316" s="26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48" t="s">
        <v>119</v>
      </c>
      <c r="D320" s="248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48" t="s">
        <v>119</v>
      </c>
      <c r="D321" s="248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61" t="s">
        <v>121</v>
      </c>
      <c r="D322" s="261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61" t="s">
        <v>121</v>
      </c>
      <c r="D323" s="261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61" t="s">
        <v>121</v>
      </c>
      <c r="D324" s="261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48" t="s">
        <v>123</v>
      </c>
      <c r="D325" s="248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48" t="s">
        <v>125</v>
      </c>
      <c r="D326" s="248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48" t="s">
        <v>123</v>
      </c>
      <c r="D327" s="248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48" t="s">
        <v>123</v>
      </c>
      <c r="D328" s="248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48" t="s">
        <v>123</v>
      </c>
      <c r="D329" s="248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48" t="s">
        <v>127</v>
      </c>
      <c r="D330" s="248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48" t="s">
        <v>127</v>
      </c>
      <c r="D331" s="248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48" t="s">
        <v>127</v>
      </c>
      <c r="D332" s="248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48" t="s">
        <v>127</v>
      </c>
      <c r="D333" s="248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48" t="s">
        <v>127</v>
      </c>
      <c r="D334" s="248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48" t="s">
        <v>128</v>
      </c>
      <c r="D335" s="248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48" t="s">
        <v>128</v>
      </c>
      <c r="D336" s="248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48" t="s">
        <v>128</v>
      </c>
      <c r="D337" s="248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48" t="s">
        <v>128</v>
      </c>
      <c r="D338" s="248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59" t="s">
        <v>129</v>
      </c>
      <c r="D339" s="260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59" t="s">
        <v>129</v>
      </c>
      <c r="D340" s="260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48" t="s">
        <v>130</v>
      </c>
      <c r="D341" s="248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48" t="s">
        <v>130</v>
      </c>
      <c r="D342" s="248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48" t="s">
        <v>130</v>
      </c>
      <c r="D343" s="248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48" t="s">
        <v>130</v>
      </c>
      <c r="D344" s="248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48" t="s">
        <v>130</v>
      </c>
      <c r="D345" s="248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48" t="s">
        <v>134</v>
      </c>
      <c r="D346" s="248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48" t="s">
        <v>134</v>
      </c>
      <c r="D347" s="248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59" t="s">
        <v>137</v>
      </c>
      <c r="D348" s="260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59" t="s">
        <v>137</v>
      </c>
      <c r="D349" s="260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48" t="s">
        <v>139</v>
      </c>
      <c r="D350" s="248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48" t="s">
        <v>141</v>
      </c>
      <c r="D351" s="248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48" t="s">
        <v>143</v>
      </c>
      <c r="D352" s="248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48" t="s">
        <v>143</v>
      </c>
      <c r="D353" s="248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48" t="s">
        <v>143</v>
      </c>
      <c r="D354" s="248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48" t="s">
        <v>145</v>
      </c>
      <c r="D355" s="248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48" t="s">
        <v>145</v>
      </c>
      <c r="D356" s="248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48" t="s">
        <v>145</v>
      </c>
      <c r="D357" s="248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48" t="s">
        <v>145</v>
      </c>
      <c r="D358" s="248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59" t="s">
        <v>148</v>
      </c>
      <c r="D359" s="260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59" t="s">
        <v>148</v>
      </c>
      <c r="D360" s="260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59" t="s">
        <v>148</v>
      </c>
      <c r="D361" s="260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59" t="s">
        <v>150</v>
      </c>
      <c r="D362" s="260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59" t="s">
        <v>150</v>
      </c>
      <c r="D363" s="260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59" t="s">
        <v>150</v>
      </c>
      <c r="D364" s="260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59" t="s">
        <v>150</v>
      </c>
      <c r="D365" s="260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59" t="s">
        <v>153</v>
      </c>
      <c r="D366" s="260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59" t="s">
        <v>153</v>
      </c>
      <c r="D367" s="260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59" t="s">
        <v>153</v>
      </c>
      <c r="D368" s="260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59" t="s">
        <v>153</v>
      </c>
      <c r="D369" s="260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66" t="s">
        <v>154</v>
      </c>
      <c r="D370" s="26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66" t="s">
        <v>154</v>
      </c>
      <c r="D371" s="26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66" t="s">
        <v>154</v>
      </c>
      <c r="D372" s="26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66" t="s">
        <v>154</v>
      </c>
      <c r="D373" s="26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66" t="s">
        <v>155</v>
      </c>
      <c r="D374" s="26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66" t="s">
        <v>155</v>
      </c>
      <c r="D375" s="26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66" t="s">
        <v>155</v>
      </c>
      <c r="D376" s="26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48" t="s">
        <v>156</v>
      </c>
      <c r="D377" s="248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48" t="s">
        <v>157</v>
      </c>
      <c r="D378" s="248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48" t="s">
        <v>157</v>
      </c>
      <c r="D379" s="248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48" t="s">
        <v>159</v>
      </c>
      <c r="D380" s="248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48" t="s">
        <v>159</v>
      </c>
      <c r="D381" s="248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48" t="s">
        <v>159</v>
      </c>
      <c r="D382" s="248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48" t="s">
        <v>159</v>
      </c>
      <c r="D383" s="248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48" t="s">
        <v>161</v>
      </c>
      <c r="D384" s="248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48" t="s">
        <v>161</v>
      </c>
      <c r="D385" s="248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48" t="s">
        <v>162</v>
      </c>
      <c r="D386" s="248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48" t="s">
        <v>162</v>
      </c>
      <c r="D387" s="248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48" t="s">
        <v>162</v>
      </c>
      <c r="D388" s="248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48" t="s">
        <v>162</v>
      </c>
      <c r="D389" s="248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48" t="s">
        <v>165</v>
      </c>
      <c r="D390" s="248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48" t="s">
        <v>165</v>
      </c>
      <c r="D391" s="248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48" t="s">
        <v>165</v>
      </c>
      <c r="D392" s="248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48" t="s">
        <v>165</v>
      </c>
      <c r="D393" s="248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48" t="s">
        <v>165</v>
      </c>
      <c r="D394" s="248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48" t="s">
        <v>165</v>
      </c>
      <c r="D395" s="248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62" t="s">
        <v>168</v>
      </c>
      <c r="D396" s="263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62" t="s">
        <v>168</v>
      </c>
      <c r="D397" s="263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59" t="s">
        <v>168</v>
      </c>
      <c r="D398" s="260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59" t="s">
        <v>168</v>
      </c>
      <c r="D399" s="260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48" t="s">
        <v>312</v>
      </c>
      <c r="D400" s="24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48" t="s">
        <v>312</v>
      </c>
      <c r="D401" s="24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48" t="s">
        <v>312</v>
      </c>
      <c r="D402" s="24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48" t="s">
        <v>312</v>
      </c>
      <c r="D403" s="24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59" t="s">
        <v>172</v>
      </c>
      <c r="D404" s="26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59" t="s">
        <v>172</v>
      </c>
      <c r="D405" s="26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59" t="s">
        <v>172</v>
      </c>
      <c r="D406" s="26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59" t="s">
        <v>172</v>
      </c>
      <c r="D407" s="26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44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44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44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13" topLeftCell="L408" activePane="bottomRight" state="frozen"/>
      <selection pane="topRight" activeCell="F1" sqref="F1"/>
      <selection pane="bottomLeft" activeCell="A14" sqref="A14"/>
      <selection pane="bottomRight" activeCell="Q418" sqref="Q418:R418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3" max="24" width="10.5" bestFit="1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59" t="s">
        <v>313</v>
      </c>
      <c r="D14" s="260"/>
      <c r="E14" s="166" t="s">
        <v>314</v>
      </c>
      <c r="F14" s="13"/>
      <c r="G14" s="133">
        <v>8</v>
      </c>
      <c r="H14" s="133"/>
      <c r="I14" s="133">
        <f>8-J14/200</f>
        <v>7.6</v>
      </c>
      <c r="J14" s="133">
        <v>80</v>
      </c>
      <c r="K14" s="164">
        <f t="shared" si="0"/>
        <v>1707.2</v>
      </c>
      <c r="L14" s="164">
        <f t="shared" si="1"/>
        <v>1621.84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30.974789915966383</v>
      </c>
      <c r="Q14" s="164">
        <v>8.5</v>
      </c>
      <c r="R14" s="19">
        <f t="shared" si="3"/>
        <v>17</v>
      </c>
      <c r="S14" s="164">
        <f t="shared" si="4"/>
        <v>-13.974789915966383</v>
      </c>
      <c r="T14" s="20">
        <v>3</v>
      </c>
      <c r="U14" s="20">
        <v>2</v>
      </c>
      <c r="V14" s="188">
        <f t="array" ref="V14">IF(ISERROR(L14/K14),"",L14/K14)</f>
        <v>0.95</v>
      </c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48" t="s">
        <v>81</v>
      </c>
      <c r="D63" s="248" t="s">
        <v>82</v>
      </c>
      <c r="E63" s="166" t="s">
        <v>54</v>
      </c>
      <c r="F63" s="13"/>
      <c r="G63" s="133">
        <v>5</v>
      </c>
      <c r="H63" s="133"/>
      <c r="I63" s="133">
        <f>5-J63/500</f>
        <v>4.84</v>
      </c>
      <c r="J63" s="133">
        <v>80</v>
      </c>
      <c r="K63" s="164">
        <f t="shared" si="0"/>
        <v>2945.5</v>
      </c>
      <c r="L63" s="164">
        <f t="shared" si="1"/>
        <v>2851.2440000000001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16.343253467843631</v>
      </c>
      <c r="Q63" s="164">
        <v>8</v>
      </c>
      <c r="R63" s="19">
        <f t="shared" si="3"/>
        <v>64</v>
      </c>
      <c r="S63" s="164">
        <f t="shared" si="4"/>
        <v>47.656746532156369</v>
      </c>
      <c r="T63" s="20">
        <v>3</v>
      </c>
      <c r="U63" s="20">
        <v>8</v>
      </c>
      <c r="V63" s="161">
        <f t="array" ref="V63">IF(ISERROR(L63/K63),"",L63/K63)</f>
        <v>0.96800000000000008</v>
      </c>
      <c r="W63" s="20"/>
      <c r="X63" s="192">
        <f>70/60*4</f>
        <v>4.666666666666667</v>
      </c>
      <c r="Y63" s="20"/>
      <c r="Z63" s="20"/>
      <c r="AA63" s="20">
        <v>2</v>
      </c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19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19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19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19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19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19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19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19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19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19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193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19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19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19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19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19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19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192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>
        <v>5002</v>
      </c>
      <c r="C82" s="248" t="s">
        <v>98</v>
      </c>
      <c r="D82" s="248" t="s">
        <v>99</v>
      </c>
      <c r="E82" s="166" t="s">
        <v>41</v>
      </c>
      <c r="F82" s="13"/>
      <c r="G82" s="133">
        <v>7</v>
      </c>
      <c r="H82" s="133"/>
      <c r="I82" s="133">
        <f>7-J82/400</f>
        <v>6.75</v>
      </c>
      <c r="J82" s="133">
        <v>100</v>
      </c>
      <c r="K82" s="164">
        <f t="shared" si="7"/>
        <v>3071.6</v>
      </c>
      <c r="L82" s="164">
        <f t="shared" si="8"/>
        <v>2961.9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32.910000000000004</v>
      </c>
      <c r="Q82" s="164">
        <v>8</v>
      </c>
      <c r="R82" s="19">
        <f t="shared" si="10"/>
        <v>40</v>
      </c>
      <c r="S82" s="164">
        <f t="shared" si="11"/>
        <v>7.0899999999999963</v>
      </c>
      <c r="T82" s="20">
        <v>4</v>
      </c>
      <c r="U82" s="20">
        <v>5</v>
      </c>
      <c r="V82" s="161">
        <f t="array" ref="V82">IF(ISERROR(L82/K82),"",L82/K82)</f>
        <v>0.9642857142857143</v>
      </c>
      <c r="W82" s="20"/>
      <c r="X82" s="192"/>
      <c r="Y82" s="20"/>
      <c r="Z82" s="20"/>
      <c r="AA82" s="20">
        <v>2</v>
      </c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94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19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19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19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19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19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19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19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19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19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19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19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19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19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193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192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19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19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19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19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19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19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19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193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193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193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193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193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48" t="s">
        <v>119</v>
      </c>
      <c r="D111" s="248" t="s">
        <v>120</v>
      </c>
      <c r="E111" s="166" t="s">
        <v>54</v>
      </c>
      <c r="F111" s="13"/>
      <c r="G111" s="133">
        <v>8</v>
      </c>
      <c r="H111" s="133"/>
      <c r="I111" s="133">
        <f>8-J111/200</f>
        <v>7.75</v>
      </c>
      <c r="J111" s="133">
        <v>50</v>
      </c>
      <c r="K111" s="164">
        <f t="shared" si="7"/>
        <v>2326.4</v>
      </c>
      <c r="L111" s="164">
        <f t="shared" si="8"/>
        <v>2253.7000000000003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24.625218531468533</v>
      </c>
      <c r="Q111" s="164">
        <v>8</v>
      </c>
      <c r="R111" s="19">
        <f t="shared" si="10"/>
        <v>16</v>
      </c>
      <c r="S111" s="164">
        <f t="shared" si="11"/>
        <v>-8.6252185314685335</v>
      </c>
      <c r="T111" s="20">
        <v>3</v>
      </c>
      <c r="U111" s="20">
        <v>2</v>
      </c>
      <c r="V111" s="161">
        <f t="array" ref="V111">IF(ISERROR(L111/K111),"",L111/K111)</f>
        <v>0.96875000000000011</v>
      </c>
      <c r="W111" s="191">
        <f>20/60*2</f>
        <v>0.66666666666666663</v>
      </c>
      <c r="X111" s="192">
        <f>30/60*2</f>
        <v>1</v>
      </c>
      <c r="Y111" s="20"/>
      <c r="Z111" s="20"/>
      <c r="AA111" s="20">
        <v>2</v>
      </c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>
        <v>6503</v>
      </c>
      <c r="C138" s="248" t="s">
        <v>134</v>
      </c>
      <c r="D138" s="248" t="s">
        <v>131</v>
      </c>
      <c r="E138" s="166" t="s">
        <v>80</v>
      </c>
      <c r="F138" s="27"/>
      <c r="G138" s="133">
        <v>3</v>
      </c>
      <c r="H138" s="133"/>
      <c r="I138" s="133">
        <f>3-J138/300</f>
        <v>2.8333333333333335</v>
      </c>
      <c r="J138" s="133">
        <v>50</v>
      </c>
      <c r="K138" s="164">
        <f t="shared" si="7"/>
        <v>1140.3000000000002</v>
      </c>
      <c r="L138" s="164">
        <f t="shared" si="8"/>
        <v>1076.95</v>
      </c>
      <c r="M138" s="164">
        <v>380.1</v>
      </c>
      <c r="N138" s="164">
        <f>+M138*1000/(104.2*4*16*60)*T138</f>
        <v>4.7497300863723604</v>
      </c>
      <c r="O138" s="164">
        <v>0.5</v>
      </c>
      <c r="P138" s="164">
        <f t="shared" si="9"/>
        <v>15.457568578055021</v>
      </c>
      <c r="Q138" s="164">
        <v>3</v>
      </c>
      <c r="R138" s="19">
        <f t="shared" si="10"/>
        <v>12</v>
      </c>
      <c r="S138" s="164">
        <f t="shared" si="11"/>
        <v>-3.4575685780550209</v>
      </c>
      <c r="T138" s="20">
        <v>5</v>
      </c>
      <c r="U138" s="20">
        <v>4</v>
      </c>
      <c r="V138" s="161">
        <f t="array" ref="V138">IF(ISERROR(L138/K138),"",L138/K138)</f>
        <v>0.94444444444444431</v>
      </c>
      <c r="W138" s="20"/>
      <c r="X138" s="20"/>
      <c r="Y138" s="20"/>
      <c r="Z138" s="20"/>
      <c r="AA138" s="20">
        <v>2</v>
      </c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59" t="s">
        <v>137</v>
      </c>
      <c r="D139" s="260"/>
      <c r="E139" s="166" t="s">
        <v>57</v>
      </c>
      <c r="F139" s="27"/>
      <c r="G139" s="133">
        <v>3</v>
      </c>
      <c r="H139" s="133"/>
      <c r="I139" s="133">
        <v>3</v>
      </c>
      <c r="J139" s="133"/>
      <c r="K139" s="164">
        <f t="shared" si="7"/>
        <v>1056.8700000000001</v>
      </c>
      <c r="L139" s="164">
        <f t="shared" si="8"/>
        <v>1056.8700000000001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13.206648872360844</v>
      </c>
      <c r="Q139" s="164">
        <v>4</v>
      </c>
      <c r="R139" s="19">
        <f t="shared" si="10"/>
        <v>16</v>
      </c>
      <c r="S139" s="164">
        <f t="shared" si="11"/>
        <v>2.7933511276391556</v>
      </c>
      <c r="T139" s="20">
        <v>5</v>
      </c>
      <c r="U139" s="20">
        <v>4</v>
      </c>
      <c r="V139" s="161">
        <f t="array" ref="V139">IF(ISERROR(L139/K139),"",L139/K139)</f>
        <v>1</v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>
        <v>6503</v>
      </c>
      <c r="C140" s="259" t="s">
        <v>137</v>
      </c>
      <c r="D140" s="260"/>
      <c r="E140" s="166" t="s">
        <v>117</v>
      </c>
      <c r="F140" s="27"/>
      <c r="G140" s="133">
        <v>3</v>
      </c>
      <c r="H140" s="133"/>
      <c r="I140" s="133">
        <v>3</v>
      </c>
      <c r="J140" s="133"/>
      <c r="K140" s="164">
        <f t="shared" si="7"/>
        <v>1056.8700000000001</v>
      </c>
      <c r="L140" s="164">
        <f t="shared" si="8"/>
        <v>1056.8700000000001</v>
      </c>
      <c r="M140" s="164">
        <v>352.29</v>
      </c>
      <c r="N140" s="164">
        <f>+M140*1000/(104.2*4*16*60)*T140</f>
        <v>4.4022162907869484</v>
      </c>
      <c r="O140" s="164">
        <v>0.5</v>
      </c>
      <c r="P140" s="164">
        <f t="shared" si="9"/>
        <v>15.206648872360844</v>
      </c>
      <c r="Q140" s="164">
        <v>4</v>
      </c>
      <c r="R140" s="19">
        <f t="shared" si="10"/>
        <v>16</v>
      </c>
      <c r="S140" s="164">
        <f t="shared" si="11"/>
        <v>0.79335112763915561</v>
      </c>
      <c r="T140" s="20">
        <v>5</v>
      </c>
      <c r="U140" s="20">
        <v>4</v>
      </c>
      <c r="V140" s="161">
        <f t="array" ref="V140">IF(ISERROR(L140/K140),"",L140/K140)</f>
        <v>1</v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37</v>
      </c>
      <c r="H199" s="164">
        <f t="array" ref="H199">SUM(IF(ISERROR(H6:H198),“”,H6:H198))</f>
        <v>0</v>
      </c>
      <c r="I199" s="164">
        <f t="array" ref="I199">SUM(IF(ISERROR(I6:I198),“”,I6:I198))</f>
        <v>35.773333333333326</v>
      </c>
      <c r="J199" s="164">
        <f t="array" ref="J199">SUM(IF(ISERROR(J6:J198),“”,J6:J198))</f>
        <v>360</v>
      </c>
      <c r="K199" s="164">
        <f t="array" ref="K199">SUM(IF(ISERROR(K6:K198),“”,K6:K198))</f>
        <v>13304.740000000002</v>
      </c>
      <c r="L199" s="56">
        <f>SUM(L6:L198)</f>
        <v>12879.374000000003</v>
      </c>
      <c r="M199" s="164"/>
      <c r="N199" s="164"/>
      <c r="O199" s="164">
        <f>SUM(O6:O190)</f>
        <v>1</v>
      </c>
      <c r="P199" s="56">
        <f>SUM((P6:P190),(W204:X209))</f>
        <v>236.72412823805524</v>
      </c>
      <c r="Q199" s="164"/>
      <c r="R199" s="56">
        <f>SUM((R6:R190),(Y204:Z209))</f>
        <v>341</v>
      </c>
      <c r="S199" s="164">
        <f t="array" ref="S199">SUM(IF(ISERROR(S6:S198),“”,S6:S198))</f>
        <v>32.275871761944742</v>
      </c>
      <c r="T199" s="164"/>
      <c r="U199" s="164"/>
      <c r="V199" s="161">
        <f>IF(ISERROR(L199/K199),"",L199/K199)</f>
        <v>0.96802898816512029</v>
      </c>
      <c r="W199" s="164">
        <f t="array" ref="W199">SUM(IF(ISERROR(W6:W198),“”,W6:W198))</f>
        <v>0.66666666666666663</v>
      </c>
      <c r="X199" s="164">
        <f t="array" ref="X199">SUM(IF(ISERROR(X6:X198),“”,X6:X198))</f>
        <v>5.666666666666667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10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0.69420565465705353</v>
      </c>
      <c r="P200" s="274"/>
      <c r="Q200" s="274"/>
      <c r="R200" s="275"/>
      <c r="S200" s="44"/>
      <c r="T200" s="45"/>
      <c r="U200" s="45"/>
      <c r="V200" s="45"/>
      <c r="W200" s="276">
        <f>SUM(W199:AC199)</f>
        <v>16.333333333333336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110.5</v>
      </c>
      <c r="F202" s="279"/>
      <c r="G202" s="279">
        <v>110.5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2033.7</v>
      </c>
      <c r="F203" s="279"/>
      <c r="G203" s="279">
        <v>2484.6999999999998</v>
      </c>
      <c r="H203" s="279"/>
      <c r="I203" s="279">
        <f>G203-E203</f>
        <v>450.99999999999977</v>
      </c>
      <c r="J203" s="279"/>
      <c r="K203" s="281">
        <f t="array" ref="K203">IF(ISERROR(I203/E203),"",I203/E203)</f>
        <v>0.22176328858730382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18</v>
      </c>
      <c r="T203" s="284"/>
      <c r="U203" s="284">
        <v>21</v>
      </c>
      <c r="V203" s="284"/>
      <c r="W203" s="283">
        <f>S203*8</f>
        <v>144</v>
      </c>
      <c r="X203" s="283"/>
      <c r="Y203" s="283">
        <f>U203*8</f>
        <v>168</v>
      </c>
      <c r="Z203" s="283"/>
      <c r="AA203" s="283">
        <f t="shared" ref="AA203:AA210" si="28">Y203-W203</f>
        <v>24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1917</v>
      </c>
      <c r="F204" s="279"/>
      <c r="G204" s="279">
        <v>1917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4</v>
      </c>
      <c r="T204" s="284"/>
      <c r="U204" s="284">
        <v>7</v>
      </c>
      <c r="V204" s="284"/>
      <c r="W204" s="283">
        <f t="shared" ref="W204:W210" si="29">S204*8</f>
        <v>32</v>
      </c>
      <c r="X204" s="283"/>
      <c r="Y204" s="283">
        <f t="shared" ref="Y204:Y210" si="30">U204*8</f>
        <v>56</v>
      </c>
      <c r="Z204" s="283"/>
      <c r="AA204" s="283">
        <f t="shared" si="28"/>
        <v>24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9"/>
        <v>6</v>
      </c>
      <c r="X205" s="283"/>
      <c r="Y205" s="283">
        <f t="shared" si="30"/>
        <v>0</v>
      </c>
      <c r="Z205" s="283"/>
      <c r="AA205" s="283">
        <f t="shared" si="28"/>
        <v>-6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149579</v>
      </c>
      <c r="H206" s="286"/>
      <c r="I206" s="285">
        <v>149482</v>
      </c>
      <c r="J206" s="286"/>
      <c r="K206" s="289">
        <f>G206-I206</f>
        <v>97</v>
      </c>
      <c r="L206" s="289"/>
      <c r="M206" s="290">
        <f t="array" ref="M206">IF(ISERROR(K206/L199),"",K206/(L199/1000))</f>
        <v>7.5314219464393197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1</v>
      </c>
      <c r="V206" s="284"/>
      <c r="W206" s="283">
        <f t="shared" si="29"/>
        <v>6</v>
      </c>
      <c r="X206" s="283"/>
      <c r="Y206" s="283">
        <f t="shared" si="30"/>
        <v>8</v>
      </c>
      <c r="Z206" s="283"/>
      <c r="AA206" s="283">
        <f t="shared" si="28"/>
        <v>2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28578.9*120+44879.9*60</f>
        <v>6122262</v>
      </c>
      <c r="H207" s="286"/>
      <c r="I207" s="285">
        <f>28572.4*120+44873.3*60</f>
        <v>6121086</v>
      </c>
      <c r="J207" s="286"/>
      <c r="K207" s="289">
        <f>G207-I207</f>
        <v>1176</v>
      </c>
      <c r="L207" s="289"/>
      <c r="M207" s="290">
        <f t="array" ref="M207">IF(ISERROR(K207/L199),"",K207/(L199/1000))</f>
        <v>91.308785659924126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9"/>
        <v>12</v>
      </c>
      <c r="X207" s="283"/>
      <c r="Y207" s="283">
        <f t="shared" si="30"/>
        <v>8</v>
      </c>
      <c r="Z207" s="283"/>
      <c r="AA207" s="283">
        <f t="shared" si="28"/>
        <v>-4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+I208+19</f>
        <v>26851</v>
      </c>
      <c r="H208" s="286"/>
      <c r="I208" s="285">
        <v>26832</v>
      </c>
      <c r="J208" s="286"/>
      <c r="K208" s="289">
        <f>G208-I208</f>
        <v>19</v>
      </c>
      <c r="L208" s="289"/>
      <c r="M208" s="293">
        <f t="array" ref="M208">IF(ISERROR(K208/L199),"",K208/(L199/1000))</f>
        <v>1.4752269791994543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9"/>
        <v>8</v>
      </c>
      <c r="X208" s="283"/>
      <c r="Y208" s="283">
        <f t="shared" si="30"/>
        <v>8</v>
      </c>
      <c r="Z208" s="283"/>
      <c r="AA208" s="283">
        <f t="shared" si="28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3.38+2.4/2</f>
        <v>4.58</v>
      </c>
      <c r="L209" s="292"/>
      <c r="M209" s="294">
        <f t="array" ref="M209">IF(ISERROR((K209+K210)/L199),"",((K209+K210)*1000)/(L199/1000))</f>
        <v>355.60734551228956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10</v>
      </c>
      <c r="V209" s="284"/>
      <c r="W209" s="283">
        <f t="shared" si="29"/>
        <v>24</v>
      </c>
      <c r="X209" s="283"/>
      <c r="Y209" s="283">
        <f t="shared" si="30"/>
        <v>80</v>
      </c>
      <c r="Z209" s="283"/>
      <c r="AA209" s="283">
        <f t="shared" si="28"/>
        <v>56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29</v>
      </c>
      <c r="T210" s="284"/>
      <c r="U210" s="284">
        <f>SUM(U203:V209)</f>
        <v>41</v>
      </c>
      <c r="V210" s="284"/>
      <c r="W210" s="283">
        <f t="shared" si="29"/>
        <v>232</v>
      </c>
      <c r="X210" s="283"/>
      <c r="Y210" s="283">
        <f t="shared" si="30"/>
        <v>328</v>
      </c>
      <c r="Z210" s="283"/>
      <c r="AA210" s="283">
        <f t="shared" si="28"/>
        <v>96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4.1484716157205241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39.266384146341473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59" t="s">
        <v>313</v>
      </c>
      <c r="D223" s="260"/>
      <c r="E223" s="166" t="s">
        <v>314</v>
      </c>
      <c r="F223" s="13"/>
      <c r="G223" s="133">
        <v>6</v>
      </c>
      <c r="H223" s="133">
        <v>0.4</v>
      </c>
      <c r="I223" s="133">
        <f>5+H223</f>
        <v>5.4</v>
      </c>
      <c r="J223" s="133"/>
      <c r="K223" s="164">
        <f t="shared" si="31"/>
        <v>1280.4000000000001</v>
      </c>
      <c r="L223" s="164">
        <f t="shared" si="32"/>
        <v>1152.3600000000001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22.008403361344538</v>
      </c>
      <c r="Q223" s="164">
        <v>8.5</v>
      </c>
      <c r="R223" s="19">
        <f t="shared" si="35"/>
        <v>17</v>
      </c>
      <c r="S223" s="164">
        <f t="shared" si="36"/>
        <v>-5.0084033613445378</v>
      </c>
      <c r="T223" s="20">
        <v>3</v>
      </c>
      <c r="U223" s="20">
        <v>2</v>
      </c>
      <c r="V223" s="188">
        <f t="array" ref="V223">IF(ISERROR(L223/K223),"",L223/K223)</f>
        <v>0.9</v>
      </c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33"/>
      <c r="H224" s="133"/>
      <c r="I224" s="133"/>
      <c r="J224" s="133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>
        <v>3002</v>
      </c>
      <c r="C241" s="248" t="s">
        <v>53</v>
      </c>
      <c r="D241" s="248"/>
      <c r="E241" s="166" t="s">
        <v>54</v>
      </c>
      <c r="F241" s="13"/>
      <c r="G241" s="133">
        <v>3</v>
      </c>
      <c r="H241" s="133"/>
      <c r="I241" s="133">
        <f>3-J241/250</f>
        <v>2.68</v>
      </c>
      <c r="J241" s="133">
        <v>80</v>
      </c>
      <c r="K241" s="164">
        <f t="shared" si="31"/>
        <v>798</v>
      </c>
      <c r="L241" s="164">
        <f t="shared" si="32"/>
        <v>712.88</v>
      </c>
      <c r="M241" s="15">
        <v>266</v>
      </c>
      <c r="N241" s="164">
        <f>+M241*1000/(29.8*10*13*60)*T241</f>
        <v>3.4331440371708828</v>
      </c>
      <c r="O241" s="164">
        <v>0.5</v>
      </c>
      <c r="P241" s="164">
        <f t="shared" si="34"/>
        <v>10.200826019617967</v>
      </c>
      <c r="Q241" s="164">
        <v>3</v>
      </c>
      <c r="R241" s="19">
        <f t="shared" si="35"/>
        <v>6</v>
      </c>
      <c r="S241" s="164">
        <f t="shared" si="36"/>
        <v>-4.200826019617967</v>
      </c>
      <c r="T241" s="20">
        <v>3</v>
      </c>
      <c r="U241" s="20">
        <v>2</v>
      </c>
      <c r="V241" s="161">
        <f t="array" ref="V241">IF(ISERROR(L241/K241),"",L241/K241)</f>
        <v>0.89333333333333331</v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>
        <v>4503</v>
      </c>
      <c r="C272" s="248" t="s">
        <v>81</v>
      </c>
      <c r="D272" s="248" t="s">
        <v>82</v>
      </c>
      <c r="E272" s="166" t="s">
        <v>54</v>
      </c>
      <c r="F272" s="165"/>
      <c r="G272" s="133">
        <v>9</v>
      </c>
      <c r="H272" s="133">
        <v>0.16</v>
      </c>
      <c r="I272" s="133">
        <f>9+H272-J272/500</f>
        <v>8.76</v>
      </c>
      <c r="J272" s="133">
        <v>200</v>
      </c>
      <c r="K272" s="164">
        <f t="shared" si="31"/>
        <v>5301.9000000000005</v>
      </c>
      <c r="L272" s="164">
        <f t="shared" si="32"/>
        <v>5160.5159999999996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29.579938094692189</v>
      </c>
      <c r="Q272" s="164">
        <v>11.5</v>
      </c>
      <c r="R272" s="19">
        <f t="shared" si="35"/>
        <v>57.5</v>
      </c>
      <c r="S272" s="164">
        <f t="shared" si="36"/>
        <v>27.920061905307811</v>
      </c>
      <c r="T272" s="20">
        <v>3</v>
      </c>
      <c r="U272" s="20">
        <v>5</v>
      </c>
      <c r="V272" s="161">
        <f t="array" ref="V272">IF(ISERROR(L272/K272),"",L272/K272)</f>
        <v>0.97333333333333316</v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>
        <v>5001</v>
      </c>
      <c r="C291" s="248" t="s">
        <v>98</v>
      </c>
      <c r="D291" s="248" t="s">
        <v>99</v>
      </c>
      <c r="E291" s="166" t="s">
        <v>41</v>
      </c>
      <c r="F291" s="165"/>
      <c r="G291" s="133">
        <v>8</v>
      </c>
      <c r="H291" s="133">
        <v>0.25</v>
      </c>
      <c r="I291" s="133">
        <f>8+H291</f>
        <v>8.25</v>
      </c>
      <c r="J291" s="133"/>
      <c r="K291" s="164">
        <f t="shared" si="38"/>
        <v>3510.4</v>
      </c>
      <c r="L291" s="164">
        <f t="shared" si="39"/>
        <v>3620.1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40.223333333333336</v>
      </c>
      <c r="Q291" s="164">
        <v>9</v>
      </c>
      <c r="R291" s="19">
        <f t="shared" si="41"/>
        <v>45</v>
      </c>
      <c r="S291" s="164">
        <f t="shared" si="42"/>
        <v>4.7766666666666637</v>
      </c>
      <c r="T291" s="20">
        <v>4</v>
      </c>
      <c r="U291" s="20">
        <v>5</v>
      </c>
      <c r="V291" s="161">
        <f t="array" ref="V291">IF(ISERROR(L291/K291),"",L291/K291)</f>
        <v>1.03125</v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>
        <v>5001</v>
      </c>
      <c r="C312" s="259" t="s">
        <v>296</v>
      </c>
      <c r="D312" s="260"/>
      <c r="E312" s="166" t="s">
        <v>297</v>
      </c>
      <c r="F312" s="13"/>
      <c r="G312" s="133">
        <v>2</v>
      </c>
      <c r="H312" s="133"/>
      <c r="I312" s="133">
        <v>2</v>
      </c>
      <c r="J312" s="133"/>
      <c r="K312" s="164">
        <f t="shared" si="38"/>
        <v>1048.2</v>
      </c>
      <c r="L312" s="164">
        <f t="shared" si="39"/>
        <v>1048.2</v>
      </c>
      <c r="M312" s="164">
        <v>524.1</v>
      </c>
      <c r="N312" s="164">
        <f t="shared" si="43"/>
        <v>3.3467432950191571</v>
      </c>
      <c r="O312" s="164">
        <v>0.5</v>
      </c>
      <c r="P312" s="164">
        <f t="shared" si="40"/>
        <v>9.1934865900383151</v>
      </c>
      <c r="Q312" s="164">
        <v>2.5</v>
      </c>
      <c r="R312" s="19">
        <f t="shared" si="41"/>
        <v>12.5</v>
      </c>
      <c r="S312" s="164">
        <f t="shared" si="42"/>
        <v>3.3065134099616849</v>
      </c>
      <c r="T312" s="20">
        <v>4</v>
      </c>
      <c r="U312" s="20">
        <v>5</v>
      </c>
      <c r="V312" s="188">
        <f t="array" ref="V312">IF(ISERROR(L312/K312),"",L312/K312)</f>
        <v>1</v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33"/>
      <c r="H313" s="133"/>
      <c r="I313" s="133"/>
      <c r="J313" s="13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8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33"/>
      <c r="H314" s="133"/>
      <c r="I314" s="133"/>
      <c r="J314" s="13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8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48" t="s">
        <v>119</v>
      </c>
      <c r="D320" s="248" t="s">
        <v>120</v>
      </c>
      <c r="E320" s="166" t="s">
        <v>54</v>
      </c>
      <c r="F320" s="165"/>
      <c r="G320" s="133">
        <v>11</v>
      </c>
      <c r="H320" s="133">
        <v>0.25</v>
      </c>
      <c r="I320" s="133">
        <f>11+H320-J320/200</f>
        <v>11</v>
      </c>
      <c r="J320" s="133">
        <v>50</v>
      </c>
      <c r="K320" s="164">
        <f t="shared" si="38"/>
        <v>3198.8</v>
      </c>
      <c r="L320" s="164">
        <f t="shared" si="39"/>
        <v>3198.8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34.95192307692308</v>
      </c>
      <c r="Q320" s="164">
        <v>11.5</v>
      </c>
      <c r="R320" s="19">
        <f t="shared" si="41"/>
        <v>23</v>
      </c>
      <c r="S320" s="164">
        <f t="shared" si="42"/>
        <v>-11.95192307692308</v>
      </c>
      <c r="T320" s="20">
        <v>3</v>
      </c>
      <c r="U320" s="20">
        <v>2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33"/>
      <c r="H321" s="133"/>
      <c r="I321" s="133"/>
      <c r="J321" s="13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88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>
        <v>6503</v>
      </c>
      <c r="C346" s="248" t="s">
        <v>134</v>
      </c>
      <c r="D346" s="248" t="s">
        <v>131</v>
      </c>
      <c r="E346" s="166" t="s">
        <v>135</v>
      </c>
      <c r="F346" s="165"/>
      <c r="G346" s="133">
        <v>2</v>
      </c>
      <c r="H346" s="133"/>
      <c r="I346" s="133">
        <f>2-J346/300</f>
        <v>1.3333333333333335</v>
      </c>
      <c r="J346" s="133">
        <v>200</v>
      </c>
      <c r="K346" s="164">
        <f t="shared" si="38"/>
        <v>788.6</v>
      </c>
      <c r="L346" s="164">
        <f t="shared" si="39"/>
        <v>525.73333333333346</v>
      </c>
      <c r="M346" s="164">
        <v>394.3</v>
      </c>
      <c r="N346" s="164">
        <f>+M346*1000/(104.2*4*15*60)*T346</f>
        <v>6.3067818298144598</v>
      </c>
      <c r="O346" s="164">
        <v>0.5</v>
      </c>
      <c r="P346" s="164">
        <f t="shared" si="40"/>
        <v>11.409042439752614</v>
      </c>
      <c r="Q346" s="164">
        <v>2</v>
      </c>
      <c r="R346" s="19">
        <f t="shared" si="41"/>
        <v>12</v>
      </c>
      <c r="S346" s="164">
        <f t="shared" si="42"/>
        <v>0.59095756024738577</v>
      </c>
      <c r="T346" s="20">
        <v>6</v>
      </c>
      <c r="U346" s="20">
        <v>6</v>
      </c>
      <c r="V346" s="188">
        <f t="array" ref="V346">IF(ISERROR(L346/K346),"",L346/K346)</f>
        <v>0.66666666666666685</v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>
        <v>6503</v>
      </c>
      <c r="C347" s="248" t="s">
        <v>134</v>
      </c>
      <c r="D347" s="248" t="s">
        <v>131</v>
      </c>
      <c r="E347" s="166" t="s">
        <v>80</v>
      </c>
      <c r="F347" s="165"/>
      <c r="G347" s="133">
        <v>8</v>
      </c>
      <c r="H347" s="133">
        <v>0.16666666666666666</v>
      </c>
      <c r="I347" s="133">
        <f>7+H347</f>
        <v>7.166666666666667</v>
      </c>
      <c r="J347" s="133"/>
      <c r="K347" s="164">
        <f t="shared" si="38"/>
        <v>3040.8</v>
      </c>
      <c r="L347" s="164">
        <f t="shared" si="39"/>
        <v>2724.05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34.039732285668585</v>
      </c>
      <c r="Q347" s="164">
        <v>9.5</v>
      </c>
      <c r="R347" s="19">
        <f t="shared" si="41"/>
        <v>47.5</v>
      </c>
      <c r="S347" s="164">
        <f t="shared" si="42"/>
        <v>13.460267714331415</v>
      </c>
      <c r="T347" s="20">
        <v>5</v>
      </c>
      <c r="U347" s="20">
        <v>5</v>
      </c>
      <c r="V347" s="161">
        <f t="array" ref="V347">IF(ISERROR(L347/K347),"",L347/K347)</f>
        <v>0.89583333333333337</v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49</v>
      </c>
      <c r="H408" s="164">
        <f t="array" ref="H408">SUM(IF(ISERROR(H215:H407),“”,H215:H407))</f>
        <v>1.2266666666666668</v>
      </c>
      <c r="I408" s="164">
        <f t="array" ref="I408">SUM(IF(ISERROR(I215:I407),“”,I215:I407))</f>
        <v>46.59</v>
      </c>
      <c r="J408" s="164">
        <f t="array" ref="J408">SUM(IF(ISERROR(J215:J407),“”,J215:J407))</f>
        <v>530</v>
      </c>
      <c r="K408" s="164">
        <f t="array" ref="K408">SUM(IF(ISERROR(K215:K407),“”,K215:K407))</f>
        <v>18967.100000000002</v>
      </c>
      <c r="L408" s="117">
        <f>SUM(L215:L399)</f>
        <v>18142.639333333333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318.10668520137062</v>
      </c>
      <c r="Q408" s="164"/>
      <c r="R408" s="56">
        <f>SUM((R215:R399),(Y413:Z418))</f>
        <v>393</v>
      </c>
      <c r="S408" s="164">
        <f t="array" ref="S408">SUM(IF(ISERROR(S215:S407),“”,S215:S407))</f>
        <v>28.893314798629376</v>
      </c>
      <c r="T408" s="164"/>
      <c r="U408" s="164"/>
      <c r="V408" s="161">
        <f t="array" ref="V408">IF(ISERROR(L408/K408),"",L408/K408)</f>
        <v>0.95653206517250033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0.80943176896023061</v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171.5</v>
      </c>
      <c r="F411" s="279"/>
      <c r="G411" s="279">
        <v>171.5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2970.7</v>
      </c>
      <c r="F412" s="279"/>
      <c r="G412" s="279">
        <v>3357.7</v>
      </c>
      <c r="H412" s="279"/>
      <c r="I412" s="279">
        <f>G412-E412</f>
        <v>387</v>
      </c>
      <c r="J412" s="279"/>
      <c r="K412" s="281">
        <f t="array" ref="K412">IF(ISERROR(I412/E412),"",I412/E412)</f>
        <v>0.13027232638772007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19</v>
      </c>
      <c r="T412" s="284"/>
      <c r="U412" s="284">
        <v>20</v>
      </c>
      <c r="V412" s="284"/>
      <c r="W412" s="283">
        <f>S412*11.5</f>
        <v>218.5</v>
      </c>
      <c r="X412" s="283"/>
      <c r="Y412" s="283">
        <f>U412*11.5</f>
        <v>230</v>
      </c>
      <c r="Z412" s="283"/>
      <c r="AA412" s="283">
        <f t="shared" ref="AA412:AA419" si="59">Y412-W412</f>
        <v>11.5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483</v>
      </c>
      <c r="F413" s="279"/>
      <c r="G413" s="279">
        <v>483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4</v>
      </c>
      <c r="T413" s="284"/>
      <c r="U413" s="284">
        <v>5</v>
      </c>
      <c r="V413" s="284"/>
      <c r="W413" s="283">
        <f t="shared" ref="W413:W419" si="60">S413*11.5</f>
        <v>46</v>
      </c>
      <c r="X413" s="283"/>
      <c r="Y413" s="283">
        <f t="shared" ref="Y413:Y419" si="61">U413*11.5</f>
        <v>57.5</v>
      </c>
      <c r="Z413" s="283"/>
      <c r="AA413" s="283">
        <f t="shared" si="59"/>
        <v>11.5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0</v>
      </c>
      <c r="V414" s="284"/>
      <c r="W414" s="283">
        <f t="shared" si="60"/>
        <v>8.625</v>
      </c>
      <c r="X414" s="283"/>
      <c r="Y414" s="283">
        <f t="shared" si="61"/>
        <v>0</v>
      </c>
      <c r="Z414" s="283"/>
      <c r="AA414" s="283">
        <f t="shared" si="59"/>
        <v>-8.625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149747</v>
      </c>
      <c r="H415" s="324"/>
      <c r="I415" s="325">
        <v>149579</v>
      </c>
      <c r="J415" s="326"/>
      <c r="K415" s="289">
        <f>G415-I415</f>
        <v>168</v>
      </c>
      <c r="L415" s="289"/>
      <c r="M415" s="290">
        <f t="array" ref="M415">IF(ISERROR(K415/L408),"",K415/(L408/1000))</f>
        <v>9.2599536877379744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8.625</v>
      </c>
      <c r="X415" s="283"/>
      <c r="Y415" s="283">
        <f t="shared" si="61"/>
        <v>11.5</v>
      </c>
      <c r="Z415" s="283"/>
      <c r="AA415" s="283">
        <f t="shared" si="59"/>
        <v>2.875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44888.2*60+28587.1*120</f>
        <v>6123744</v>
      </c>
      <c r="H416" s="323"/>
      <c r="I416" s="322">
        <v>6122262</v>
      </c>
      <c r="J416" s="323"/>
      <c r="K416" s="289">
        <f>G416-I416</f>
        <v>1482</v>
      </c>
      <c r="L416" s="289"/>
      <c r="M416" s="290">
        <f t="array" ref="M416">IF(ISERROR(K416/L408),"",K416/(L408/1000))</f>
        <v>81.686020031117124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1</v>
      </c>
      <c r="V416" s="284"/>
      <c r="W416" s="283">
        <f t="shared" si="60"/>
        <v>17.25</v>
      </c>
      <c r="X416" s="283"/>
      <c r="Y416" s="283">
        <f t="shared" si="61"/>
        <v>11.5</v>
      </c>
      <c r="Z416" s="283"/>
      <c r="AA416" s="283">
        <f t="shared" si="59"/>
        <v>-5.75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+I417+16</f>
        <v>26867</v>
      </c>
      <c r="H417" s="324"/>
      <c r="I417" s="327">
        <v>26851</v>
      </c>
      <c r="J417" s="328"/>
      <c r="K417" s="289">
        <f>G417-I417</f>
        <v>16</v>
      </c>
      <c r="L417" s="289"/>
      <c r="M417" s="293">
        <f t="array" ref="M417">IF(ISERROR(K417/L408),"",K417/(L408/1000))</f>
        <v>0.88190035121314037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11.5</v>
      </c>
      <c r="X417" s="283"/>
      <c r="Y417" s="283">
        <f t="shared" si="61"/>
        <v>11.5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2.4+2.4/2</f>
        <v>3.5999999999999996</v>
      </c>
      <c r="L418" s="301"/>
      <c r="M418" s="294">
        <f t="array" ref="M418">IF(ISERROR((K418+K419)/L408),"",((K418+K419)*1000)/(L408/1000))</f>
        <v>198.42757902295656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7</v>
      </c>
      <c r="V418" s="284"/>
      <c r="W418" s="283">
        <f t="shared" si="60"/>
        <v>34.5</v>
      </c>
      <c r="X418" s="283"/>
      <c r="Y418" s="283">
        <f t="shared" si="61"/>
        <v>80.5</v>
      </c>
      <c r="Z418" s="283"/>
      <c r="AA418" s="283">
        <f t="shared" si="59"/>
        <v>46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30</v>
      </c>
      <c r="T419" s="284"/>
      <c r="U419" s="284">
        <f>SUM(U412:V418)</f>
        <v>35</v>
      </c>
      <c r="V419" s="284"/>
      <c r="W419" s="283">
        <f t="shared" si="60"/>
        <v>345</v>
      </c>
      <c r="X419" s="283"/>
      <c r="Y419" s="283">
        <f t="shared" si="61"/>
        <v>402.5</v>
      </c>
      <c r="Z419" s="283"/>
      <c r="AA419" s="283">
        <f t="shared" si="59"/>
        <v>57.5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4.4444444444444446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45.074880331262939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32271.840000000004</v>
      </c>
      <c r="D423" s="337"/>
      <c r="E423" s="333" t="s">
        <v>226</v>
      </c>
      <c r="F423" s="333"/>
      <c r="G423" s="333">
        <f>L199+L408</f>
        <v>31022.013333333336</v>
      </c>
      <c r="H423" s="333"/>
      <c r="I423" s="340" t="s">
        <v>227</v>
      </c>
      <c r="J423" s="340"/>
      <c r="K423" s="339">
        <f>IF(ISERROR(G423/C423),"",G423/C423)</f>
        <v>0.96127191177612847</v>
      </c>
      <c r="L423" s="339"/>
      <c r="M423" s="333" t="s">
        <v>228</v>
      </c>
      <c r="N423" s="333"/>
      <c r="O423" s="334">
        <f>IF(ISERROR(G423/G424),"",G423/G424)</f>
        <v>42.264323342415992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554.83081343942581</v>
      </c>
      <c r="D424" s="337"/>
      <c r="E424" s="338" t="s">
        <v>18</v>
      </c>
      <c r="F424" s="338"/>
      <c r="G424" s="333">
        <f>R199+R408</f>
        <v>734</v>
      </c>
      <c r="H424" s="333"/>
      <c r="I424" s="313" t="s">
        <v>176</v>
      </c>
      <c r="J424" s="313"/>
      <c r="K424" s="339">
        <f>IF(ISERROR(C424/G424),"",C424/G424)</f>
        <v>0.75590029078940846</v>
      </c>
      <c r="L424" s="339"/>
      <c r="M424" s="279" t="s">
        <v>230</v>
      </c>
      <c r="N424" s="279"/>
      <c r="O424" s="333">
        <f>W200+W409</f>
        <v>16.333333333333336</v>
      </c>
      <c r="P424" s="279"/>
      <c r="Q424" s="279" t="s">
        <v>231</v>
      </c>
      <c r="R424" s="279"/>
      <c r="S424" s="339">
        <f t="array" ref="S424">IF(ISERROR(O424/G424),"",O424/G424)</f>
        <v>2.2252497729336969E-2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265</v>
      </c>
      <c r="D426" s="337"/>
      <c r="E426" s="333" t="s">
        <v>234</v>
      </c>
      <c r="F426" s="333"/>
      <c r="G426" s="293">
        <f t="array" ref="G426">IF(ISERROR(C426/G423),"",C426/(G423/1000))</f>
        <v>8.5423211302425663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2658</v>
      </c>
      <c r="D427" s="337"/>
      <c r="E427" s="333" t="s">
        <v>236</v>
      </c>
      <c r="F427" s="333"/>
      <c r="G427" s="293">
        <f>IF(ISERROR(C427/G423),"",C427/(G423/1000))</f>
        <v>85.681092695036767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35</v>
      </c>
      <c r="D428" s="337"/>
      <c r="E428" s="333" t="s">
        <v>238</v>
      </c>
      <c r="F428" s="333"/>
      <c r="G428" s="293">
        <f>IF(ISERROR(C428/G423),"",C428/(G423/1000))</f>
        <v>1.1282310926735466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8.18</v>
      </c>
      <c r="D429" s="337"/>
      <c r="E429" s="333" t="s">
        <v>240</v>
      </c>
      <c r="F429" s="333"/>
      <c r="G429" s="341">
        <f>IF(ISERROR(C429/G423),"",C429/(G423/1000))</f>
        <v>0.26368372394484602</v>
      </c>
      <c r="H429" s="341"/>
      <c r="I429" s="333" t="s">
        <v>241</v>
      </c>
      <c r="J429" s="333"/>
      <c r="K429" s="342">
        <f>IF(ISERROR(C428/C429),"",C428/C429)</f>
        <v>4.2787286063569683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282</v>
      </c>
      <c r="D432" s="346"/>
      <c r="E432" s="333" t="s">
        <v>247</v>
      </c>
      <c r="F432" s="351"/>
      <c r="G432" s="347">
        <f>+G411+G202</f>
        <v>282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5004.3999999999996</v>
      </c>
      <c r="D433" s="346"/>
      <c r="E433" s="333" t="s">
        <v>251</v>
      </c>
      <c r="F433" s="333"/>
      <c r="G433" s="347">
        <f>+G412+G203</f>
        <v>5842.4</v>
      </c>
      <c r="H433" s="348"/>
      <c r="I433" s="333" t="s">
        <v>252</v>
      </c>
      <c r="J433" s="333"/>
      <c r="K433" s="315">
        <f>G433-C433</f>
        <v>838</v>
      </c>
      <c r="L433" s="317"/>
      <c r="M433" s="349" t="s">
        <v>253</v>
      </c>
      <c r="N433" s="350"/>
      <c r="O433" s="343">
        <f t="array" ref="O433">IF(ISERROR(K433/C433),"",K433/C433)</f>
        <v>0.16745264167532573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2400</v>
      </c>
      <c r="D434" s="346"/>
      <c r="E434" s="333" t="s">
        <v>255</v>
      </c>
      <c r="F434" s="351"/>
      <c r="G434" s="347">
        <f>+G413+G204</f>
        <v>2400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27</v>
      </c>
      <c r="D440" s="67">
        <v>23</v>
      </c>
      <c r="E440" s="153">
        <v>4</v>
      </c>
      <c r="F440" s="153"/>
      <c r="G440" s="153"/>
      <c r="H440" s="154">
        <v>4</v>
      </c>
      <c r="I440" s="154"/>
      <c r="J440" s="83">
        <f t="shared" si="63"/>
        <v>23</v>
      </c>
      <c r="K440" s="67">
        <v>1</v>
      </c>
      <c r="L440" s="67"/>
      <c r="M440" s="67"/>
      <c r="N440" s="67"/>
      <c r="O440" s="67"/>
      <c r="P440" s="118"/>
      <c r="Q440" s="83">
        <f t="shared" si="64"/>
        <v>22</v>
      </c>
      <c r="R440" s="158">
        <f t="shared" si="65"/>
        <v>242</v>
      </c>
      <c r="S440" s="101">
        <f t="array" ref="S440">IF(ISERROR(Q440/J440),"",Q440/J440)</f>
        <v>0.95652173913043481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46</v>
      </c>
      <c r="D443" s="68">
        <v>42</v>
      </c>
      <c r="E443" s="68">
        <f t="shared" ref="E443:P443" si="67">SUM(E437:E442)</f>
        <v>4</v>
      </c>
      <c r="F443" s="68">
        <f t="shared" si="67"/>
        <v>0</v>
      </c>
      <c r="G443" s="68">
        <f t="shared" si="67"/>
        <v>0</v>
      </c>
      <c r="H443" s="68">
        <f t="shared" si="67"/>
        <v>4</v>
      </c>
      <c r="I443" s="68">
        <f t="shared" si="67"/>
        <v>0</v>
      </c>
      <c r="J443" s="84">
        <f t="shared" si="63"/>
        <v>42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41</v>
      </c>
      <c r="R443" s="158">
        <f t="shared" si="65"/>
        <v>451</v>
      </c>
      <c r="S443" s="120">
        <f t="array" ref="S443">IF(ISERROR(Q443/J443),"",Q443/J443)</f>
        <v>0.97619047619047616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26</v>
      </c>
      <c r="E447" s="67"/>
      <c r="F447" s="67"/>
      <c r="G447" s="67"/>
      <c r="H447" s="67">
        <v>4</v>
      </c>
      <c r="I447" s="67"/>
      <c r="J447" s="83">
        <f t="shared" si="63"/>
        <v>20</v>
      </c>
      <c r="K447" s="67"/>
      <c r="L447" s="67"/>
      <c r="M447" s="67"/>
      <c r="N447" s="67"/>
      <c r="O447" s="67">
        <v>2</v>
      </c>
      <c r="P447" s="67"/>
      <c r="Q447" s="83">
        <f t="shared" si="64"/>
        <v>20</v>
      </c>
      <c r="R447" s="158">
        <f t="shared" si="68"/>
        <v>230</v>
      </c>
      <c r="S447" s="101">
        <f t="array" ref="S447">IF(ISERROR(Q447/J447),"",Q447/J447)</f>
        <v>1</v>
      </c>
      <c r="T447" s="101">
        <f t="array" ref="T447">IF(ISERROR((O447:P447)/C447),"",SUM(O447:P447)/C447)</f>
        <v>8.3333333333333329E-2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4</v>
      </c>
      <c r="I450" s="69">
        <f t="shared" si="69"/>
        <v>0</v>
      </c>
      <c r="J450" s="85">
        <f t="shared" si="63"/>
        <v>36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2</v>
      </c>
      <c r="P450" s="69">
        <f t="shared" si="70"/>
        <v>0</v>
      </c>
      <c r="Q450" s="83">
        <f t="shared" si="64"/>
        <v>35</v>
      </c>
      <c r="R450" s="158">
        <f t="shared" si="68"/>
        <v>402.5</v>
      </c>
      <c r="S450" s="122">
        <f t="array" ref="S450">IF(ISERROR(Q450/J450),"",Q450/J450)</f>
        <v>0.97222222222222221</v>
      </c>
      <c r="T450" s="122">
        <f t="array" ref="T450">IF(ISERROR((O450:P450)/C450),"",SUM(O450:P450)/C450)</f>
        <v>0.05</v>
      </c>
      <c r="U450" s="101">
        <f t="array" ref="U450">IF(ISERROR((O450:P450)/C450),"",SUM(O450:P450)/C450)</f>
        <v>0.05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58</v>
      </c>
      <c r="D452" s="69">
        <v>56</v>
      </c>
      <c r="E452" s="69">
        <f>+E443+E450+E451</f>
        <v>4</v>
      </c>
      <c r="F452" s="69">
        <f>+F443+F450+F451</f>
        <v>0</v>
      </c>
      <c r="G452" s="69">
        <f>+G443+G450+G451</f>
        <v>0</v>
      </c>
      <c r="H452" s="69">
        <f>+H443+H450+H451</f>
        <v>8</v>
      </c>
      <c r="I452" s="69">
        <f>+I443+I450+I451</f>
        <v>0</v>
      </c>
      <c r="J452" s="85">
        <f t="shared" si="63"/>
        <v>50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2</v>
      </c>
      <c r="P452" s="69">
        <f t="shared" si="71"/>
        <v>0</v>
      </c>
      <c r="Q452" s="83">
        <f t="shared" si="64"/>
        <v>48</v>
      </c>
      <c r="R452" s="67">
        <f>R443+R450+R451</f>
        <v>875.5</v>
      </c>
      <c r="S452" s="123">
        <f t="array" ref="S452">IF(ISERROR(Q452/J452),"",Q452/J452)</f>
        <v>0.96</v>
      </c>
      <c r="T452" s="167">
        <f t="array" ref="T452">IF(ISERROR((O452:P452)/C452),"",SUM(O452:P452)/C452)</f>
        <v>3.4482758620689655E-2</v>
      </c>
      <c r="U452" s="101">
        <f t="array" ref="U452">IF(ISERROR((O452:P452)/C452),"",SUM(O452:P452)/C452)</f>
        <v>3.4482758620689655E-2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9" topLeftCell="F313" activePane="bottomRight" state="frozen"/>
      <selection pane="topRight" activeCell="F1" sqref="F1"/>
      <selection pane="bottomLeft" activeCell="A30" sqref="A30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>
        <v>3002</v>
      </c>
      <c r="C30" s="248" t="s">
        <v>53</v>
      </c>
      <c r="D30" s="248"/>
      <c r="E30" s="166" t="s">
        <v>41</v>
      </c>
      <c r="F30" s="13"/>
      <c r="G30" s="133">
        <v>5</v>
      </c>
      <c r="H30" s="133"/>
      <c r="I30" s="133">
        <f>5-J30/250</f>
        <v>4.5999999999999996</v>
      </c>
      <c r="J30" s="133">
        <v>100</v>
      </c>
      <c r="K30" s="164">
        <f t="shared" si="0"/>
        <v>1330</v>
      </c>
      <c r="L30" s="164">
        <f t="shared" si="1"/>
        <v>1223.5999999999999</v>
      </c>
      <c r="M30" s="15">
        <v>266</v>
      </c>
      <c r="N30" s="164">
        <f>+M30*1000/(29.8*10*13*60)*T30</f>
        <v>3.4331440371708828</v>
      </c>
      <c r="O30" s="164">
        <v>0.5</v>
      </c>
      <c r="P30" s="164">
        <f t="shared" si="2"/>
        <v>16.792462570986061</v>
      </c>
      <c r="Q30" s="164">
        <v>4.5</v>
      </c>
      <c r="R30" s="19">
        <f t="shared" si="3"/>
        <v>9</v>
      </c>
      <c r="S30" s="164">
        <f t="shared" si="4"/>
        <v>-7.7924625709860607</v>
      </c>
      <c r="T30" s="20">
        <v>3</v>
      </c>
      <c r="U30" s="20">
        <v>2</v>
      </c>
      <c r="V30" s="161">
        <f t="array" ref="V30">IF(ISERROR(L30/K30),"",L30/K30)</f>
        <v>0.91999999999999993</v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>
        <v>3002</v>
      </c>
      <c r="C32" s="248" t="s">
        <v>53</v>
      </c>
      <c r="D32" s="248"/>
      <c r="E32" s="166" t="s">
        <v>54</v>
      </c>
      <c r="F32" s="13"/>
      <c r="G32" s="133">
        <v>7.32</v>
      </c>
      <c r="H32" s="133">
        <v>0.32</v>
      </c>
      <c r="I32" s="133">
        <f>7+H32</f>
        <v>7.32</v>
      </c>
      <c r="J32" s="133"/>
      <c r="K32" s="164">
        <f t="shared" si="0"/>
        <v>1947.1200000000001</v>
      </c>
      <c r="L32" s="164">
        <f t="shared" si="1"/>
        <v>1947.1200000000001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25.130614352090863</v>
      </c>
      <c r="Q32" s="164">
        <v>6.5</v>
      </c>
      <c r="R32" s="19">
        <f t="shared" si="3"/>
        <v>13</v>
      </c>
      <c r="S32" s="164">
        <f t="shared" si="4"/>
        <v>-12.130614352090863</v>
      </c>
      <c r="T32" s="20">
        <v>3</v>
      </c>
      <c r="U32" s="20">
        <v>2</v>
      </c>
      <c r="V32" s="161">
        <f t="array" ref="V32">IF(ISERROR(L32/K32),"",L32/K32)</f>
        <v>1</v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48" t="s">
        <v>81</v>
      </c>
      <c r="D62" s="248" t="s">
        <v>82</v>
      </c>
      <c r="E62" s="166" t="s">
        <v>80</v>
      </c>
      <c r="F62" s="13"/>
      <c r="G62" s="133">
        <v>2</v>
      </c>
      <c r="H62" s="133"/>
      <c r="I62" s="133">
        <f>3-J62/500</f>
        <v>2</v>
      </c>
      <c r="J62" s="133">
        <v>500</v>
      </c>
      <c r="K62" s="164">
        <f t="shared" si="0"/>
        <v>1178.2</v>
      </c>
      <c r="L62" s="164">
        <f t="shared" si="1"/>
        <v>1178.2</v>
      </c>
      <c r="M62" s="164">
        <v>589.1</v>
      </c>
      <c r="N62" s="164">
        <f>+M62*1000/(67.1*10*13*60)*T62</f>
        <v>3.3767052619511633</v>
      </c>
      <c r="O62" s="164">
        <v>0.5</v>
      </c>
      <c r="P62" s="164">
        <f t="shared" si="2"/>
        <v>8.7534105239023265</v>
      </c>
      <c r="Q62" s="164">
        <v>7</v>
      </c>
      <c r="R62" s="19">
        <f t="shared" si="3"/>
        <v>28</v>
      </c>
      <c r="S62" s="164">
        <f t="shared" si="4"/>
        <v>19.246589476097675</v>
      </c>
      <c r="T62" s="20">
        <v>3</v>
      </c>
      <c r="U62" s="20">
        <v>4</v>
      </c>
      <c r="V62" s="161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>
        <v>4503</v>
      </c>
      <c r="C63" s="248" t="s">
        <v>81</v>
      </c>
      <c r="D63" s="248" t="s">
        <v>82</v>
      </c>
      <c r="E63" s="166" t="s">
        <v>54</v>
      </c>
      <c r="F63" s="13"/>
      <c r="G63" s="133">
        <v>6</v>
      </c>
      <c r="H63" s="133">
        <v>0.4</v>
      </c>
      <c r="I63" s="133">
        <f>6+H63</f>
        <v>6.4</v>
      </c>
      <c r="J63" s="133"/>
      <c r="K63" s="164">
        <f t="shared" si="0"/>
        <v>3534.6000000000004</v>
      </c>
      <c r="L63" s="164">
        <f t="shared" si="1"/>
        <v>3770.2400000000002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21.610913676487446</v>
      </c>
      <c r="Q63" s="164">
        <v>4</v>
      </c>
      <c r="R63" s="19">
        <f t="shared" si="3"/>
        <v>16</v>
      </c>
      <c r="S63" s="164">
        <f t="shared" si="4"/>
        <v>-5.6109136764874457</v>
      </c>
      <c r="T63" s="20">
        <v>3</v>
      </c>
      <c r="U63" s="20">
        <v>4</v>
      </c>
      <c r="V63" s="161">
        <f t="array" ref="V63">IF(ISERROR(L63/K63),"",L63/K63)</f>
        <v>1.0666666666666667</v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8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8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8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8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8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8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8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8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8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8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8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8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8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8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8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8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8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8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8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8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8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8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8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8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8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8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8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8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8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8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8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8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8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8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8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8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8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8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8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>
        <v>5001</v>
      </c>
      <c r="C103" s="259" t="s">
        <v>296</v>
      </c>
      <c r="D103" s="260"/>
      <c r="E103" s="166" t="s">
        <v>297</v>
      </c>
      <c r="F103" s="13"/>
      <c r="G103" s="133">
        <v>8</v>
      </c>
      <c r="H103" s="133"/>
      <c r="I103" s="133">
        <v>8</v>
      </c>
      <c r="J103" s="133"/>
      <c r="K103" s="164">
        <f t="shared" si="7"/>
        <v>4192.8</v>
      </c>
      <c r="L103" s="164">
        <f t="shared" si="8"/>
        <v>4192.8</v>
      </c>
      <c r="M103" s="164">
        <v>524.1</v>
      </c>
      <c r="N103" s="164">
        <f t="shared" si="12"/>
        <v>3.3467432950191571</v>
      </c>
      <c r="O103" s="164"/>
      <c r="P103" s="164">
        <f t="shared" si="9"/>
        <v>26.773946360153257</v>
      </c>
      <c r="Q103" s="164">
        <v>7.5</v>
      </c>
      <c r="R103" s="19">
        <f t="shared" si="10"/>
        <v>30</v>
      </c>
      <c r="S103" s="164">
        <f t="shared" si="11"/>
        <v>3.226053639846743</v>
      </c>
      <c r="T103" s="20">
        <v>4</v>
      </c>
      <c r="U103" s="20">
        <v>4</v>
      </c>
      <c r="V103" s="188">
        <f t="array" ref="V103">IF(ISERROR(L103/K103),"",L103/K103)</f>
        <v>1</v>
      </c>
      <c r="W103" s="20"/>
      <c r="X103" s="20"/>
      <c r="Y103" s="20"/>
      <c r="Z103" s="20"/>
      <c r="AA103" s="20">
        <v>2</v>
      </c>
      <c r="AB103" s="20"/>
      <c r="AC103" s="20"/>
    </row>
    <row r="104" spans="1:29" ht="21.95" customHeight="1">
      <c r="A104" s="160">
        <v>300424</v>
      </c>
      <c r="B104" s="153">
        <v>5001</v>
      </c>
      <c r="C104" s="259" t="s">
        <v>296</v>
      </c>
      <c r="D104" s="260"/>
      <c r="E104" s="166" t="s">
        <v>298</v>
      </c>
      <c r="F104" s="13"/>
      <c r="G104" s="133">
        <v>3.4</v>
      </c>
      <c r="H104" s="133"/>
      <c r="I104" s="133">
        <f>4-J104/500</f>
        <v>3.4</v>
      </c>
      <c r="J104" s="133">
        <v>300</v>
      </c>
      <c r="K104" s="164">
        <f t="shared" si="7"/>
        <v>1781.94</v>
      </c>
      <c r="L104" s="164">
        <f t="shared" si="8"/>
        <v>1781.94</v>
      </c>
      <c r="M104" s="164">
        <v>524.1</v>
      </c>
      <c r="N104" s="164">
        <f t="shared" si="12"/>
        <v>3.3467432950191571</v>
      </c>
      <c r="O104" s="164">
        <v>0.5</v>
      </c>
      <c r="P104" s="164">
        <f t="shared" si="9"/>
        <v>13.378927203065134</v>
      </c>
      <c r="Q104" s="164">
        <v>3.5</v>
      </c>
      <c r="R104" s="19">
        <f t="shared" si="10"/>
        <v>14</v>
      </c>
      <c r="S104" s="164">
        <f t="shared" si="11"/>
        <v>0.62107279693486639</v>
      </c>
      <c r="T104" s="20">
        <v>4</v>
      </c>
      <c r="U104" s="20">
        <v>4</v>
      </c>
      <c r="V104" s="188">
        <f t="array" ref="V104">IF(ISERROR(L104/K104),"",L104/K104)</f>
        <v>1</v>
      </c>
      <c r="W104" s="20"/>
      <c r="X104" s="20"/>
      <c r="Y104" s="20"/>
      <c r="Z104" s="20"/>
      <c r="AA104" s="20">
        <v>2</v>
      </c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88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8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8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8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8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8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>
        <v>6502</v>
      </c>
      <c r="C111" s="248" t="s">
        <v>119</v>
      </c>
      <c r="D111" s="248" t="s">
        <v>120</v>
      </c>
      <c r="E111" s="166" t="s">
        <v>54</v>
      </c>
      <c r="F111" s="13"/>
      <c r="G111" s="133">
        <v>10</v>
      </c>
      <c r="H111" s="133">
        <v>0.25</v>
      </c>
      <c r="I111" s="133">
        <f>10+H111-J111/200</f>
        <v>10</v>
      </c>
      <c r="J111" s="133">
        <v>50</v>
      </c>
      <c r="K111" s="164">
        <f t="shared" si="7"/>
        <v>2908</v>
      </c>
      <c r="L111" s="164">
        <f t="shared" si="8"/>
        <v>2908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31.774475524475527</v>
      </c>
      <c r="Q111" s="164">
        <v>11</v>
      </c>
      <c r="R111" s="19">
        <f t="shared" si="10"/>
        <v>22</v>
      </c>
      <c r="S111" s="164">
        <f t="shared" si="11"/>
        <v>-9.7744755244755268</v>
      </c>
      <c r="T111" s="20">
        <v>3</v>
      </c>
      <c r="U111" s="20">
        <v>2</v>
      </c>
      <c r="V111" s="188">
        <f t="array" ref="V111">IF(ISERROR(L111/K111),"",L111/K111)</f>
        <v>1</v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>
        <v>6502</v>
      </c>
      <c r="C112" s="248" t="s">
        <v>119</v>
      </c>
      <c r="D112" s="24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33">
        <v>8.67</v>
      </c>
      <c r="H137" s="133">
        <v>0.66666666666666663</v>
      </c>
      <c r="I137" s="133">
        <f>8+H137</f>
        <v>8.6666666666666661</v>
      </c>
      <c r="J137" s="133"/>
      <c r="K137" s="164">
        <f t="shared" si="7"/>
        <v>3418.5810000000001</v>
      </c>
      <c r="L137" s="164">
        <f t="shared" si="8"/>
        <v>3417.2666666666664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54.658775858391984</v>
      </c>
      <c r="Q137" s="164">
        <v>8.5</v>
      </c>
      <c r="R137" s="19">
        <f t="shared" si="10"/>
        <v>51</v>
      </c>
      <c r="S137" s="164">
        <f t="shared" si="11"/>
        <v>-3.6587758583919836</v>
      </c>
      <c r="T137" s="20">
        <v>6</v>
      </c>
      <c r="U137" s="20">
        <v>6</v>
      </c>
      <c r="V137" s="161">
        <f t="array" ref="V137">IF(ISERROR(L137/K137),"",L137/K137)</f>
        <v>0.99961553248750468</v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48" t="s">
        <v>139</v>
      </c>
      <c r="D141" s="248" t="s">
        <v>140</v>
      </c>
      <c r="E141" s="166" t="s">
        <v>135</v>
      </c>
      <c r="F141" s="27"/>
      <c r="G141" s="133">
        <v>2</v>
      </c>
      <c r="H141" s="133"/>
      <c r="I141" s="133">
        <f>2-J141/400</f>
        <v>1.3</v>
      </c>
      <c r="J141" s="133">
        <v>280</v>
      </c>
      <c r="K141" s="164">
        <f t="shared" si="7"/>
        <v>1114</v>
      </c>
      <c r="L141" s="164">
        <f t="shared" si="8"/>
        <v>724.1</v>
      </c>
      <c r="M141" s="164">
        <v>557</v>
      </c>
      <c r="N141" s="164">
        <f>+M141*1000/(126.5*4*15*60)*T141</f>
        <v>6.1155028546332888</v>
      </c>
      <c r="O141" s="164">
        <v>0.5</v>
      </c>
      <c r="P141" s="164">
        <f t="shared" si="9"/>
        <v>10.950153711023276</v>
      </c>
      <c r="Q141" s="164">
        <v>2.5</v>
      </c>
      <c r="R141" s="19">
        <f t="shared" si="10"/>
        <v>15</v>
      </c>
      <c r="S141" s="164">
        <f t="shared" si="11"/>
        <v>4.0498462889767239</v>
      </c>
      <c r="T141" s="20">
        <v>5</v>
      </c>
      <c r="U141" s="20">
        <v>6</v>
      </c>
      <c r="V141" s="161">
        <f t="array" ref="V141">IF(ISERROR(L141/K141),"",L141/K141)</f>
        <v>0.65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52.39</v>
      </c>
      <c r="H199" s="164">
        <f t="array" ref="H199">SUM(IF(ISERROR(H6:H198),“”,H6:H198))</f>
        <v>1.6366666666666667</v>
      </c>
      <c r="I199" s="164">
        <f t="array" ref="I199">SUM(IF(ISERROR(I6:I198),“”,I6:I198))</f>
        <v>51.68666666666666</v>
      </c>
      <c r="J199" s="164">
        <f t="array" ref="J199">SUM(IF(ISERROR(J6:J198),“”,J6:J198))</f>
        <v>1230</v>
      </c>
      <c r="K199" s="164">
        <f t="array" ref="K199">SUM(IF(ISERROR(K6:K198),“”,K6:K198))</f>
        <v>21405.241000000002</v>
      </c>
      <c r="L199" s="56">
        <f>SUM(L6:L198)</f>
        <v>21143.266666666666</v>
      </c>
      <c r="M199" s="164"/>
      <c r="N199" s="164"/>
      <c r="O199" s="164">
        <f>SUM(O6:O190)</f>
        <v>2</v>
      </c>
      <c r="P199" s="56">
        <f>SUM((P6:P190),(W204:X209))</f>
        <v>330.82367978057584</v>
      </c>
      <c r="Q199" s="164"/>
      <c r="R199" s="56">
        <f>SUM((R6:R190),(Y204:Z209))</f>
        <v>473</v>
      </c>
      <c r="S199" s="164">
        <f t="array" ref="S199">SUM(IF(ISERROR(S6:S198),“”,S6:S198))</f>
        <v>-11.823679780575871</v>
      </c>
      <c r="T199" s="164"/>
      <c r="U199" s="164"/>
      <c r="V199" s="161">
        <f>IF(ISERROR(L199/K199),"",L199/K199)</f>
        <v>0.98776120608343843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0.69941581348958948</v>
      </c>
      <c r="P200" s="274"/>
      <c r="Q200" s="274"/>
      <c r="R200" s="275"/>
      <c r="S200" s="44"/>
      <c r="T200" s="45"/>
      <c r="U200" s="45"/>
      <c r="V200" s="45"/>
      <c r="W200" s="276">
        <f>SUM(W199:AC199)</f>
        <v>4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179</v>
      </c>
      <c r="F202" s="279"/>
      <c r="G202" s="279">
        <v>179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3824.4</v>
      </c>
      <c r="F203" s="279"/>
      <c r="G203" s="279">
        <v>4149.3999999999996</v>
      </c>
      <c r="H203" s="279"/>
      <c r="I203" s="279">
        <f>G203-E203</f>
        <v>324.99999999999955</v>
      </c>
      <c r="J203" s="279"/>
      <c r="K203" s="281">
        <f t="array" ref="K203">IF(ISERROR(I203/E203),"",I203/E203)</f>
        <v>8.4980650559564774E-2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19</v>
      </c>
      <c r="T203" s="284"/>
      <c r="U203" s="284">
        <v>18</v>
      </c>
      <c r="V203" s="284"/>
      <c r="W203" s="283">
        <f t="shared" ref="W203:W210" si="28">S203*11</f>
        <v>209</v>
      </c>
      <c r="X203" s="283"/>
      <c r="Y203" s="283">
        <f t="shared" ref="Y203:Y210" si="29">U203*11</f>
        <v>198</v>
      </c>
      <c r="Z203" s="283"/>
      <c r="AA203" s="283">
        <f t="shared" ref="AA203:AA210" si="30">Y203-W203</f>
        <v>-11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720</v>
      </c>
      <c r="F204" s="279"/>
      <c r="G204" s="279">
        <v>720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4</v>
      </c>
      <c r="T204" s="284"/>
      <c r="U204" s="284">
        <v>7</v>
      </c>
      <c r="V204" s="284"/>
      <c r="W204" s="283">
        <f t="shared" si="28"/>
        <v>44</v>
      </c>
      <c r="X204" s="283"/>
      <c r="Y204" s="283">
        <f t="shared" si="29"/>
        <v>77</v>
      </c>
      <c r="Z204" s="283"/>
      <c r="AA204" s="283">
        <f t="shared" si="30"/>
        <v>33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1</v>
      </c>
      <c r="V205" s="284"/>
      <c r="W205" s="283">
        <f t="shared" si="28"/>
        <v>8.25</v>
      </c>
      <c r="X205" s="283"/>
      <c r="Y205" s="283">
        <f t="shared" si="29"/>
        <v>11</v>
      </c>
      <c r="Z205" s="283"/>
      <c r="AA205" s="283">
        <f t="shared" si="30"/>
        <v>2.75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149859</v>
      </c>
      <c r="H206" s="286"/>
      <c r="I206" s="325">
        <v>149747</v>
      </c>
      <c r="J206" s="326"/>
      <c r="K206" s="289">
        <f>G206-I206</f>
        <v>112</v>
      </c>
      <c r="L206" s="289"/>
      <c r="M206" s="290">
        <f t="array" ref="M206">IF(ISERROR(K206/L199),"",K206/(L199/1000))</f>
        <v>5.2971946939766488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1</v>
      </c>
      <c r="V206" s="284"/>
      <c r="W206" s="283">
        <f t="shared" si="28"/>
        <v>8.25</v>
      </c>
      <c r="X206" s="283"/>
      <c r="Y206" s="283">
        <f t="shared" si="29"/>
        <v>11</v>
      </c>
      <c r="Z206" s="283"/>
      <c r="AA206" s="283">
        <f t="shared" si="30"/>
        <v>2.75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28596.2*120+44896.9*60</f>
        <v>6125358</v>
      </c>
      <c r="H207" s="286"/>
      <c r="I207" s="325">
        <v>6123744</v>
      </c>
      <c r="J207" s="326"/>
      <c r="K207" s="289">
        <f>G207-I207</f>
        <v>1614</v>
      </c>
      <c r="L207" s="289"/>
      <c r="M207" s="290">
        <f t="array" ref="M207">IF(ISERROR(K207/L199),"",K207/(L199/1000))</f>
        <v>76.336359250699203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8"/>
        <v>16.5</v>
      </c>
      <c r="X207" s="283"/>
      <c r="Y207" s="283">
        <f t="shared" si="29"/>
        <v>11</v>
      </c>
      <c r="Z207" s="283"/>
      <c r="AA207" s="283">
        <f t="shared" si="30"/>
        <v>-5.5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+I208+17</f>
        <v>26884</v>
      </c>
      <c r="H208" s="286"/>
      <c r="I208" s="285">
        <v>26867</v>
      </c>
      <c r="J208" s="286"/>
      <c r="K208" s="289">
        <f>G208-I208</f>
        <v>17</v>
      </c>
      <c r="L208" s="289"/>
      <c r="M208" s="293">
        <f t="array" ref="M208">IF(ISERROR(K208/L199),"",K208/(L199/1000))</f>
        <v>0.80403848033574132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2.4+2.56</f>
        <v>4.96</v>
      </c>
      <c r="L209" s="292"/>
      <c r="M209" s="294">
        <f t="array" ref="M209">IF(ISERROR((K209+K210)/L199),"",((K209+K210)*1000)/(L199/1000))</f>
        <v>234.59005073325159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14</v>
      </c>
      <c r="V209" s="284"/>
      <c r="W209" s="283">
        <f t="shared" si="28"/>
        <v>33</v>
      </c>
      <c r="X209" s="283"/>
      <c r="Y209" s="283">
        <f t="shared" si="29"/>
        <v>154</v>
      </c>
      <c r="Z209" s="283"/>
      <c r="AA209" s="283">
        <f t="shared" si="30"/>
        <v>121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30</v>
      </c>
      <c r="T210" s="284"/>
      <c r="U210" s="284">
        <f>SUM(U203:V209)</f>
        <v>43</v>
      </c>
      <c r="V210" s="284"/>
      <c r="W210" s="283">
        <f t="shared" si="28"/>
        <v>330</v>
      </c>
      <c r="X210" s="283"/>
      <c r="Y210" s="283">
        <f t="shared" si="29"/>
        <v>473</v>
      </c>
      <c r="Z210" s="283"/>
      <c r="AA210" s="283">
        <f t="shared" si="30"/>
        <v>143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3.4274193548387095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44.700352360817476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>
        <v>3002</v>
      </c>
      <c r="C239" s="248" t="s">
        <v>53</v>
      </c>
      <c r="D239" s="248"/>
      <c r="E239" s="166" t="s">
        <v>41</v>
      </c>
      <c r="F239" s="13"/>
      <c r="G239" s="133">
        <v>5.4</v>
      </c>
      <c r="H239" s="133">
        <v>0.4</v>
      </c>
      <c r="I239" s="133">
        <f>5+H239</f>
        <v>5.4</v>
      </c>
      <c r="J239" s="133"/>
      <c r="K239" s="164">
        <f t="shared" si="31"/>
        <v>1436.4</v>
      </c>
      <c r="L239" s="164">
        <f t="shared" si="32"/>
        <v>1436.4</v>
      </c>
      <c r="M239" s="15">
        <v>266</v>
      </c>
      <c r="N239" s="164">
        <f>+M239*1000/(29.8*10*13*60)*T239</f>
        <v>3.4331440371708828</v>
      </c>
      <c r="O239" s="164">
        <v>0.5</v>
      </c>
      <c r="P239" s="164">
        <f t="shared" si="34"/>
        <v>19.538977800722769</v>
      </c>
      <c r="Q239" s="164">
        <v>6</v>
      </c>
      <c r="R239" s="19">
        <f t="shared" si="35"/>
        <v>12</v>
      </c>
      <c r="S239" s="164">
        <f t="shared" si="36"/>
        <v>-7.538977800722769</v>
      </c>
      <c r="T239" s="20">
        <v>3</v>
      </c>
      <c r="U239" s="20">
        <v>2</v>
      </c>
      <c r="V239" s="161">
        <f t="array" ref="V239">IF(ISERROR(L239/K239),"",L239/K239)</f>
        <v>1</v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>
        <v>3002</v>
      </c>
      <c r="C240" s="248" t="s">
        <v>53</v>
      </c>
      <c r="D240" s="248"/>
      <c r="E240" s="166" t="s">
        <v>39</v>
      </c>
      <c r="F240" s="13"/>
      <c r="G240" s="133">
        <v>5.8</v>
      </c>
      <c r="H240" s="133"/>
      <c r="I240" s="133">
        <f>6-J240/250</f>
        <v>5.8</v>
      </c>
      <c r="J240" s="133">
        <v>50</v>
      </c>
      <c r="K240" s="164">
        <f t="shared" si="31"/>
        <v>1542.8</v>
      </c>
      <c r="L240" s="164">
        <f t="shared" si="32"/>
        <v>1542.8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19.91223541559112</v>
      </c>
      <c r="Q240" s="164">
        <v>5.5</v>
      </c>
      <c r="R240" s="19">
        <f t="shared" si="35"/>
        <v>11</v>
      </c>
      <c r="S240" s="164">
        <f t="shared" si="36"/>
        <v>-8.9122354155911196</v>
      </c>
      <c r="T240" s="20">
        <v>3</v>
      </c>
      <c r="U240" s="20">
        <v>2</v>
      </c>
      <c r="V240" s="188">
        <f t="array" ref="V240">IF(ISERROR(L240/K240),"",L240/K240)</f>
        <v>1</v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88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88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88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88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8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8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3004</v>
      </c>
      <c r="C247" s="259" t="s">
        <v>304</v>
      </c>
      <c r="D247" s="260"/>
      <c r="E247" s="166" t="s">
        <v>302</v>
      </c>
      <c r="F247" s="13"/>
      <c r="G247" s="133">
        <v>5</v>
      </c>
      <c r="H247" s="133"/>
      <c r="I247" s="133">
        <v>5</v>
      </c>
      <c r="J247" s="133"/>
      <c r="K247" s="164">
        <f t="shared" si="31"/>
        <v>2644</v>
      </c>
      <c r="L247" s="164">
        <f t="shared" si="32"/>
        <v>2644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32.803970223325067</v>
      </c>
      <c r="Q247" s="164">
        <v>8</v>
      </c>
      <c r="R247" s="19">
        <f t="shared" si="35"/>
        <v>16</v>
      </c>
      <c r="S247" s="164">
        <f t="shared" si="36"/>
        <v>-16.803970223325067</v>
      </c>
      <c r="T247" s="20">
        <v>3</v>
      </c>
      <c r="U247" s="20">
        <v>2</v>
      </c>
      <c r="V247" s="188">
        <f t="array" ref="V247">IF(ISERROR(L247/K247),"",L247/K247)</f>
        <v>1</v>
      </c>
      <c r="W247" s="20"/>
      <c r="X247" s="191">
        <f>20/60*2</f>
        <v>0.66666666666666663</v>
      </c>
      <c r="Y247" s="20"/>
      <c r="Z247" s="20"/>
      <c r="AA247" s="20">
        <v>2</v>
      </c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8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3004</v>
      </c>
      <c r="C249" s="259" t="s">
        <v>304</v>
      </c>
      <c r="D249" s="260"/>
      <c r="E249" s="166" t="s">
        <v>303</v>
      </c>
      <c r="F249" s="13"/>
      <c r="G249" s="133">
        <v>5</v>
      </c>
      <c r="H249" s="133"/>
      <c r="I249" s="133">
        <v>3</v>
      </c>
      <c r="J249" s="133"/>
      <c r="K249" s="164">
        <f t="shared" si="31"/>
        <v>2644</v>
      </c>
      <c r="L249" s="164">
        <f t="shared" si="32"/>
        <v>1586.3999999999999</v>
      </c>
      <c r="M249" s="164">
        <v>528.79999999999995</v>
      </c>
      <c r="N249" s="164">
        <f>+M249*1000/(31*10*13*60)*T249</f>
        <v>6.5607940446650126</v>
      </c>
      <c r="O249" s="164">
        <v>0.5</v>
      </c>
      <c r="P249" s="164">
        <f t="shared" si="34"/>
        <v>20.682382133995038</v>
      </c>
      <c r="Q249" s="164">
        <v>3.5</v>
      </c>
      <c r="R249" s="19">
        <f t="shared" si="35"/>
        <v>7</v>
      </c>
      <c r="S249" s="164">
        <f t="shared" si="36"/>
        <v>-13.682382133995038</v>
      </c>
      <c r="T249" s="20">
        <v>3</v>
      </c>
      <c r="U249" s="20">
        <v>2</v>
      </c>
      <c r="V249" s="188">
        <f t="array" ref="V249">IF(ISERROR(L249/K249),"",L249/K249)</f>
        <v>0.6</v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8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8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8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8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8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8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8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8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8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8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8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8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8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8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8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8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8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8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33"/>
      <c r="H268" s="133"/>
      <c r="I268" s="133"/>
      <c r="J268" s="13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8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8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88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>
        <v>4503</v>
      </c>
      <c r="C271" s="248" t="s">
        <v>81</v>
      </c>
      <c r="D271" s="248" t="s">
        <v>82</v>
      </c>
      <c r="E271" s="166" t="s">
        <v>80</v>
      </c>
      <c r="F271" s="165"/>
      <c r="G271" s="133">
        <v>9.3000000000000007</v>
      </c>
      <c r="H271" s="133">
        <v>1</v>
      </c>
      <c r="I271" s="133">
        <f>9+H271-J271/500</f>
        <v>9.3000000000000007</v>
      </c>
      <c r="J271" s="133">
        <v>350</v>
      </c>
      <c r="K271" s="164">
        <f t="shared" si="31"/>
        <v>5478.630000000001</v>
      </c>
      <c r="L271" s="164">
        <f t="shared" si="32"/>
        <v>5478.630000000001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31.403358936145821</v>
      </c>
      <c r="Q271" s="164">
        <v>11.5</v>
      </c>
      <c r="R271" s="19">
        <f t="shared" si="35"/>
        <v>46</v>
      </c>
      <c r="S271" s="164">
        <f t="shared" si="36"/>
        <v>14.596641063854179</v>
      </c>
      <c r="T271" s="20">
        <v>3</v>
      </c>
      <c r="U271" s="20">
        <v>4</v>
      </c>
      <c r="V271" s="188">
        <f t="array" ref="V271">IF(ISERROR(L271/K271),"",L271/K271)</f>
        <v>1</v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8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8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8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8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8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8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8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8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8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8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8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8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8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8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33"/>
      <c r="H286" s="133"/>
      <c r="I286" s="133"/>
      <c r="J286" s="13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8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8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8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8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8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8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8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8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8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8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8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8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8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8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8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8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8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8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8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8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8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8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8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8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8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33"/>
      <c r="H311" s="133"/>
      <c r="I311" s="133"/>
      <c r="J311" s="13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8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33"/>
      <c r="H312" s="133"/>
      <c r="I312" s="133"/>
      <c r="J312" s="13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8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>
        <v>5001</v>
      </c>
      <c r="C313" s="259" t="s">
        <v>296</v>
      </c>
      <c r="D313" s="260"/>
      <c r="E313" s="166" t="s">
        <v>298</v>
      </c>
      <c r="F313" s="13"/>
      <c r="G313" s="133">
        <v>6.6</v>
      </c>
      <c r="H313" s="133">
        <v>0.6</v>
      </c>
      <c r="I313" s="133">
        <f>6+H313</f>
        <v>6.6</v>
      </c>
      <c r="J313" s="133"/>
      <c r="K313" s="164">
        <f t="shared" si="38"/>
        <v>3459.06</v>
      </c>
      <c r="L313" s="164">
        <f t="shared" si="39"/>
        <v>3459.06</v>
      </c>
      <c r="M313" s="164">
        <v>524.1</v>
      </c>
      <c r="N313" s="164">
        <f t="shared" si="43"/>
        <v>3.3467432950191571</v>
      </c>
      <c r="O313" s="164"/>
      <c r="P313" s="164">
        <f t="shared" si="40"/>
        <v>22.088505747126437</v>
      </c>
      <c r="Q313" s="164">
        <v>6</v>
      </c>
      <c r="R313" s="19">
        <f t="shared" si="41"/>
        <v>30</v>
      </c>
      <c r="S313" s="164">
        <f t="shared" si="42"/>
        <v>7.9114942528735632</v>
      </c>
      <c r="T313" s="20">
        <v>4</v>
      </c>
      <c r="U313" s="20">
        <v>5</v>
      </c>
      <c r="V313" s="188">
        <f t="array" ref="V313">IF(ISERROR(L313/K313),"",L313/K313)</f>
        <v>1</v>
      </c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>
        <v>5001</v>
      </c>
      <c r="C314" s="259" t="s">
        <v>296</v>
      </c>
      <c r="D314" s="260"/>
      <c r="E314" s="166" t="s">
        <v>299</v>
      </c>
      <c r="F314" s="13"/>
      <c r="G314" s="133">
        <v>5.4</v>
      </c>
      <c r="H314" s="133"/>
      <c r="I314" s="133">
        <f>6-J314/500</f>
        <v>5.4</v>
      </c>
      <c r="J314" s="133">
        <v>300</v>
      </c>
      <c r="K314" s="164">
        <f t="shared" si="38"/>
        <v>2830.1400000000003</v>
      </c>
      <c r="L314" s="164">
        <f t="shared" si="39"/>
        <v>2830.1400000000003</v>
      </c>
      <c r="M314" s="164">
        <v>524.1</v>
      </c>
      <c r="N314" s="164">
        <f t="shared" si="43"/>
        <v>3.3467432950191571</v>
      </c>
      <c r="O314" s="164">
        <v>0.5</v>
      </c>
      <c r="P314" s="164">
        <f t="shared" si="40"/>
        <v>20.572413793103451</v>
      </c>
      <c r="Q314" s="164">
        <v>5.5</v>
      </c>
      <c r="R314" s="19">
        <f t="shared" si="41"/>
        <v>27.5</v>
      </c>
      <c r="S314" s="164">
        <f t="shared" si="42"/>
        <v>6.9275862068965495</v>
      </c>
      <c r="T314" s="20">
        <v>4</v>
      </c>
      <c r="U314" s="20">
        <v>5</v>
      </c>
      <c r="V314" s="188">
        <f t="array" ref="V314">IF(ISERROR(L314/K314),"",L314/K314)</f>
        <v>1</v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33"/>
      <c r="H315" s="133"/>
      <c r="I315" s="133"/>
      <c r="J315" s="13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88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33"/>
      <c r="H316" s="133"/>
      <c r="I316" s="133"/>
      <c r="J316" s="13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88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33"/>
      <c r="H317" s="133"/>
      <c r="I317" s="133"/>
      <c r="J317" s="13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88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33"/>
      <c r="H318" s="133"/>
      <c r="I318" s="133"/>
      <c r="J318" s="13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88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33"/>
      <c r="H319" s="133"/>
      <c r="I319" s="133"/>
      <c r="J319" s="13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88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>
        <v>6502</v>
      </c>
      <c r="C320" s="248" t="s">
        <v>119</v>
      </c>
      <c r="D320" s="248" t="s">
        <v>120</v>
      </c>
      <c r="E320" s="166" t="s">
        <v>54</v>
      </c>
      <c r="F320" s="165"/>
      <c r="G320" s="133">
        <v>0.25</v>
      </c>
      <c r="H320" s="133">
        <v>0.25</v>
      </c>
      <c r="I320" s="133">
        <f>+H320</f>
        <v>0.25</v>
      </c>
      <c r="J320" s="133"/>
      <c r="K320" s="164">
        <f t="shared" si="38"/>
        <v>72.7</v>
      </c>
      <c r="L320" s="164">
        <f t="shared" si="39"/>
        <v>72.7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0.79436188811188813</v>
      </c>
      <c r="Q320" s="164">
        <v>0.3</v>
      </c>
      <c r="R320" s="19">
        <f t="shared" si="41"/>
        <v>1.2</v>
      </c>
      <c r="S320" s="164">
        <f t="shared" si="42"/>
        <v>0.40563811188811183</v>
      </c>
      <c r="T320" s="20">
        <v>3</v>
      </c>
      <c r="U320" s="20">
        <v>4</v>
      </c>
      <c r="V320" s="188">
        <f t="array" ref="V320">IF(ISERROR(L320/K320),"",L320/K320)</f>
        <v>1</v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48" t="s">
        <v>119</v>
      </c>
      <c r="D321" s="248" t="s">
        <v>120</v>
      </c>
      <c r="E321" s="166" t="s">
        <v>35</v>
      </c>
      <c r="F321" s="165"/>
      <c r="G321" s="133">
        <v>10.1</v>
      </c>
      <c r="H321" s="133"/>
      <c r="I321" s="133">
        <f>11-J321/200</f>
        <v>10.1</v>
      </c>
      <c r="J321" s="133">
        <v>180</v>
      </c>
      <c r="K321" s="164">
        <f t="shared" si="38"/>
        <v>3061.31</v>
      </c>
      <c r="L321" s="164">
        <f t="shared" si="39"/>
        <v>3061.31</v>
      </c>
      <c r="M321" s="164">
        <v>303.10000000000002</v>
      </c>
      <c r="N321" s="164">
        <f>+M321*1000/(88*4*12*60)*T321</f>
        <v>4.7837752525252526</v>
      </c>
      <c r="O321" s="164">
        <v>0.5</v>
      </c>
      <c r="P321" s="164">
        <f t="shared" si="40"/>
        <v>50.316130050505052</v>
      </c>
      <c r="Q321" s="164">
        <v>11</v>
      </c>
      <c r="R321" s="19">
        <f t="shared" si="41"/>
        <v>44</v>
      </c>
      <c r="S321" s="164">
        <f t="shared" si="42"/>
        <v>-6.3161300505050519</v>
      </c>
      <c r="T321" s="20">
        <v>4</v>
      </c>
      <c r="U321" s="20">
        <v>4</v>
      </c>
      <c r="V321" s="188">
        <f t="array" ref="V321">IF(ISERROR(L321/K321),"",L321/K321)</f>
        <v>1</v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33"/>
      <c r="H322" s="133"/>
      <c r="I322" s="133"/>
      <c r="J322" s="133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88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33"/>
      <c r="H323" s="133"/>
      <c r="I323" s="133"/>
      <c r="J323" s="13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88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33"/>
      <c r="H324" s="133"/>
      <c r="I324" s="133"/>
      <c r="J324" s="13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88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33"/>
      <c r="H325" s="133"/>
      <c r="I325" s="133"/>
      <c r="J325" s="13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88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33"/>
      <c r="H326" s="133"/>
      <c r="I326" s="133"/>
      <c r="J326" s="13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88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33"/>
      <c r="H327" s="133"/>
      <c r="I327" s="133"/>
      <c r="J327" s="13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88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33"/>
      <c r="H328" s="133"/>
      <c r="I328" s="133"/>
      <c r="J328" s="13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88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33"/>
      <c r="H329" s="133"/>
      <c r="I329" s="133"/>
      <c r="J329" s="13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88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133"/>
      <c r="H330" s="133"/>
      <c r="I330" s="133"/>
      <c r="J330" s="13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88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133"/>
      <c r="H331" s="133"/>
      <c r="I331" s="133"/>
      <c r="J331" s="13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88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133"/>
      <c r="H332" s="133"/>
      <c r="I332" s="133"/>
      <c r="J332" s="13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88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133"/>
      <c r="H333" s="133"/>
      <c r="I333" s="133"/>
      <c r="J333" s="13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88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133"/>
      <c r="H334" s="133"/>
      <c r="I334" s="133"/>
      <c r="J334" s="13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88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33"/>
      <c r="H335" s="133"/>
      <c r="I335" s="133"/>
      <c r="J335" s="13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88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33"/>
      <c r="H336" s="133"/>
      <c r="I336" s="133"/>
      <c r="J336" s="13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88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33"/>
      <c r="H337" s="133"/>
      <c r="I337" s="133"/>
      <c r="J337" s="13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88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33"/>
      <c r="H338" s="133"/>
      <c r="I338" s="133"/>
      <c r="J338" s="13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88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33"/>
      <c r="H339" s="133"/>
      <c r="I339" s="133"/>
      <c r="J339" s="13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88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33"/>
      <c r="H340" s="133"/>
      <c r="I340" s="133"/>
      <c r="J340" s="13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88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33"/>
      <c r="H341" s="133"/>
      <c r="I341" s="133"/>
      <c r="J341" s="13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88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33"/>
      <c r="H342" s="133"/>
      <c r="I342" s="133"/>
      <c r="J342" s="13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88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33"/>
      <c r="H343" s="133"/>
      <c r="I343" s="133"/>
      <c r="J343" s="13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88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33"/>
      <c r="H344" s="133"/>
      <c r="I344" s="133"/>
      <c r="J344" s="13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88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33"/>
      <c r="H345" s="133"/>
      <c r="I345" s="133"/>
      <c r="J345" s="13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88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33"/>
      <c r="H346" s="133"/>
      <c r="I346" s="133"/>
      <c r="J346" s="13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88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33"/>
      <c r="H347" s="133"/>
      <c r="I347" s="133"/>
      <c r="J347" s="13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88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33"/>
      <c r="H348" s="133"/>
      <c r="I348" s="133"/>
      <c r="J348" s="13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88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33"/>
      <c r="H349" s="133"/>
      <c r="I349" s="133"/>
      <c r="J349" s="13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88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48" t="s">
        <v>139</v>
      </c>
      <c r="D350" s="248" t="s">
        <v>140</v>
      </c>
      <c r="E350" s="166" t="s">
        <v>135</v>
      </c>
      <c r="F350" s="165"/>
      <c r="G350" s="133">
        <v>8.5</v>
      </c>
      <c r="H350" s="133">
        <v>0.7</v>
      </c>
      <c r="I350" s="133">
        <f>8+H350-J350/400</f>
        <v>8.5</v>
      </c>
      <c r="J350" s="133">
        <v>80</v>
      </c>
      <c r="K350" s="164">
        <f t="shared" si="38"/>
        <v>4734.5</v>
      </c>
      <c r="L350" s="164">
        <f t="shared" si="39"/>
        <v>4734.5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51.981774264382956</v>
      </c>
      <c r="Q350" s="164">
        <v>11.5</v>
      </c>
      <c r="R350" s="19">
        <f t="shared" si="41"/>
        <v>69</v>
      </c>
      <c r="S350" s="164">
        <f t="shared" si="42"/>
        <v>17.018225735617044</v>
      </c>
      <c r="T350" s="20">
        <v>5</v>
      </c>
      <c r="U350" s="20">
        <v>6</v>
      </c>
      <c r="V350" s="188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61.35</v>
      </c>
      <c r="H408" s="164">
        <f t="array" ref="H408">SUM(IF(ISERROR(H215:H407),“”,H215:H407))</f>
        <v>2.95</v>
      </c>
      <c r="I408" s="164">
        <f t="array" ref="I408">SUM(IF(ISERROR(I215:I407),“”,I215:I407))</f>
        <v>59.35</v>
      </c>
      <c r="J408" s="164">
        <f t="array" ref="J408">SUM(IF(ISERROR(J215:J407),“”,J215:J407))</f>
        <v>960</v>
      </c>
      <c r="K408" s="164">
        <f t="array" ref="K408">SUM(IF(ISERROR(K215:K407),“”,K215:K407))</f>
        <v>27903.540000000005</v>
      </c>
      <c r="L408" s="117">
        <f>SUM(L215:L399)</f>
        <v>26845.940000000002</v>
      </c>
      <c r="M408" s="164"/>
      <c r="N408" s="164"/>
      <c r="O408" s="164">
        <f t="array" ref="O408">SUM(IF(ISERROR(O215:O407),“”,O215:O407))</f>
        <v>2</v>
      </c>
      <c r="P408" s="56">
        <f>SUM((P215:P399),(W413:X418))</f>
        <v>396.5941102530096</v>
      </c>
      <c r="Q408" s="164"/>
      <c r="R408" s="56">
        <f>SUM((R215:R399),(Y413:Z418))</f>
        <v>413.2</v>
      </c>
      <c r="S408" s="164">
        <f t="array" ref="S408">SUM(IF(ISERROR(S215:S407),“”,S215:S407))</f>
        <v>-6.3941102530095932</v>
      </c>
      <c r="T408" s="164"/>
      <c r="U408" s="164"/>
      <c r="V408" s="161">
        <f t="array" ref="V408">IF(ISERROR(L408/K408),"",L408/K408)</f>
        <v>0.96209799903524773</v>
      </c>
      <c r="W408" s="164">
        <f t="array" ref="W408">SUM(IF(ISERROR(W215:W407),“”,W215:W407))</f>
        <v>0</v>
      </c>
      <c r="X408" s="164">
        <f t="array" ref="X408">SUM(IF(ISERROR(X215:X407),“”,X215:X407))</f>
        <v>0.66666666666666663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0.95981149625607365</v>
      </c>
      <c r="P409" s="274"/>
      <c r="Q409" s="274"/>
      <c r="R409" s="275"/>
      <c r="S409" s="44"/>
      <c r="T409" s="45"/>
      <c r="U409" s="45"/>
      <c r="V409" s="45"/>
      <c r="W409" s="276">
        <f>SUM(W408:AC408)</f>
        <v>2.6666666666666665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181.5</v>
      </c>
      <c r="F411" s="279"/>
      <c r="G411" s="279">
        <v>181.5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4549.5</v>
      </c>
      <c r="F412" s="279"/>
      <c r="G412" s="279">
        <v>4890.5</v>
      </c>
      <c r="H412" s="279"/>
      <c r="I412" s="279">
        <f>G412-E412</f>
        <v>341</v>
      </c>
      <c r="J412" s="279"/>
      <c r="K412" s="281">
        <f t="array" ref="K412">IF(ISERROR(I412/E412),"",I412/E412)</f>
        <v>7.4953291570502248E-2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21</v>
      </c>
      <c r="T412" s="284"/>
      <c r="U412" s="284">
        <v>23</v>
      </c>
      <c r="V412" s="284"/>
      <c r="W412" s="283">
        <f>S412*11.5</f>
        <v>241.5</v>
      </c>
      <c r="X412" s="283"/>
      <c r="Y412" s="283">
        <f>U412*11.5</f>
        <v>264.5</v>
      </c>
      <c r="Z412" s="283"/>
      <c r="AA412" s="283">
        <f t="shared" ref="AA412:AA419" si="59">Y412-W412</f>
        <v>23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927</v>
      </c>
      <c r="F413" s="279"/>
      <c r="G413" s="279">
        <v>927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4</v>
      </c>
      <c r="T413" s="284"/>
      <c r="U413" s="284">
        <v>5</v>
      </c>
      <c r="V413" s="284"/>
      <c r="W413" s="283">
        <f t="shared" ref="W413:W419" si="60">S413*11.5</f>
        <v>46</v>
      </c>
      <c r="X413" s="283"/>
      <c r="Y413" s="283">
        <f t="shared" ref="Y413:Y419" si="61">U413*11.5</f>
        <v>57.5</v>
      </c>
      <c r="Z413" s="283"/>
      <c r="AA413" s="283">
        <f t="shared" si="59"/>
        <v>11.5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0</v>
      </c>
      <c r="V414" s="284"/>
      <c r="W414" s="283">
        <f t="shared" si="60"/>
        <v>8.625</v>
      </c>
      <c r="X414" s="283"/>
      <c r="Y414" s="283">
        <f t="shared" si="61"/>
        <v>0</v>
      </c>
      <c r="Z414" s="283"/>
      <c r="AA414" s="283">
        <f t="shared" si="59"/>
        <v>-8.625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149985</v>
      </c>
      <c r="H415" s="324"/>
      <c r="I415" s="325">
        <v>149859</v>
      </c>
      <c r="J415" s="326"/>
      <c r="K415" s="289">
        <f>G415-I415</f>
        <v>126</v>
      </c>
      <c r="L415" s="289"/>
      <c r="M415" s="290">
        <f t="array" ref="M415">IF(ISERROR(K415/L408),"",K415/(L408/1000))</f>
        <v>4.6934471283180992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8.625</v>
      </c>
      <c r="X415" s="283"/>
      <c r="Y415" s="283">
        <f t="shared" si="61"/>
        <v>11.5</v>
      </c>
      <c r="Z415" s="283"/>
      <c r="AA415" s="283">
        <f t="shared" si="59"/>
        <v>2.875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28605.2*120+44905.4*60</f>
        <v>6126948</v>
      </c>
      <c r="H416" s="323"/>
      <c r="I416" s="322">
        <v>6125358</v>
      </c>
      <c r="J416" s="323"/>
      <c r="K416" s="289">
        <f>G416-I416</f>
        <v>1590</v>
      </c>
      <c r="L416" s="289"/>
      <c r="M416" s="290">
        <f t="array" ref="M416">IF(ISERROR(K416/L408),"",K416/(L408/1000))</f>
        <v>59.226832809728393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1</v>
      </c>
      <c r="V416" s="284"/>
      <c r="W416" s="283">
        <f t="shared" si="60"/>
        <v>17.25</v>
      </c>
      <c r="X416" s="283"/>
      <c r="Y416" s="283">
        <f t="shared" si="61"/>
        <v>11.5</v>
      </c>
      <c r="Z416" s="283"/>
      <c r="AA416" s="283">
        <f t="shared" si="59"/>
        <v>-5.75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+I417+18</f>
        <v>26902</v>
      </c>
      <c r="H417" s="324"/>
      <c r="I417" s="327">
        <v>26884</v>
      </c>
      <c r="J417" s="328"/>
      <c r="K417" s="289">
        <f>G417-I417</f>
        <v>18</v>
      </c>
      <c r="L417" s="289"/>
      <c r="M417" s="293">
        <f t="array" ref="M417">IF(ISERROR(K417/L408),"",K417/(L408/1000))</f>
        <v>0.67049244690258558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11.5</v>
      </c>
      <c r="X417" s="283"/>
      <c r="Y417" s="283">
        <f t="shared" si="61"/>
        <v>11.5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2.56/2+2.56</f>
        <v>3.84</v>
      </c>
      <c r="L418" s="301"/>
      <c r="M418" s="294">
        <f t="array" ref="M418">IF(ISERROR((K418+K419)/L408),"",((K418+K419)*1000)/(L408/1000))</f>
        <v>143.0383886725516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5</v>
      </c>
      <c r="V418" s="284"/>
      <c r="W418" s="283">
        <f t="shared" si="60"/>
        <v>34.5</v>
      </c>
      <c r="X418" s="283"/>
      <c r="Y418" s="283">
        <f t="shared" si="61"/>
        <v>57.5</v>
      </c>
      <c r="Z418" s="283"/>
      <c r="AA418" s="283">
        <f t="shared" si="59"/>
        <v>23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32</v>
      </c>
      <c r="T419" s="284"/>
      <c r="U419" s="284">
        <f>SUM(U412:V418)</f>
        <v>36</v>
      </c>
      <c r="V419" s="284"/>
      <c r="W419" s="283">
        <f t="shared" si="60"/>
        <v>368</v>
      </c>
      <c r="X419" s="283"/>
      <c r="Y419" s="283">
        <f t="shared" si="61"/>
        <v>414</v>
      </c>
      <c r="Z419" s="283"/>
      <c r="AA419" s="283">
        <f t="shared" si="59"/>
        <v>46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4.6875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64.845265700483097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49308.781000000003</v>
      </c>
      <c r="D423" s="337"/>
      <c r="E423" s="333" t="s">
        <v>226</v>
      </c>
      <c r="F423" s="333"/>
      <c r="G423" s="333">
        <f>L199+L408</f>
        <v>47989.206666666665</v>
      </c>
      <c r="H423" s="333"/>
      <c r="I423" s="340" t="s">
        <v>227</v>
      </c>
      <c r="J423" s="340"/>
      <c r="K423" s="339">
        <f>IF(ISERROR(G423/C423),"",G423/C423)</f>
        <v>0.97323855291954309</v>
      </c>
      <c r="L423" s="339"/>
      <c r="M423" s="333" t="s">
        <v>228</v>
      </c>
      <c r="N423" s="333"/>
      <c r="O423" s="334">
        <f>IF(ISERROR(G423/G424),"",G423/G424)</f>
        <v>54.151666290528844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727.41779003358545</v>
      </c>
      <c r="D424" s="337"/>
      <c r="E424" s="338" t="s">
        <v>18</v>
      </c>
      <c r="F424" s="338"/>
      <c r="G424" s="333">
        <f>R199+R408</f>
        <v>886.2</v>
      </c>
      <c r="H424" s="333"/>
      <c r="I424" s="313" t="s">
        <v>176</v>
      </c>
      <c r="J424" s="313"/>
      <c r="K424" s="339">
        <f>IF(ISERROR(C424/G424),"",C424/G424)</f>
        <v>0.82082801854387877</v>
      </c>
      <c r="L424" s="339"/>
      <c r="M424" s="279" t="s">
        <v>230</v>
      </c>
      <c r="N424" s="279"/>
      <c r="O424" s="333">
        <f>W200+W409</f>
        <v>6.6666666666666661</v>
      </c>
      <c r="P424" s="279"/>
      <c r="Q424" s="279" t="s">
        <v>231</v>
      </c>
      <c r="R424" s="279"/>
      <c r="S424" s="339">
        <f t="array" ref="S424">IF(ISERROR(O424/G424),"",O424/G424)</f>
        <v>7.5227563379222139E-3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238</v>
      </c>
      <c r="D426" s="337"/>
      <c r="E426" s="333" t="s">
        <v>234</v>
      </c>
      <c r="F426" s="333"/>
      <c r="G426" s="293">
        <f t="array" ref="G426">IF(ISERROR(C426/G423),"",C426/(G423/1000))</f>
        <v>4.9594485204381371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3204</v>
      </c>
      <c r="D427" s="337"/>
      <c r="E427" s="333" t="s">
        <v>236</v>
      </c>
      <c r="F427" s="333"/>
      <c r="G427" s="293">
        <f>IF(ISERROR(C427/G423),"",C427/(G423/1000))</f>
        <v>66.765012854973918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35</v>
      </c>
      <c r="D428" s="337"/>
      <c r="E428" s="333" t="s">
        <v>238</v>
      </c>
      <c r="F428" s="333"/>
      <c r="G428" s="293">
        <f>IF(ISERROR(C428/G423),"",C428/(G423/1000))</f>
        <v>0.72933066477031427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8.8000000000000007</v>
      </c>
      <c r="D429" s="337"/>
      <c r="E429" s="333" t="s">
        <v>240</v>
      </c>
      <c r="F429" s="333"/>
      <c r="G429" s="341">
        <f>IF(ISERROR(C429/G423),"",C429/(G423/1000))</f>
        <v>0.18337456714225048</v>
      </c>
      <c r="H429" s="341"/>
      <c r="I429" s="333" t="s">
        <v>241</v>
      </c>
      <c r="J429" s="333"/>
      <c r="K429" s="342">
        <f>IF(ISERROR(C428/C429),"",C428/C429)</f>
        <v>3.9772727272727271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360.5</v>
      </c>
      <c r="D432" s="346"/>
      <c r="E432" s="333" t="s">
        <v>247</v>
      </c>
      <c r="F432" s="351"/>
      <c r="G432" s="347">
        <f>+G411+G202</f>
        <v>360.5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8373.9</v>
      </c>
      <c r="D433" s="346"/>
      <c r="E433" s="333" t="s">
        <v>251</v>
      </c>
      <c r="F433" s="333"/>
      <c r="G433" s="347">
        <f>+G412+G203</f>
        <v>9039.9</v>
      </c>
      <c r="H433" s="348"/>
      <c r="I433" s="333" t="s">
        <v>252</v>
      </c>
      <c r="J433" s="333"/>
      <c r="K433" s="315">
        <f>G433-C433</f>
        <v>666</v>
      </c>
      <c r="L433" s="317"/>
      <c r="M433" s="349" t="s">
        <v>253</v>
      </c>
      <c r="N433" s="350"/>
      <c r="O433" s="343">
        <f t="array" ref="O433">IF(ISERROR(K433/C433),"",K433/C433)</f>
        <v>7.9532834163293098E-2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1647</v>
      </c>
      <c r="D434" s="346"/>
      <c r="E434" s="333" t="s">
        <v>255</v>
      </c>
      <c r="F434" s="351"/>
      <c r="G434" s="347">
        <f>+G413+G204</f>
        <v>1647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27</v>
      </c>
      <c r="D440" s="67">
        <v>27</v>
      </c>
      <c r="E440" s="153"/>
      <c r="F440" s="153"/>
      <c r="G440" s="153"/>
      <c r="H440" s="154"/>
      <c r="I440" s="154"/>
      <c r="J440" s="83">
        <f t="shared" si="63"/>
        <v>27</v>
      </c>
      <c r="K440" s="67">
        <v>2</v>
      </c>
      <c r="L440" s="67">
        <v>1</v>
      </c>
      <c r="M440" s="67"/>
      <c r="N440" s="67"/>
      <c r="O440" s="67"/>
      <c r="P440" s="118"/>
      <c r="Q440" s="83">
        <f t="shared" si="64"/>
        <v>24</v>
      </c>
      <c r="R440" s="158">
        <f t="shared" si="65"/>
        <v>264</v>
      </c>
      <c r="S440" s="101">
        <f t="array" ref="S440">IF(ISERROR(Q440/J440),"",Q440/J440)</f>
        <v>0.88888888888888884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46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46</v>
      </c>
      <c r="K443" s="68">
        <f t="shared" si="67"/>
        <v>2</v>
      </c>
      <c r="L443" s="68">
        <f t="shared" si="67"/>
        <v>1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0.93478260869565222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0.97297297297297303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58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55</v>
      </c>
      <c r="K452" s="69">
        <f t="shared" ref="K452:P452" si="71">+K443+K450+K451</f>
        <v>3</v>
      </c>
      <c r="L452" s="69">
        <f t="shared" si="71"/>
        <v>1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51</v>
      </c>
      <c r="R452" s="67">
        <f>R443+R450+R451</f>
        <v>909</v>
      </c>
      <c r="S452" s="123">
        <f t="array" ref="S452">IF(ISERROR(Q452/J452),"",Q452/J452)</f>
        <v>0.92727272727272725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0" topLeftCell="F414" activePane="bottomRight" state="frozen"/>
      <selection pane="topRight" activeCell="F1" sqref="F1"/>
      <selection pane="bottomLeft" activeCell="A31" sqref="A31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>
        <v>3002</v>
      </c>
      <c r="C31" s="248" t="s">
        <v>53</v>
      </c>
      <c r="D31" s="248"/>
      <c r="E31" s="166" t="s">
        <v>39</v>
      </c>
      <c r="F31" s="13"/>
      <c r="G31" s="133">
        <v>4.2</v>
      </c>
      <c r="H31" s="133">
        <v>0.2</v>
      </c>
      <c r="I31" s="133">
        <f>4+H31</f>
        <v>4.2</v>
      </c>
      <c r="J31" s="133"/>
      <c r="K31" s="164">
        <f t="shared" si="0"/>
        <v>1117.2</v>
      </c>
      <c r="L31" s="164">
        <f t="shared" si="1"/>
        <v>1117.2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14.419204956117708</v>
      </c>
      <c r="Q31" s="164">
        <v>5.5</v>
      </c>
      <c r="R31" s="19">
        <f t="shared" si="3"/>
        <v>11</v>
      </c>
      <c r="S31" s="164">
        <f t="shared" si="4"/>
        <v>-3.4192049561177082</v>
      </c>
      <c r="T31" s="20">
        <v>3</v>
      </c>
      <c r="U31" s="20">
        <v>2</v>
      </c>
      <c r="V31" s="161">
        <f t="array" ref="V31">IF(ISERROR(L31/K31),"",L31/K31)</f>
        <v>1</v>
      </c>
      <c r="W31" s="20"/>
      <c r="X31" s="20"/>
      <c r="Y31" s="20"/>
      <c r="Z31" s="20"/>
      <c r="AA31" s="20">
        <v>2</v>
      </c>
      <c r="AB31" s="20"/>
      <c r="AC31" s="20"/>
    </row>
    <row r="32" spans="1:29" ht="21.95" hidden="1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>
        <v>3004</v>
      </c>
      <c r="C34" s="248" t="s">
        <v>56</v>
      </c>
      <c r="D34" s="248"/>
      <c r="E34" s="166" t="s">
        <v>35</v>
      </c>
      <c r="F34" s="13"/>
      <c r="G34" s="133">
        <v>4</v>
      </c>
      <c r="H34" s="133"/>
      <c r="I34" s="133">
        <f>4-J34/500</f>
        <v>3.94</v>
      </c>
      <c r="J34" s="133">
        <v>30</v>
      </c>
      <c r="K34" s="164">
        <f t="shared" si="0"/>
        <v>2201.6</v>
      </c>
      <c r="L34" s="164">
        <f t="shared" si="1"/>
        <v>2168.576</v>
      </c>
      <c r="M34" s="164">
        <v>550.4</v>
      </c>
      <c r="N34" s="164">
        <f>+M34*1000/(31*20*15*60)*T34</f>
        <v>2.9591397849462364</v>
      </c>
      <c r="O34" s="164">
        <v>0.5</v>
      </c>
      <c r="P34" s="164">
        <f t="shared" si="2"/>
        <v>13.159010752688172</v>
      </c>
      <c r="Q34" s="164">
        <v>4</v>
      </c>
      <c r="R34" s="19">
        <f t="shared" si="3"/>
        <v>12</v>
      </c>
      <c r="S34" s="164">
        <f t="shared" si="4"/>
        <v>-1.1590107526881717</v>
      </c>
      <c r="T34" s="20">
        <v>3</v>
      </c>
      <c r="U34" s="20">
        <v>3</v>
      </c>
      <c r="V34" s="161">
        <f t="array" ref="V34">IF(ISERROR(L34/K34),"",L34/K34)</f>
        <v>0.9850000000000001</v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8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8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8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89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3004</v>
      </c>
      <c r="C39" s="259" t="s">
        <v>304</v>
      </c>
      <c r="D39" s="260"/>
      <c r="E39" s="166" t="s">
        <v>311</v>
      </c>
      <c r="F39" s="13"/>
      <c r="G39" s="133">
        <v>5</v>
      </c>
      <c r="H39" s="133"/>
      <c r="I39" s="133">
        <v>5</v>
      </c>
      <c r="J39" s="133"/>
      <c r="K39" s="164">
        <f t="shared" si="0"/>
        <v>2644</v>
      </c>
      <c r="L39" s="164">
        <f t="shared" si="1"/>
        <v>2644</v>
      </c>
      <c r="M39" s="164">
        <v>528.79999999999995</v>
      </c>
      <c r="N39" s="164">
        <f>+M39*1000/(31*10*13*60)*T39</f>
        <v>6.5607940446650126</v>
      </c>
      <c r="O39" s="164">
        <v>0.5</v>
      </c>
      <c r="P39" s="164">
        <f t="shared" si="2"/>
        <v>34.303970223325067</v>
      </c>
      <c r="Q39" s="164">
        <v>4.5</v>
      </c>
      <c r="R39" s="19">
        <f t="shared" si="3"/>
        <v>13.5</v>
      </c>
      <c r="S39" s="164">
        <f t="shared" si="4"/>
        <v>-20.803970223325067</v>
      </c>
      <c r="T39" s="20">
        <v>3</v>
      </c>
      <c r="U39" s="20">
        <v>3</v>
      </c>
      <c r="V39" s="189">
        <f t="array" ref="V39">IF(ISERROR(L39/K39),"",L39/K39)</f>
        <v>1</v>
      </c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3004</v>
      </c>
      <c r="C40" s="259" t="s">
        <v>304</v>
      </c>
      <c r="D40" s="260"/>
      <c r="E40" s="166" t="s">
        <v>303</v>
      </c>
      <c r="F40" s="13"/>
      <c r="G40" s="133">
        <v>2</v>
      </c>
      <c r="H40" s="133"/>
      <c r="I40" s="133">
        <v>2</v>
      </c>
      <c r="J40" s="133"/>
      <c r="K40" s="164">
        <f t="shared" si="0"/>
        <v>1057.5999999999999</v>
      </c>
      <c r="L40" s="164">
        <f t="shared" si="1"/>
        <v>1057.5999999999999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13.121588089330025</v>
      </c>
      <c r="Q40" s="164">
        <v>2.5</v>
      </c>
      <c r="R40" s="19">
        <f t="shared" si="3"/>
        <v>7.5</v>
      </c>
      <c r="S40" s="164">
        <f t="shared" si="4"/>
        <v>-5.6215880893300252</v>
      </c>
      <c r="T40" s="20">
        <v>3</v>
      </c>
      <c r="U40" s="20">
        <v>3</v>
      </c>
      <c r="V40" s="189">
        <f t="array" ref="V40">IF(ISERROR(L40/K40),"",L40/K40)</f>
        <v>1</v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8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8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8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8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8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89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89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89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89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8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8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8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8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8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8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8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89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8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89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89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89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>
        <v>4503</v>
      </c>
      <c r="C62" s="248" t="s">
        <v>81</v>
      </c>
      <c r="D62" s="248" t="s">
        <v>82</v>
      </c>
      <c r="E62" s="166" t="s">
        <v>80</v>
      </c>
      <c r="F62" s="13"/>
      <c r="G62" s="133">
        <v>8.6999999999999993</v>
      </c>
      <c r="H62" s="133">
        <v>0.7</v>
      </c>
      <c r="I62" s="133">
        <f>8+H62</f>
        <v>8.6999999999999993</v>
      </c>
      <c r="J62" s="133"/>
      <c r="K62" s="164">
        <f t="shared" si="0"/>
        <v>5125.17</v>
      </c>
      <c r="L62" s="164">
        <f t="shared" si="1"/>
        <v>5125.17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29.377335778975119</v>
      </c>
      <c r="Q62" s="164">
        <v>11</v>
      </c>
      <c r="R62" s="19">
        <f t="shared" si="3"/>
        <v>44</v>
      </c>
      <c r="S62" s="164">
        <f t="shared" si="4"/>
        <v>14.622664221024881</v>
      </c>
      <c r="T62" s="20">
        <v>3</v>
      </c>
      <c r="U62" s="20">
        <v>4</v>
      </c>
      <c r="V62" s="189">
        <f t="array" ref="V62">IF(ISERROR(L62/K62),"",L62/K62)</f>
        <v>1</v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8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8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89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89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89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89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89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8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8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8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8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89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8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89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8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8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8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8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89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8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89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8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89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89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89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8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8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8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8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8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8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8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8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8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89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8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8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8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8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89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89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89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>
        <v>5001</v>
      </c>
      <c r="C105" s="259" t="s">
        <v>296</v>
      </c>
      <c r="D105" s="260"/>
      <c r="E105" s="166" t="s">
        <v>299</v>
      </c>
      <c r="F105" s="13"/>
      <c r="G105" s="133">
        <v>11.6</v>
      </c>
      <c r="H105" s="133">
        <v>0.6</v>
      </c>
      <c r="I105" s="133">
        <f>11+H105</f>
        <v>11.6</v>
      </c>
      <c r="J105" s="133"/>
      <c r="K105" s="164">
        <f t="shared" si="7"/>
        <v>6079.56</v>
      </c>
      <c r="L105" s="164">
        <f t="shared" si="8"/>
        <v>6079.56</v>
      </c>
      <c r="M105" s="164">
        <v>524.1</v>
      </c>
      <c r="N105" s="164">
        <f t="shared" si="12"/>
        <v>3.3467432950191571</v>
      </c>
      <c r="O105" s="164"/>
      <c r="P105" s="164">
        <f t="shared" si="9"/>
        <v>38.822222222222223</v>
      </c>
      <c r="Q105" s="164">
        <v>11</v>
      </c>
      <c r="R105" s="19">
        <f t="shared" si="10"/>
        <v>55</v>
      </c>
      <c r="S105" s="164">
        <f t="shared" si="11"/>
        <v>16.177777777777777</v>
      </c>
      <c r="T105" s="20">
        <v>4</v>
      </c>
      <c r="U105" s="20">
        <v>5</v>
      </c>
      <c r="V105" s="189">
        <f t="array" ref="V105">IF(ISERROR(L105/K105),"",L105/K105)</f>
        <v>1</v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89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89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89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89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89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89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>
        <v>6502</v>
      </c>
      <c r="C112" s="248" t="s">
        <v>119</v>
      </c>
      <c r="D112" s="248" t="s">
        <v>120</v>
      </c>
      <c r="E112" s="166" t="s">
        <v>35</v>
      </c>
      <c r="F112" s="13"/>
      <c r="G112" s="133">
        <v>9.6</v>
      </c>
      <c r="H112" s="133">
        <v>0.9</v>
      </c>
      <c r="I112" s="133">
        <f>9+H112-J112/200</f>
        <v>9.6</v>
      </c>
      <c r="J112" s="133">
        <v>60</v>
      </c>
      <c r="K112" s="164">
        <f t="shared" si="7"/>
        <v>2909.76</v>
      </c>
      <c r="L112" s="164">
        <f t="shared" si="8"/>
        <v>2909.76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45.924242424242422</v>
      </c>
      <c r="Q112" s="164">
        <v>11</v>
      </c>
      <c r="R112" s="19">
        <f t="shared" si="10"/>
        <v>66</v>
      </c>
      <c r="S112" s="164">
        <f t="shared" si="11"/>
        <v>20.075757575757578</v>
      </c>
      <c r="T112" s="20">
        <v>4</v>
      </c>
      <c r="U112" s="20">
        <v>6</v>
      </c>
      <c r="V112" s="189">
        <f t="array" ref="V112">IF(ISERROR(L112/K112),"",L112/K112)</f>
        <v>1</v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48" t="s">
        <v>139</v>
      </c>
      <c r="D141" s="248" t="s">
        <v>140</v>
      </c>
      <c r="E141" s="166" t="s">
        <v>135</v>
      </c>
      <c r="F141" s="27"/>
      <c r="G141" s="133">
        <v>9</v>
      </c>
      <c r="H141" s="133">
        <v>0.2</v>
      </c>
      <c r="I141" s="133">
        <f>7+H141-J141/400</f>
        <v>7.0750000000000002</v>
      </c>
      <c r="J141" s="133">
        <v>50</v>
      </c>
      <c r="K141" s="164">
        <f t="shared" si="7"/>
        <v>5013</v>
      </c>
      <c r="L141" s="164">
        <f t="shared" si="8"/>
        <v>3940.7750000000001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43.267182696530519</v>
      </c>
      <c r="Q141" s="164">
        <v>11</v>
      </c>
      <c r="R141" s="19">
        <f t="shared" si="10"/>
        <v>55</v>
      </c>
      <c r="S141" s="164">
        <f t="shared" si="11"/>
        <v>11.732817303469481</v>
      </c>
      <c r="T141" s="20">
        <v>5</v>
      </c>
      <c r="U141" s="20">
        <v>5</v>
      </c>
      <c r="V141" s="161">
        <f t="array" ref="V141">IF(ISERROR(L141/K141),"",L141/K141)</f>
        <v>0.78611111111111109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33">
        <v>3</v>
      </c>
      <c r="H175" s="133"/>
      <c r="I175" s="133">
        <v>3</v>
      </c>
      <c r="J175" s="133"/>
      <c r="K175" s="164">
        <f t="shared" si="15"/>
        <v>1947.3000000000002</v>
      </c>
      <c r="L175" s="164">
        <f t="shared" si="16"/>
        <v>1947.3000000000002</v>
      </c>
      <c r="M175" s="15">
        <v>649.1</v>
      </c>
      <c r="N175" s="164">
        <f t="shared" si="21"/>
        <v>5.1496255394770252</v>
      </c>
      <c r="O175" s="164"/>
      <c r="P175" s="164">
        <f t="shared" si="17"/>
        <v>15.448876618431076</v>
      </c>
      <c r="Q175" s="164">
        <v>4.5</v>
      </c>
      <c r="R175" s="19">
        <f t="shared" si="18"/>
        <v>31.5</v>
      </c>
      <c r="S175" s="164">
        <f t="shared" si="19"/>
        <v>16.051123381568924</v>
      </c>
      <c r="T175" s="20">
        <v>5</v>
      </c>
      <c r="U175" s="20">
        <v>7</v>
      </c>
      <c r="V175" s="161">
        <f t="array" ref="V175">IF(ISERROR(L175/K175),"",L175/K175)</f>
        <v>1</v>
      </c>
      <c r="W175" s="20"/>
      <c r="X175" s="20"/>
      <c r="Y175" s="20"/>
      <c r="Z175" s="20"/>
      <c r="AA175" s="20">
        <v>2</v>
      </c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57.1</v>
      </c>
      <c r="H199" s="164">
        <f t="array" ref="H199">SUM(IF(ISERROR(H6:H198),“”,H6:H198))</f>
        <v>2.6</v>
      </c>
      <c r="I199" s="164">
        <f t="array" ref="I199">SUM(IF(ISERROR(I6:I198),“”,I6:I198))</f>
        <v>55.115000000000002</v>
      </c>
      <c r="J199" s="164">
        <f t="array" ref="J199">SUM(IF(ISERROR(J6:J198),“”,J6:J198))</f>
        <v>140</v>
      </c>
      <c r="K199" s="164">
        <f t="array" ref="K199">SUM(IF(ISERROR(K6:K198),“”,K6:K198))</f>
        <v>28095.19</v>
      </c>
      <c r="L199" s="56">
        <f>SUM(L6:L198)</f>
        <v>26989.941000000003</v>
      </c>
      <c r="M199" s="164"/>
      <c r="N199" s="164"/>
      <c r="O199" s="164">
        <f>SUM(O6:O190)</f>
        <v>1</v>
      </c>
      <c r="P199" s="56">
        <f>SUM((P6:P190),(W204:X209))</f>
        <v>379.84363376186229</v>
      </c>
      <c r="Q199" s="164"/>
      <c r="R199" s="56">
        <f>SUM((R6:R190),(Y204:Z209))</f>
        <v>438.5</v>
      </c>
      <c r="S199" s="164">
        <f t="array" ref="S199">SUM(IF(ISERROR(S6:S198),“”,S6:S198))</f>
        <v>47.656366238137672</v>
      </c>
      <c r="T199" s="164"/>
      <c r="U199" s="164"/>
      <c r="V199" s="161">
        <f>IF(ISERROR(L199/K199),"",L199/K199)</f>
        <v>0.96066056146977485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4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0.86623405646946927</v>
      </c>
      <c r="P200" s="274"/>
      <c r="Q200" s="274"/>
      <c r="R200" s="275"/>
      <c r="S200" s="44"/>
      <c r="T200" s="45"/>
      <c r="U200" s="45"/>
      <c r="V200" s="45"/>
      <c r="W200" s="276">
        <f>SUM(W199:AC199)</f>
        <v>4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188.5</v>
      </c>
      <c r="F202" s="279"/>
      <c r="G202" s="279">
        <v>188.5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4399.5</v>
      </c>
      <c r="F203" s="279"/>
      <c r="G203" s="279">
        <v>4940.5</v>
      </c>
      <c r="H203" s="279"/>
      <c r="I203" s="279">
        <f>G203-E203</f>
        <v>541</v>
      </c>
      <c r="J203" s="279"/>
      <c r="K203" s="281">
        <f t="array" ref="K203">IF(ISERROR(I203/E203),"",I203/E203)</f>
        <v>0.12296851914990339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23</v>
      </c>
      <c r="T203" s="284"/>
      <c r="U203" s="284">
        <v>26</v>
      </c>
      <c r="V203" s="284"/>
      <c r="W203" s="283">
        <f t="shared" ref="W203:W210" si="28">S203*11</f>
        <v>253</v>
      </c>
      <c r="X203" s="283"/>
      <c r="Y203" s="283">
        <f t="shared" ref="Y203:Y210" si="29">U203*11</f>
        <v>286</v>
      </c>
      <c r="Z203" s="283"/>
      <c r="AA203" s="283">
        <f t="shared" ref="AA203:AA210" si="30">Y203-W203</f>
        <v>33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942</v>
      </c>
      <c r="F204" s="279"/>
      <c r="G204" s="279">
        <v>942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5</v>
      </c>
      <c r="T204" s="284"/>
      <c r="U204" s="284">
        <v>6</v>
      </c>
      <c r="V204" s="284"/>
      <c r="W204" s="283">
        <f t="shared" si="28"/>
        <v>55</v>
      </c>
      <c r="X204" s="283"/>
      <c r="Y204" s="283">
        <f t="shared" si="29"/>
        <v>66</v>
      </c>
      <c r="Z204" s="283"/>
      <c r="AA204" s="283">
        <f t="shared" si="30"/>
        <v>11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1</v>
      </c>
      <c r="V205" s="284"/>
      <c r="W205" s="283">
        <f t="shared" si="28"/>
        <v>8.25</v>
      </c>
      <c r="X205" s="283"/>
      <c r="Y205" s="283">
        <f t="shared" si="29"/>
        <v>11</v>
      </c>
      <c r="Z205" s="283"/>
      <c r="AA205" s="283">
        <f t="shared" si="30"/>
        <v>2.75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150101</v>
      </c>
      <c r="H206" s="286"/>
      <c r="I206" s="325">
        <v>149985</v>
      </c>
      <c r="J206" s="326"/>
      <c r="K206" s="289">
        <f>G206-I206</f>
        <v>116</v>
      </c>
      <c r="L206" s="289"/>
      <c r="M206" s="290">
        <f t="array" ref="M206">IF(ISERROR(K206/L199),"",K206/(L199/1000))</f>
        <v>4.2978975018878325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1</v>
      </c>
      <c r="V206" s="284"/>
      <c r="W206" s="283">
        <f t="shared" si="28"/>
        <v>8.25</v>
      </c>
      <c r="X206" s="283"/>
      <c r="Y206" s="283">
        <f t="shared" si="29"/>
        <v>11</v>
      </c>
      <c r="Z206" s="283"/>
      <c r="AA206" s="283">
        <f t="shared" si="30"/>
        <v>2.75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28614.9*120+44914.8*60</f>
        <v>6128676</v>
      </c>
      <c r="H207" s="286"/>
      <c r="I207" s="325">
        <v>6126948</v>
      </c>
      <c r="J207" s="326"/>
      <c r="K207" s="289">
        <f>G207-I207</f>
        <v>1728</v>
      </c>
      <c r="L207" s="289"/>
      <c r="M207" s="290">
        <f t="array" ref="M207">IF(ISERROR(K207/L199),"",K207/(L199/1000))</f>
        <v>64.023852441915295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8"/>
        <v>16.5</v>
      </c>
      <c r="X207" s="283"/>
      <c r="Y207" s="283">
        <f t="shared" si="29"/>
        <v>11</v>
      </c>
      <c r="Z207" s="283"/>
      <c r="AA207" s="283">
        <f t="shared" si="30"/>
        <v>-5.5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+I208+18</f>
        <v>26920</v>
      </c>
      <c r="H208" s="286"/>
      <c r="I208" s="285">
        <v>26902</v>
      </c>
      <c r="J208" s="286"/>
      <c r="K208" s="289">
        <f>G208-I208</f>
        <v>18</v>
      </c>
      <c r="L208" s="289"/>
      <c r="M208" s="293">
        <f t="array" ref="M208">IF(ISERROR(K208/L199),"",K208/(L199/1000))</f>
        <v>0.66691512960328436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2.56+2.4/2</f>
        <v>3.76</v>
      </c>
      <c r="L209" s="292"/>
      <c r="M209" s="294">
        <f t="array" ref="M209">IF(ISERROR((K209+K210)/L199),"",((K209+K210)*1000)/(L199/1000))</f>
        <v>139.31116040601941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3</v>
      </c>
      <c r="V209" s="284"/>
      <c r="W209" s="283">
        <f t="shared" si="28"/>
        <v>33</v>
      </c>
      <c r="X209" s="283"/>
      <c r="Y209" s="283">
        <f t="shared" si="29"/>
        <v>33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35</v>
      </c>
      <c r="T210" s="284"/>
      <c r="U210" s="284">
        <f>SUM(U203:V209)</f>
        <v>39</v>
      </c>
      <c r="V210" s="284"/>
      <c r="W210" s="283">
        <f t="shared" si="28"/>
        <v>385</v>
      </c>
      <c r="X210" s="283"/>
      <c r="Y210" s="283">
        <f t="shared" si="29"/>
        <v>429</v>
      </c>
      <c r="Z210" s="283"/>
      <c r="AA210" s="283">
        <f t="shared" si="30"/>
        <v>44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4.7872340425531918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62.91361538461539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>
        <v>3004</v>
      </c>
      <c r="C243" s="248" t="s">
        <v>56</v>
      </c>
      <c r="D243" s="248"/>
      <c r="E243" s="166" t="s">
        <v>35</v>
      </c>
      <c r="F243" s="165">
        <v>1436</v>
      </c>
      <c r="G243" s="164">
        <v>6.06</v>
      </c>
      <c r="H243" s="164">
        <v>0.06</v>
      </c>
      <c r="I243" s="164">
        <f>6+H243</f>
        <v>6.06</v>
      </c>
      <c r="J243" s="164"/>
      <c r="K243" s="164">
        <f t="shared" si="31"/>
        <v>3335.4239999999995</v>
      </c>
      <c r="L243" s="164">
        <f t="shared" si="32"/>
        <v>3335.4239999999995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17.932387096774193</v>
      </c>
      <c r="Q243" s="164">
        <v>7</v>
      </c>
      <c r="R243" s="19">
        <f t="shared" si="35"/>
        <v>21</v>
      </c>
      <c r="S243" s="164">
        <f t="shared" si="36"/>
        <v>3.0676129032258075</v>
      </c>
      <c r="T243" s="20">
        <v>3</v>
      </c>
      <c r="U243" s="20">
        <v>3</v>
      </c>
      <c r="V243" s="161">
        <f t="array" ref="V243">IF(ISERROR(L243/K243),"",L243/K243)</f>
        <v>1</v>
      </c>
      <c r="W243" s="20"/>
      <c r="X243" s="20">
        <f>50/60*3</f>
        <v>2.5</v>
      </c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>
        <v>3004</v>
      </c>
      <c r="C244" s="248" t="s">
        <v>56</v>
      </c>
      <c r="D244" s="248"/>
      <c r="E244" s="166" t="s">
        <v>57</v>
      </c>
      <c r="F244" s="165">
        <v>1437</v>
      </c>
      <c r="G244" s="164">
        <v>5</v>
      </c>
      <c r="H244" s="164"/>
      <c r="I244" s="164">
        <f>5-J244/500</f>
        <v>4.4000000000000004</v>
      </c>
      <c r="J244" s="164">
        <v>300</v>
      </c>
      <c r="K244" s="164">
        <f t="shared" si="31"/>
        <v>2752</v>
      </c>
      <c r="L244" s="164">
        <f t="shared" si="32"/>
        <v>2421.7600000000002</v>
      </c>
      <c r="M244" s="164">
        <v>550.4</v>
      </c>
      <c r="N244" s="164">
        <f>+M244*1000/(31*20*15*60)*T244</f>
        <v>2.9591397849462364</v>
      </c>
      <c r="O244" s="164">
        <v>0.5</v>
      </c>
      <c r="P244" s="164">
        <f t="shared" si="34"/>
        <v>14.520215053763442</v>
      </c>
      <c r="Q244" s="164">
        <v>4.5</v>
      </c>
      <c r="R244" s="19">
        <f t="shared" si="35"/>
        <v>13.5</v>
      </c>
      <c r="S244" s="164">
        <f t="shared" si="36"/>
        <v>-1.020215053763442</v>
      </c>
      <c r="T244" s="20">
        <v>3</v>
      </c>
      <c r="U244" s="20">
        <v>3</v>
      </c>
      <c r="V244" s="161">
        <f t="array" ref="V244">IF(ISERROR(L244/K244),"",L244/K244)</f>
        <v>0.88000000000000012</v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89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89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89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89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89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89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89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89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89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89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89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89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89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89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89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89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89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89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89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89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89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89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89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89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89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>
        <v>4503</v>
      </c>
      <c r="C270" s="259" t="s">
        <v>301</v>
      </c>
      <c r="D270" s="260"/>
      <c r="E270" s="166" t="s">
        <v>80</v>
      </c>
      <c r="F270" s="165">
        <v>1439</v>
      </c>
      <c r="G270" s="190">
        <v>5</v>
      </c>
      <c r="H270" s="190"/>
      <c r="I270" s="190">
        <f>5-J270/350</f>
        <v>4.5714285714285712</v>
      </c>
      <c r="J270" s="190">
        <v>150</v>
      </c>
      <c r="K270" s="164">
        <f t="shared" si="31"/>
        <v>2149</v>
      </c>
      <c r="L270" s="164">
        <f t="shared" si="32"/>
        <v>1964.8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16.793162393162394</v>
      </c>
      <c r="Q270" s="164">
        <v>4.5</v>
      </c>
      <c r="R270" s="19">
        <f t="shared" si="35"/>
        <v>18</v>
      </c>
      <c r="S270" s="164">
        <f t="shared" si="36"/>
        <v>1.2068376068376061</v>
      </c>
      <c r="T270" s="20">
        <v>3</v>
      </c>
      <c r="U270" s="20">
        <v>4</v>
      </c>
      <c r="V270" s="189">
        <f t="array" ref="V270">IF(ISERROR(L270/K270),"",L270/K270)</f>
        <v>0.91428571428571426</v>
      </c>
      <c r="W270" s="20"/>
      <c r="X270" s="20"/>
      <c r="Y270" s="20"/>
      <c r="Z270" s="20"/>
      <c r="AA270" s="20">
        <v>2</v>
      </c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90"/>
      <c r="H271" s="190"/>
      <c r="I271" s="190"/>
      <c r="J271" s="190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89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90"/>
      <c r="H272" s="190"/>
      <c r="I272" s="190"/>
      <c r="J272" s="190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89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90"/>
      <c r="H273" s="190"/>
      <c r="I273" s="190"/>
      <c r="J273" s="190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89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90"/>
      <c r="H274" s="190"/>
      <c r="I274" s="190"/>
      <c r="J274" s="190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89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90"/>
      <c r="H275" s="190"/>
      <c r="I275" s="190"/>
      <c r="J275" s="190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89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90"/>
      <c r="H276" s="190"/>
      <c r="I276" s="190"/>
      <c r="J276" s="190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89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90"/>
      <c r="H277" s="190"/>
      <c r="I277" s="190"/>
      <c r="J277" s="190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89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90"/>
      <c r="H278" s="190"/>
      <c r="I278" s="190"/>
      <c r="J278" s="190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89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90"/>
      <c r="H279" s="190"/>
      <c r="I279" s="190"/>
      <c r="J279" s="190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89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90"/>
      <c r="H280" s="190"/>
      <c r="I280" s="190"/>
      <c r="J280" s="190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89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90"/>
      <c r="H281" s="190"/>
      <c r="I281" s="190"/>
      <c r="J281" s="190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89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90"/>
      <c r="H282" s="190"/>
      <c r="I282" s="190"/>
      <c r="J282" s="190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89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90"/>
      <c r="H283" s="190"/>
      <c r="I283" s="190"/>
      <c r="J283" s="190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89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90"/>
      <c r="H284" s="190"/>
      <c r="I284" s="190"/>
      <c r="J284" s="190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89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90"/>
      <c r="H285" s="190"/>
      <c r="I285" s="190"/>
      <c r="J285" s="190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89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90"/>
      <c r="H286" s="190"/>
      <c r="I286" s="190"/>
      <c r="J286" s="190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89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90"/>
      <c r="H287" s="190"/>
      <c r="I287" s="190"/>
      <c r="J287" s="190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89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90"/>
      <c r="H288" s="190"/>
      <c r="I288" s="190"/>
      <c r="J288" s="190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89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90"/>
      <c r="H289" s="190"/>
      <c r="I289" s="190"/>
      <c r="J289" s="190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89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90"/>
      <c r="H290" s="190"/>
      <c r="I290" s="190"/>
      <c r="J290" s="190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89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90"/>
      <c r="H291" s="190"/>
      <c r="I291" s="190"/>
      <c r="J291" s="190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89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90"/>
      <c r="H292" s="190"/>
      <c r="I292" s="190"/>
      <c r="J292" s="190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89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90"/>
      <c r="H293" s="190"/>
      <c r="I293" s="190"/>
      <c r="J293" s="190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89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90"/>
      <c r="H294" s="190"/>
      <c r="I294" s="190"/>
      <c r="J294" s="190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89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90"/>
      <c r="H295" s="190"/>
      <c r="I295" s="190"/>
      <c r="J295" s="190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89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90"/>
      <c r="H296" s="190"/>
      <c r="I296" s="190"/>
      <c r="J296" s="190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89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90"/>
      <c r="H297" s="190"/>
      <c r="I297" s="190"/>
      <c r="J297" s="190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89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90"/>
      <c r="H298" s="190"/>
      <c r="I298" s="190"/>
      <c r="J298" s="190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89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90"/>
      <c r="H299" s="190"/>
      <c r="I299" s="190"/>
      <c r="J299" s="190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89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90"/>
      <c r="H300" s="190"/>
      <c r="I300" s="190"/>
      <c r="J300" s="190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89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90"/>
      <c r="H301" s="190"/>
      <c r="I301" s="190"/>
      <c r="J301" s="190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89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90"/>
      <c r="H302" s="190"/>
      <c r="I302" s="190"/>
      <c r="J302" s="190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89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90"/>
      <c r="H303" s="190"/>
      <c r="I303" s="190"/>
      <c r="J303" s="190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89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90"/>
      <c r="H304" s="190"/>
      <c r="I304" s="190"/>
      <c r="J304" s="190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89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90"/>
      <c r="H305" s="190"/>
      <c r="I305" s="190"/>
      <c r="J305" s="190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89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90"/>
      <c r="H306" s="190"/>
      <c r="I306" s="190"/>
      <c r="J306" s="190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89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90"/>
      <c r="H307" s="190"/>
      <c r="I307" s="190"/>
      <c r="J307" s="190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89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90"/>
      <c r="H308" s="190"/>
      <c r="I308" s="190"/>
      <c r="J308" s="190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89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90"/>
      <c r="H309" s="190"/>
      <c r="I309" s="190"/>
      <c r="J309" s="190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89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90"/>
      <c r="H310" s="190"/>
      <c r="I310" s="190"/>
      <c r="J310" s="190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89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90"/>
      <c r="H311" s="190"/>
      <c r="I311" s="190"/>
      <c r="J311" s="190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89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90"/>
      <c r="H312" s="190"/>
      <c r="I312" s="190"/>
      <c r="J312" s="19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89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90"/>
      <c r="H313" s="190"/>
      <c r="I313" s="190"/>
      <c r="J313" s="19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89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90"/>
      <c r="H314" s="190"/>
      <c r="I314" s="190"/>
      <c r="J314" s="19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89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>
        <v>5001</v>
      </c>
      <c r="C315" s="259" t="s">
        <v>114</v>
      </c>
      <c r="D315" s="260"/>
      <c r="E315" s="166" t="s">
        <v>115</v>
      </c>
      <c r="F315" s="165">
        <v>1471</v>
      </c>
      <c r="G315" s="190">
        <v>1</v>
      </c>
      <c r="H315" s="190"/>
      <c r="I315" s="190">
        <v>1</v>
      </c>
      <c r="J315" s="190"/>
      <c r="K315" s="164">
        <f t="shared" si="38"/>
        <v>417.4</v>
      </c>
      <c r="L315" s="164">
        <f t="shared" si="39"/>
        <v>417.4</v>
      </c>
      <c r="M315" s="164">
        <v>417.4</v>
      </c>
      <c r="N315" s="164">
        <f>+M315*1000/(87*1*80*60)*T315</f>
        <v>3.9980842911877397</v>
      </c>
      <c r="O315" s="164">
        <v>0.5</v>
      </c>
      <c r="P315" s="164">
        <f t="shared" si="40"/>
        <v>5.9980842911877392</v>
      </c>
      <c r="Q315" s="164">
        <v>1.5</v>
      </c>
      <c r="R315" s="19">
        <f t="shared" si="41"/>
        <v>6</v>
      </c>
      <c r="S315" s="164">
        <f t="shared" si="42"/>
        <v>1.9157088122607746E-3</v>
      </c>
      <c r="T315" s="20">
        <v>4</v>
      </c>
      <c r="U315" s="20">
        <v>4</v>
      </c>
      <c r="V315" s="189">
        <f t="array" ref="V315">IF(ISERROR(L315/K315),"",L315/K315)</f>
        <v>1</v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>
        <v>5001</v>
      </c>
      <c r="C316" s="259" t="s">
        <v>114</v>
      </c>
      <c r="D316" s="260"/>
      <c r="E316" s="166" t="s">
        <v>117</v>
      </c>
      <c r="F316" s="165">
        <v>1472</v>
      </c>
      <c r="G316" s="190">
        <v>10</v>
      </c>
      <c r="H316" s="190"/>
      <c r="I316" s="190">
        <v>10</v>
      </c>
      <c r="J316" s="190"/>
      <c r="K316" s="164">
        <f t="shared" si="38"/>
        <v>4174</v>
      </c>
      <c r="L316" s="164">
        <f t="shared" si="39"/>
        <v>4174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39.980842911877396</v>
      </c>
      <c r="Q316" s="164">
        <v>10</v>
      </c>
      <c r="R316" s="19">
        <f t="shared" si="41"/>
        <v>40</v>
      </c>
      <c r="S316" s="164">
        <f t="shared" si="42"/>
        <v>1.9157088122604193E-2</v>
      </c>
      <c r="T316" s="20">
        <v>4</v>
      </c>
      <c r="U316" s="20">
        <v>4</v>
      </c>
      <c r="V316" s="189">
        <f t="array" ref="V316">IF(ISERROR(L316/K316),"",L316/K316)</f>
        <v>1</v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90"/>
      <c r="H317" s="190"/>
      <c r="I317" s="190"/>
      <c r="J317" s="190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90"/>
      <c r="H318" s="190"/>
      <c r="I318" s="190"/>
      <c r="J318" s="190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90"/>
      <c r="H319" s="190"/>
      <c r="I319" s="190"/>
      <c r="J319" s="190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90"/>
      <c r="H320" s="190"/>
      <c r="I320" s="190"/>
      <c r="J320" s="190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>
        <v>6502</v>
      </c>
      <c r="C321" s="248" t="s">
        <v>119</v>
      </c>
      <c r="D321" s="248" t="s">
        <v>120</v>
      </c>
      <c r="E321" s="166" t="s">
        <v>35</v>
      </c>
      <c r="F321" s="165">
        <v>1438</v>
      </c>
      <c r="G321" s="190">
        <v>7.3</v>
      </c>
      <c r="H321" s="190">
        <v>0.3</v>
      </c>
      <c r="I321" s="190">
        <f>7+H321</f>
        <v>7.3</v>
      </c>
      <c r="J321" s="190"/>
      <c r="K321" s="164">
        <f t="shared" si="38"/>
        <v>2212.63</v>
      </c>
      <c r="L321" s="164">
        <f t="shared" si="39"/>
        <v>2212.63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34.921559343434346</v>
      </c>
      <c r="Q321" s="164">
        <v>8</v>
      </c>
      <c r="R321" s="19">
        <f t="shared" si="41"/>
        <v>32</v>
      </c>
      <c r="S321" s="164">
        <f t="shared" si="42"/>
        <v>-2.9215593434343461</v>
      </c>
      <c r="T321" s="20">
        <v>4</v>
      </c>
      <c r="U321" s="20">
        <v>4</v>
      </c>
      <c r="V321" s="161">
        <f t="array" ref="V321">IF(ISERROR(L321/K321),"",L321/K321)</f>
        <v>1</v>
      </c>
      <c r="W321" s="20"/>
      <c r="X321" s="20"/>
      <c r="Y321" s="20"/>
      <c r="Z321" s="20"/>
      <c r="AA321" s="20">
        <v>2</v>
      </c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90"/>
      <c r="H322" s="190"/>
      <c r="I322" s="190"/>
      <c r="J322" s="190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90"/>
      <c r="H323" s="190"/>
      <c r="I323" s="190"/>
      <c r="J323" s="190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90"/>
      <c r="H324" s="190"/>
      <c r="I324" s="190"/>
      <c r="J324" s="190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90"/>
      <c r="H325" s="190"/>
      <c r="I325" s="190"/>
      <c r="J325" s="190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90"/>
      <c r="H326" s="190"/>
      <c r="I326" s="190"/>
      <c r="J326" s="190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90"/>
      <c r="H327" s="190"/>
      <c r="I327" s="190"/>
      <c r="J327" s="190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90"/>
      <c r="H328" s="190"/>
      <c r="I328" s="190"/>
      <c r="J328" s="190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90"/>
      <c r="H329" s="190"/>
      <c r="I329" s="190"/>
      <c r="J329" s="190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190"/>
      <c r="H330" s="190"/>
      <c r="I330" s="190"/>
      <c r="J330" s="190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190"/>
      <c r="H331" s="190"/>
      <c r="I331" s="190"/>
      <c r="J331" s="190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190"/>
      <c r="H332" s="190"/>
      <c r="I332" s="190"/>
      <c r="J332" s="190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190"/>
      <c r="H333" s="190"/>
      <c r="I333" s="190"/>
      <c r="J333" s="190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190"/>
      <c r="H334" s="190"/>
      <c r="I334" s="190"/>
      <c r="J334" s="190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90"/>
      <c r="H335" s="190"/>
      <c r="I335" s="190"/>
      <c r="J335" s="190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90"/>
      <c r="H336" s="190"/>
      <c r="I336" s="190"/>
      <c r="J336" s="190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90"/>
      <c r="H337" s="190"/>
      <c r="I337" s="190"/>
      <c r="J337" s="190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90"/>
      <c r="H338" s="190"/>
      <c r="I338" s="190"/>
      <c r="J338" s="190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90"/>
      <c r="H339" s="190"/>
      <c r="I339" s="190"/>
      <c r="J339" s="190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90"/>
      <c r="H340" s="190"/>
      <c r="I340" s="190"/>
      <c r="J340" s="190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90"/>
      <c r="H341" s="190"/>
      <c r="I341" s="190"/>
      <c r="J341" s="190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90"/>
      <c r="H342" s="190"/>
      <c r="I342" s="190"/>
      <c r="J342" s="190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90"/>
      <c r="H343" s="190"/>
      <c r="I343" s="190"/>
      <c r="J343" s="190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90"/>
      <c r="H344" s="190"/>
      <c r="I344" s="190"/>
      <c r="J344" s="190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90"/>
      <c r="H345" s="190"/>
      <c r="I345" s="190"/>
      <c r="J345" s="190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90"/>
      <c r="H346" s="190"/>
      <c r="I346" s="190"/>
      <c r="J346" s="190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90"/>
      <c r="H347" s="190"/>
      <c r="I347" s="190"/>
      <c r="J347" s="190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90"/>
      <c r="H348" s="190"/>
      <c r="I348" s="190"/>
      <c r="J348" s="190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90"/>
      <c r="H349" s="190"/>
      <c r="I349" s="190"/>
      <c r="J349" s="190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48" t="s">
        <v>139</v>
      </c>
      <c r="D350" s="248" t="s">
        <v>140</v>
      </c>
      <c r="E350" s="166" t="s">
        <v>135</v>
      </c>
      <c r="F350" s="165">
        <v>1441</v>
      </c>
      <c r="G350" s="190">
        <v>7</v>
      </c>
      <c r="H350" s="190">
        <v>0.125</v>
      </c>
      <c r="I350" s="190">
        <f>7+H350-J350/400</f>
        <v>7</v>
      </c>
      <c r="J350" s="190">
        <v>50</v>
      </c>
      <c r="K350" s="164">
        <f t="shared" si="38"/>
        <v>3899</v>
      </c>
      <c r="L350" s="164">
        <f t="shared" si="39"/>
        <v>3899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42.808519982433019</v>
      </c>
      <c r="Q350" s="164">
        <v>11.5</v>
      </c>
      <c r="R350" s="19">
        <f t="shared" si="41"/>
        <v>69</v>
      </c>
      <c r="S350" s="164">
        <f t="shared" si="42"/>
        <v>26.191480017566981</v>
      </c>
      <c r="T350" s="20">
        <v>5</v>
      </c>
      <c r="U350" s="20">
        <v>6</v>
      </c>
      <c r="V350" s="161">
        <f t="array" ref="V350">IF(ISERROR(L350/K350),"",L350/K350)</f>
        <v>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90"/>
      <c r="H351" s="190"/>
      <c r="I351" s="190"/>
      <c r="J351" s="190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90"/>
      <c r="H352" s="190"/>
      <c r="I352" s="190"/>
      <c r="J352" s="190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90"/>
      <c r="H353" s="190"/>
      <c r="I353" s="190"/>
      <c r="J353" s="190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90"/>
      <c r="H354" s="190"/>
      <c r="I354" s="190"/>
      <c r="J354" s="190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90"/>
      <c r="H355" s="190"/>
      <c r="I355" s="190"/>
      <c r="J355" s="190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90"/>
      <c r="H356" s="190"/>
      <c r="I356" s="190"/>
      <c r="J356" s="190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90"/>
      <c r="H357" s="190"/>
      <c r="I357" s="190"/>
      <c r="J357" s="190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90"/>
      <c r="H358" s="190"/>
      <c r="I358" s="190"/>
      <c r="J358" s="190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90"/>
      <c r="H359" s="190"/>
      <c r="I359" s="190"/>
      <c r="J359" s="190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90"/>
      <c r="H360" s="190"/>
      <c r="I360" s="190"/>
      <c r="J360" s="190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90"/>
      <c r="H361" s="190"/>
      <c r="I361" s="190"/>
      <c r="J361" s="190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90"/>
      <c r="H362" s="190"/>
      <c r="I362" s="190"/>
      <c r="J362" s="190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90"/>
      <c r="H363" s="190"/>
      <c r="I363" s="190"/>
      <c r="J363" s="190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90"/>
      <c r="H364" s="190"/>
      <c r="I364" s="190"/>
      <c r="J364" s="190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90"/>
      <c r="H365" s="190"/>
      <c r="I365" s="190"/>
      <c r="J365" s="190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90"/>
      <c r="H366" s="190"/>
      <c r="I366" s="190"/>
      <c r="J366" s="190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90"/>
      <c r="H367" s="190"/>
      <c r="I367" s="190"/>
      <c r="J367" s="190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90"/>
      <c r="H368" s="190"/>
      <c r="I368" s="190"/>
      <c r="J368" s="190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90"/>
      <c r="H369" s="190"/>
      <c r="I369" s="190"/>
      <c r="J369" s="190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90"/>
      <c r="H370" s="190"/>
      <c r="I370" s="190"/>
      <c r="J370" s="190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90"/>
      <c r="H371" s="190"/>
      <c r="I371" s="190"/>
      <c r="J371" s="190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90"/>
      <c r="H372" s="190"/>
      <c r="I372" s="190"/>
      <c r="J372" s="190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90"/>
      <c r="H373" s="190"/>
      <c r="I373" s="190"/>
      <c r="J373" s="190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90"/>
      <c r="H374" s="190"/>
      <c r="I374" s="190"/>
      <c r="J374" s="190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90"/>
      <c r="H375" s="190"/>
      <c r="I375" s="190"/>
      <c r="J375" s="190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90"/>
      <c r="H376" s="190"/>
      <c r="I376" s="190"/>
      <c r="J376" s="190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90"/>
      <c r="H377" s="190"/>
      <c r="I377" s="190"/>
      <c r="J377" s="190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>
        <v>1448</v>
      </c>
      <c r="G378" s="190">
        <v>7</v>
      </c>
      <c r="H378" s="190"/>
      <c r="I378" s="190">
        <f>7-J378/400</f>
        <v>6.7</v>
      </c>
      <c r="J378" s="190">
        <v>120</v>
      </c>
      <c r="K378" s="164">
        <f t="shared" si="46"/>
        <v>3645.5999999999995</v>
      </c>
      <c r="L378" s="164">
        <f t="shared" si="47"/>
        <v>3489.3599999999997</v>
      </c>
      <c r="M378" s="15">
        <v>520.79999999999995</v>
      </c>
      <c r="N378" s="164">
        <f>+M378*1000/(188*4*13*60)*T378</f>
        <v>4.4394435351882153</v>
      </c>
      <c r="O378" s="164">
        <v>0.5</v>
      </c>
      <c r="P378" s="164">
        <f t="shared" si="48"/>
        <v>33.244271685761042</v>
      </c>
      <c r="Q378" s="164">
        <v>7.5</v>
      </c>
      <c r="R378" s="19">
        <f t="shared" si="49"/>
        <v>52.5</v>
      </c>
      <c r="S378" s="164">
        <f t="shared" si="50"/>
        <v>19.255728314238958</v>
      </c>
      <c r="T378" s="20">
        <v>5</v>
      </c>
      <c r="U378" s="20">
        <v>7</v>
      </c>
      <c r="V378" s="161">
        <f t="array" ref="V378">IF(ISERROR(L378/K378),"",L378/K378)</f>
        <v>0.95714285714285718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90"/>
      <c r="H379" s="190"/>
      <c r="I379" s="190"/>
      <c r="J379" s="190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90"/>
      <c r="H380" s="190"/>
      <c r="I380" s="190"/>
      <c r="J380" s="190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90"/>
      <c r="H381" s="190"/>
      <c r="I381" s="190"/>
      <c r="J381" s="190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90"/>
      <c r="H382" s="190"/>
      <c r="I382" s="190"/>
      <c r="J382" s="190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90"/>
      <c r="H383" s="190"/>
      <c r="I383" s="190"/>
      <c r="J383" s="190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90"/>
      <c r="H384" s="190"/>
      <c r="I384" s="190"/>
      <c r="J384" s="190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>
        <v>1440</v>
      </c>
      <c r="G385" s="190">
        <v>3</v>
      </c>
      <c r="H385" s="190"/>
      <c r="I385" s="190">
        <v>3</v>
      </c>
      <c r="J385" s="190"/>
      <c r="K385" s="164">
        <f t="shared" si="46"/>
        <v>1914</v>
      </c>
      <c r="L385" s="164">
        <f t="shared" si="47"/>
        <v>1914</v>
      </c>
      <c r="M385" s="164">
        <v>638</v>
      </c>
      <c r="N385" s="164">
        <f t="shared" si="52"/>
        <v>6.0738766184310737</v>
      </c>
      <c r="O385" s="164"/>
      <c r="P385" s="164">
        <f t="shared" si="48"/>
        <v>18.221629855293223</v>
      </c>
      <c r="Q385" s="164">
        <v>4</v>
      </c>
      <c r="R385" s="19">
        <f t="shared" si="49"/>
        <v>28</v>
      </c>
      <c r="S385" s="164">
        <f t="shared" si="50"/>
        <v>9.778370144706777</v>
      </c>
      <c r="T385" s="20">
        <v>6</v>
      </c>
      <c r="U385" s="20">
        <v>7</v>
      </c>
      <c r="V385" s="161">
        <f t="array" ref="V385">IF(ISERROR(L385/K385),"",L385/K385)</f>
        <v>1</v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51.36</v>
      </c>
      <c r="H408" s="164">
        <f t="array" ref="H408">SUM(IF(ISERROR(H215:H407),“”,H215:H407))</f>
        <v>0.48499999999999999</v>
      </c>
      <c r="I408" s="164">
        <f t="array" ref="I408">SUM(IF(ISERROR(I215:I407),“”,I215:I407))</f>
        <v>50.03142857142857</v>
      </c>
      <c r="J408" s="164">
        <f t="array" ref="J408">SUM(IF(ISERROR(J215:J407),“”,J215:J407))</f>
        <v>620</v>
      </c>
      <c r="K408" s="164">
        <f t="array" ref="K408">SUM(IF(ISERROR(K215:K407),“”,K215:K407))</f>
        <v>24499.053999999996</v>
      </c>
      <c r="L408" s="117">
        <f>SUM(L215:L399)</f>
        <v>23828.374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345.4206726136868</v>
      </c>
      <c r="Q408" s="164"/>
      <c r="R408" s="56">
        <f>SUM((R215:R399),(Y413:Z418))</f>
        <v>401</v>
      </c>
      <c r="S408" s="164">
        <f t="array" ref="S408">SUM(IF(ISERROR(S215:S407),“”,S215:S407))</f>
        <v>55.579327386313203</v>
      </c>
      <c r="T408" s="164"/>
      <c r="U408" s="164"/>
      <c r="V408" s="161">
        <f t="array" ref="V408">IF(ISERROR(L408/K408),"",L408/K408)</f>
        <v>0.9726242490832504</v>
      </c>
      <c r="W408" s="164">
        <f t="array" ref="W408">SUM(IF(ISERROR(W215:W407),“”,W215:W407))</f>
        <v>0</v>
      </c>
      <c r="X408" s="164">
        <f t="array" ref="X408">SUM(IF(ISERROR(X215:X407),“”,X215:X407))</f>
        <v>2.5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0.86139818606904439</v>
      </c>
      <c r="P409" s="274"/>
      <c r="Q409" s="274"/>
      <c r="R409" s="275"/>
      <c r="S409" s="44"/>
      <c r="T409" s="45"/>
      <c r="U409" s="45"/>
      <c r="V409" s="45"/>
      <c r="W409" s="276">
        <f>SUM(W408:AC408)</f>
        <v>6.5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159.5</v>
      </c>
      <c r="F411" s="279"/>
      <c r="G411" s="279">
        <v>159.5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3516.6</v>
      </c>
      <c r="F412" s="279"/>
      <c r="G412" s="279">
        <v>3776.2</v>
      </c>
      <c r="H412" s="279"/>
      <c r="I412" s="279">
        <f>G412-E412</f>
        <v>259.59999999999991</v>
      </c>
      <c r="J412" s="279"/>
      <c r="K412" s="281">
        <f t="array" ref="K412">IF(ISERROR(I412/E412),"",I412/E412)</f>
        <v>7.38213046692828E-2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24</v>
      </c>
      <c r="T412" s="284"/>
      <c r="U412" s="284">
        <v>28</v>
      </c>
      <c r="V412" s="284"/>
      <c r="W412" s="283">
        <f>S412*11</f>
        <v>264</v>
      </c>
      <c r="X412" s="283"/>
      <c r="Y412" s="283">
        <f>U412*11</f>
        <v>308</v>
      </c>
      <c r="Z412" s="283"/>
      <c r="AA412" s="283">
        <f t="shared" ref="AA412:AA419" si="59">Y412-W412</f>
        <v>44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1605</v>
      </c>
      <c r="F413" s="279"/>
      <c r="G413" s="279">
        <v>1605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4</v>
      </c>
      <c r="T413" s="284"/>
      <c r="U413" s="284">
        <v>4</v>
      </c>
      <c r="V413" s="284"/>
      <c r="W413" s="283">
        <f t="shared" ref="W413:W419" si="60">S413*11</f>
        <v>44</v>
      </c>
      <c r="X413" s="283"/>
      <c r="Y413" s="283">
        <f t="shared" ref="Y413:Y419" si="61">U413*11</f>
        <v>44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1</v>
      </c>
      <c r="V414" s="284"/>
      <c r="W414" s="283">
        <f t="shared" si="60"/>
        <v>8.25</v>
      </c>
      <c r="X414" s="283"/>
      <c r="Y414" s="283">
        <f t="shared" si="61"/>
        <v>11</v>
      </c>
      <c r="Z414" s="283"/>
      <c r="AA414" s="283">
        <f t="shared" si="59"/>
        <v>2.75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150216</v>
      </c>
      <c r="H415" s="324"/>
      <c r="I415" s="325">
        <v>150101</v>
      </c>
      <c r="J415" s="326"/>
      <c r="K415" s="289">
        <f>G415-I415</f>
        <v>115</v>
      </c>
      <c r="L415" s="289"/>
      <c r="M415" s="290">
        <f t="array" ref="M415">IF(ISERROR(K415/L408),"",K415/(L408/1000))</f>
        <v>4.8261790754165599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8.25</v>
      </c>
      <c r="X415" s="283"/>
      <c r="Y415" s="283">
        <f t="shared" si="61"/>
        <v>11</v>
      </c>
      <c r="Z415" s="283"/>
      <c r="AA415" s="283">
        <f t="shared" si="59"/>
        <v>2.75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44923.5*60+28623.2*120</f>
        <v>6130194</v>
      </c>
      <c r="H416" s="323"/>
      <c r="I416" s="322">
        <v>6128676</v>
      </c>
      <c r="J416" s="323"/>
      <c r="K416" s="289">
        <f>G416-I416</f>
        <v>1518</v>
      </c>
      <c r="L416" s="289"/>
      <c r="M416" s="290">
        <f t="array" ref="M416">IF(ISERROR(K416/L408),"",K416/(L408/1000))</f>
        <v>63.705563795498591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2</v>
      </c>
      <c r="V416" s="284"/>
      <c r="W416" s="283">
        <f t="shared" si="60"/>
        <v>16.5</v>
      </c>
      <c r="X416" s="283"/>
      <c r="Y416" s="283">
        <f t="shared" si="61"/>
        <v>22</v>
      </c>
      <c r="Z416" s="283"/>
      <c r="AA416" s="283">
        <f t="shared" si="59"/>
        <v>5.5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+I417+15</f>
        <v>26935</v>
      </c>
      <c r="H417" s="324"/>
      <c r="I417" s="327">
        <v>26920</v>
      </c>
      <c r="J417" s="328"/>
      <c r="K417" s="289">
        <f>G417-I417</f>
        <v>15</v>
      </c>
      <c r="L417" s="289"/>
      <c r="M417" s="293">
        <f t="array" ref="M417">IF(ISERROR(K417/L408),"",K417/(L408/1000))</f>
        <v>0.62950161853259479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11</v>
      </c>
      <c r="X417" s="283"/>
      <c r="Y417" s="283">
        <f t="shared" si="61"/>
        <v>11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2.4/2+2.24</f>
        <v>3.4400000000000004</v>
      </c>
      <c r="L418" s="301"/>
      <c r="M418" s="294">
        <f t="array" ref="M418">IF(ISERROR((K418+K419)/L408),"",((K418+K419)*1000)/(L408/1000))</f>
        <v>144.36570451680842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2</v>
      </c>
      <c r="V418" s="284"/>
      <c r="W418" s="283">
        <f t="shared" si="60"/>
        <v>33</v>
      </c>
      <c r="X418" s="283"/>
      <c r="Y418" s="283">
        <f t="shared" si="61"/>
        <v>22</v>
      </c>
      <c r="Z418" s="283"/>
      <c r="AA418" s="283">
        <f t="shared" si="59"/>
        <v>-11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35</v>
      </c>
      <c r="T419" s="284"/>
      <c r="U419" s="284">
        <f>SUM(U412:V418)</f>
        <v>39</v>
      </c>
      <c r="V419" s="284"/>
      <c r="W419" s="283">
        <f t="shared" si="60"/>
        <v>385</v>
      </c>
      <c r="X419" s="283"/>
      <c r="Y419" s="283">
        <f t="shared" si="61"/>
        <v>429</v>
      </c>
      <c r="Z419" s="283"/>
      <c r="AA419" s="283">
        <f t="shared" si="59"/>
        <v>44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4.3604651162790695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55.543995337995341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52594.243999999992</v>
      </c>
      <c r="D423" s="337"/>
      <c r="E423" s="333" t="s">
        <v>226</v>
      </c>
      <c r="F423" s="333"/>
      <c r="G423" s="333">
        <f>L199+L408</f>
        <v>50818.315000000002</v>
      </c>
      <c r="H423" s="333"/>
      <c r="I423" s="340" t="s">
        <v>227</v>
      </c>
      <c r="J423" s="340"/>
      <c r="K423" s="339">
        <f>IF(ISERROR(G423/C423),"",G423/C423)</f>
        <v>0.96623339618685289</v>
      </c>
      <c r="L423" s="339"/>
      <c r="M423" s="333" t="s">
        <v>228</v>
      </c>
      <c r="N423" s="333"/>
      <c r="O423" s="334">
        <f>IF(ISERROR(G423/G424),"",G423/G424)</f>
        <v>60.534026206075048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725.26430637554904</v>
      </c>
      <c r="D424" s="337"/>
      <c r="E424" s="338" t="s">
        <v>18</v>
      </c>
      <c r="F424" s="338"/>
      <c r="G424" s="333">
        <f>R199+R408</f>
        <v>839.5</v>
      </c>
      <c r="H424" s="333"/>
      <c r="I424" s="313" t="s">
        <v>176</v>
      </c>
      <c r="J424" s="313"/>
      <c r="K424" s="339">
        <f>IF(ISERROR(C424/G424),"",C424/G424)</f>
        <v>0.86392412909535321</v>
      </c>
      <c r="L424" s="339"/>
      <c r="M424" s="279" t="s">
        <v>230</v>
      </c>
      <c r="N424" s="279"/>
      <c r="O424" s="333">
        <f>W200+W409</f>
        <v>10.5</v>
      </c>
      <c r="P424" s="279"/>
      <c r="Q424" s="279" t="s">
        <v>231</v>
      </c>
      <c r="R424" s="279"/>
      <c r="S424" s="339">
        <f t="array" ref="S424">IF(ISERROR(O424/G424),"",O424/G424)</f>
        <v>1.2507444907683145E-2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231</v>
      </c>
      <c r="D426" s="337"/>
      <c r="E426" s="333" t="s">
        <v>234</v>
      </c>
      <c r="F426" s="333"/>
      <c r="G426" s="293">
        <f t="array" ref="G426">IF(ISERROR(C426/G423),"",C426/(G423/1000))</f>
        <v>4.5456052606230646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3246</v>
      </c>
      <c r="D427" s="337"/>
      <c r="E427" s="333" t="s">
        <v>236</v>
      </c>
      <c r="F427" s="333"/>
      <c r="G427" s="293">
        <f>IF(ISERROR(C427/G423),"",C427/(G423/1000))</f>
        <v>63.874608986937083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33</v>
      </c>
      <c r="D428" s="337"/>
      <c r="E428" s="333" t="s">
        <v>238</v>
      </c>
      <c r="F428" s="333"/>
      <c r="G428" s="293">
        <f>IF(ISERROR(C428/G423),"",C428/(G423/1000))</f>
        <v>0.64937218008900921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7.2</v>
      </c>
      <c r="D429" s="337"/>
      <c r="E429" s="333" t="s">
        <v>240</v>
      </c>
      <c r="F429" s="333"/>
      <c r="G429" s="341">
        <f>IF(ISERROR(C429/G423),"",C429/(G423/1000))</f>
        <v>0.14168120292851111</v>
      </c>
      <c r="H429" s="341"/>
      <c r="I429" s="333" t="s">
        <v>241</v>
      </c>
      <c r="J429" s="333"/>
      <c r="K429" s="342">
        <f>IF(ISERROR(C428/C429),"",C428/C429)</f>
        <v>4.583333333333333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348</v>
      </c>
      <c r="D432" s="346"/>
      <c r="E432" s="333" t="s">
        <v>247</v>
      </c>
      <c r="F432" s="351"/>
      <c r="G432" s="347">
        <f>+G411+G202</f>
        <v>348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7916.1</v>
      </c>
      <c r="D433" s="346"/>
      <c r="E433" s="333" t="s">
        <v>251</v>
      </c>
      <c r="F433" s="333"/>
      <c r="G433" s="347">
        <f>+G412+G203</f>
        <v>8716.7000000000007</v>
      </c>
      <c r="H433" s="348"/>
      <c r="I433" s="333" t="s">
        <v>252</v>
      </c>
      <c r="J433" s="333"/>
      <c r="K433" s="315">
        <f>G433-C433</f>
        <v>800.60000000000036</v>
      </c>
      <c r="L433" s="317"/>
      <c r="M433" s="349" t="s">
        <v>253</v>
      </c>
      <c r="N433" s="350"/>
      <c r="O433" s="343">
        <f t="array" ref="O433">IF(ISERROR(K433/C433),"",K433/C433)</f>
        <v>0.10113566023673277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2547</v>
      </c>
      <c r="D434" s="346"/>
      <c r="E434" s="333" t="s">
        <v>255</v>
      </c>
      <c r="F434" s="351"/>
      <c r="G434" s="347">
        <f>+G413+G204</f>
        <v>2547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>
        <v>1</v>
      </c>
      <c r="L437" s="67"/>
      <c r="M437" s="67"/>
      <c r="N437" s="67"/>
      <c r="O437" s="67"/>
      <c r="P437" s="118"/>
      <c r="Q437" s="83">
        <f t="shared" ref="Q437:Q452" si="64">J437-K437-L437</f>
        <v>6</v>
      </c>
      <c r="R437" s="158">
        <f>Q437*11-M437-N437</f>
        <v>66</v>
      </c>
      <c r="S437" s="101">
        <f t="array" ref="S437">IF(ISERROR(Q437/J437),"",Q437/J437)</f>
        <v>0.8571428571428571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26</v>
      </c>
      <c r="D440" s="67">
        <v>27</v>
      </c>
      <c r="E440" s="153"/>
      <c r="F440" s="153"/>
      <c r="G440" s="153">
        <v>1</v>
      </c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45</v>
      </c>
      <c r="D443" s="68">
        <v>46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1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43</v>
      </c>
      <c r="R443" s="158">
        <f t="shared" si="65"/>
        <v>473</v>
      </c>
      <c r="S443" s="120">
        <f t="array" ref="S443">IF(ISERROR(Q443/J443),"",Q443/J443)</f>
        <v>0.9555555555555556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/>
      <c r="L447" s="67"/>
      <c r="M447" s="67"/>
      <c r="N447" s="67"/>
      <c r="O447" s="67"/>
      <c r="P447" s="67"/>
      <c r="Q447" s="83">
        <f t="shared" si="64"/>
        <v>24</v>
      </c>
      <c r="R447" s="158">
        <f t="shared" si="68"/>
        <v>276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1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39</v>
      </c>
      <c r="R450" s="158">
        <f t="shared" si="68"/>
        <v>448.5</v>
      </c>
      <c r="S450" s="122">
        <f t="array" ref="S450">IF(ISERROR(Q450/J450),"",Q450/J450)</f>
        <v>0.97499999999999998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57</v>
      </c>
      <c r="D452" s="69">
        <v>58</v>
      </c>
      <c r="E452" s="69">
        <f>+E443+E450+E451</f>
        <v>0</v>
      </c>
      <c r="F452" s="69">
        <f>+F443+F450+F451</f>
        <v>0</v>
      </c>
      <c r="G452" s="69">
        <f>+G443+G450+G451</f>
        <v>1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943.5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32" topLeftCell="F411" activePane="bottomRight" state="frozen"/>
      <selection pane="topRight" activeCell="F1" sqref="F1"/>
      <selection pane="bottomLeft" activeCell="A33" sqref="A33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>
        <v>3004</v>
      </c>
      <c r="C33" s="248" t="s">
        <v>56</v>
      </c>
      <c r="D33" s="248"/>
      <c r="E33" s="166" t="s">
        <v>54</v>
      </c>
      <c r="F33" s="13"/>
      <c r="G33" s="133">
        <v>6</v>
      </c>
      <c r="H33" s="133"/>
      <c r="I33" s="133">
        <v>6</v>
      </c>
      <c r="J33" s="133"/>
      <c r="K33" s="164">
        <f t="shared" si="0"/>
        <v>3302.3999999999996</v>
      </c>
      <c r="L33" s="164">
        <f t="shared" si="1"/>
        <v>3302.3999999999996</v>
      </c>
      <c r="M33" s="164">
        <v>550.4</v>
      </c>
      <c r="N33" s="164">
        <f>+M33*1000/(31*20*15*60)*T33</f>
        <v>2.9591397849462364</v>
      </c>
      <c r="O33" s="164">
        <v>0.5</v>
      </c>
      <c r="P33" s="164">
        <f t="shared" si="2"/>
        <v>18.754838709677419</v>
      </c>
      <c r="Q33" s="164">
        <v>5</v>
      </c>
      <c r="R33" s="19">
        <f t="shared" si="3"/>
        <v>10</v>
      </c>
      <c r="S33" s="164">
        <f t="shared" si="4"/>
        <v>-8.7548387096774185</v>
      </c>
      <c r="T33" s="20">
        <v>3</v>
      </c>
      <c r="U33" s="20">
        <v>2</v>
      </c>
      <c r="V33" s="161">
        <f t="array" ref="V33">IF(ISERROR(L33/K33),"",L33/K33)</f>
        <v>1</v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>
        <v>3004</v>
      </c>
      <c r="C35" s="248" t="s">
        <v>56</v>
      </c>
      <c r="D35" s="248"/>
      <c r="E35" s="166" t="s">
        <v>57</v>
      </c>
      <c r="F35" s="13"/>
      <c r="G35" s="133">
        <v>5.6</v>
      </c>
      <c r="H35" s="133">
        <v>0.6</v>
      </c>
      <c r="I35" s="133">
        <f>5+H35</f>
        <v>5.6</v>
      </c>
      <c r="J35" s="133"/>
      <c r="K35" s="164">
        <f t="shared" si="0"/>
        <v>3082.24</v>
      </c>
      <c r="L35" s="164">
        <f t="shared" si="1"/>
        <v>3082.24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16.571182795698924</v>
      </c>
      <c r="Q35" s="164">
        <v>6</v>
      </c>
      <c r="R35" s="19">
        <f t="shared" si="3"/>
        <v>12</v>
      </c>
      <c r="S35" s="164">
        <f t="shared" si="4"/>
        <v>-4.5711827956989239</v>
      </c>
      <c r="T35" s="20">
        <v>3</v>
      </c>
      <c r="U35" s="20">
        <v>2</v>
      </c>
      <c r="V35" s="161">
        <f t="array" ref="V35">IF(ISERROR(L35/K35),"",L35/K35)</f>
        <v>1</v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00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0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0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0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0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0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0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0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0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0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>
        <v>4503</v>
      </c>
      <c r="C46" s="259" t="s">
        <v>68</v>
      </c>
      <c r="D46" s="260"/>
      <c r="E46" s="166" t="s">
        <v>69</v>
      </c>
      <c r="F46" s="165"/>
      <c r="G46" s="133">
        <v>4</v>
      </c>
      <c r="H46" s="133"/>
      <c r="I46" s="133">
        <v>4</v>
      </c>
      <c r="J46" s="133"/>
      <c r="K46" s="164">
        <f t="shared" si="0"/>
        <v>1542.4</v>
      </c>
      <c r="L46" s="164">
        <f t="shared" si="1"/>
        <v>1542.4</v>
      </c>
      <c r="M46" s="164">
        <v>385.6</v>
      </c>
      <c r="N46" s="164">
        <f>+M46*1000/(25.4*20*15*60)*T46</f>
        <v>2.5301837270341205</v>
      </c>
      <c r="O46" s="164">
        <v>0.5</v>
      </c>
      <c r="P46" s="164">
        <f t="shared" si="2"/>
        <v>12.120734908136482</v>
      </c>
      <c r="Q46" s="164">
        <v>6</v>
      </c>
      <c r="R46" s="19">
        <f t="shared" si="3"/>
        <v>24</v>
      </c>
      <c r="S46" s="164">
        <f t="shared" si="4"/>
        <v>11.879265091863518</v>
      </c>
      <c r="T46" s="20">
        <v>3</v>
      </c>
      <c r="U46" s="20">
        <v>4</v>
      </c>
      <c r="V46" s="200">
        <f t="array" ref="V46">IF(ISERROR(L46/K46),"",L46/K46)</f>
        <v>1</v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00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00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0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0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0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0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0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0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0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0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0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0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0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0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>
        <v>4503</v>
      </c>
      <c r="C61" s="259" t="s">
        <v>301</v>
      </c>
      <c r="D61" s="260"/>
      <c r="E61" s="166" t="s">
        <v>80</v>
      </c>
      <c r="F61" s="13"/>
      <c r="G61" s="133">
        <v>4</v>
      </c>
      <c r="H61" s="133">
        <v>0.42857142857142855</v>
      </c>
      <c r="I61" s="133">
        <f>3+H61</f>
        <v>3.4285714285714284</v>
      </c>
      <c r="J61" s="133"/>
      <c r="K61" s="164">
        <f t="shared" si="0"/>
        <v>1719.2</v>
      </c>
      <c r="L61" s="164">
        <f t="shared" si="1"/>
        <v>1473.6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12.594871794871795</v>
      </c>
      <c r="Q61" s="164">
        <v>5</v>
      </c>
      <c r="R61" s="19">
        <f t="shared" si="3"/>
        <v>20</v>
      </c>
      <c r="S61" s="164">
        <f t="shared" si="4"/>
        <v>7.4051282051282055</v>
      </c>
      <c r="T61" s="20">
        <v>3</v>
      </c>
      <c r="U61" s="20">
        <v>4</v>
      </c>
      <c r="V61" s="200">
        <f t="array" ref="V61">IF(ISERROR(L61/K61),"",L61/K61)</f>
        <v>0.8571428571428571</v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0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0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0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0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0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0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0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0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0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0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0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0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98">
        <v>300389</v>
      </c>
      <c r="B74" s="195">
        <v>5001</v>
      </c>
      <c r="C74" s="248" t="s">
        <v>316</v>
      </c>
      <c r="D74" s="248" t="s">
        <v>89</v>
      </c>
      <c r="E74" s="197" t="s">
        <v>35</v>
      </c>
      <c r="F74" s="27"/>
      <c r="G74" s="133">
        <v>2.63</v>
      </c>
      <c r="H74" s="133"/>
      <c r="I74" s="133">
        <f>3-J74/400</f>
        <v>2.625</v>
      </c>
      <c r="J74" s="133">
        <v>150</v>
      </c>
      <c r="K74" s="196">
        <f t="shared" si="0"/>
        <v>1129.3219999999999</v>
      </c>
      <c r="L74" s="196">
        <f t="shared" si="1"/>
        <v>1127.175</v>
      </c>
      <c r="M74" s="196">
        <v>429.4</v>
      </c>
      <c r="N74" s="196">
        <f>+M74*1000/(47*1*110*60)*T74</f>
        <v>5.5370728562217923</v>
      </c>
      <c r="O74" s="196">
        <v>0.5</v>
      </c>
      <c r="P74" s="196">
        <f t="shared" si="2"/>
        <v>16.534816247582206</v>
      </c>
      <c r="Q74" s="196">
        <v>4</v>
      </c>
      <c r="R74" s="19">
        <f t="shared" si="3"/>
        <v>16</v>
      </c>
      <c r="S74" s="196">
        <f t="shared" si="4"/>
        <v>-0.53481624758220647</v>
      </c>
      <c r="T74" s="20">
        <v>4</v>
      </c>
      <c r="U74" s="20">
        <v>4</v>
      </c>
      <c r="V74" s="200">
        <f t="array" ref="V74">IF(ISERROR(L74/K74),"",L74/K74)</f>
        <v>0.99809885931558939</v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98">
        <v>300058</v>
      </c>
      <c r="B75" s="195" t="s">
        <v>87</v>
      </c>
      <c r="C75" s="248" t="s">
        <v>316</v>
      </c>
      <c r="D75" s="248" t="s">
        <v>89</v>
      </c>
      <c r="E75" s="197" t="s">
        <v>42</v>
      </c>
      <c r="F75" s="27"/>
      <c r="G75" s="133"/>
      <c r="H75" s="133"/>
      <c r="I75" s="133"/>
      <c r="J75" s="133"/>
      <c r="K75" s="196">
        <f t="shared" si="0"/>
        <v>0</v>
      </c>
      <c r="L75" s="196">
        <f t="shared" si="1"/>
        <v>0</v>
      </c>
      <c r="M75" s="196">
        <v>419.2</v>
      </c>
      <c r="N75" s="196">
        <f>+M75*1000/(51.5*1*110*60)*T75</f>
        <v>4.9332156516622536</v>
      </c>
      <c r="O75" s="196"/>
      <c r="P75" s="196">
        <f t="shared" si="2"/>
        <v>0</v>
      </c>
      <c r="Q75" s="196"/>
      <c r="R75" s="19">
        <f t="shared" si="3"/>
        <v>0</v>
      </c>
      <c r="S75" s="196">
        <f t="shared" si="4"/>
        <v>0</v>
      </c>
      <c r="T75" s="20">
        <v>4</v>
      </c>
      <c r="U75" s="20"/>
      <c r="V75" s="200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198">
        <v>300061</v>
      </c>
      <c r="B76" s="195" t="s">
        <v>92</v>
      </c>
      <c r="C76" s="248" t="s">
        <v>317</v>
      </c>
      <c r="D76" s="248" t="s">
        <v>96</v>
      </c>
      <c r="E76" s="197" t="s">
        <v>41</v>
      </c>
      <c r="F76" s="27"/>
      <c r="G76" s="133"/>
      <c r="H76" s="133"/>
      <c r="I76" s="133"/>
      <c r="J76" s="133"/>
      <c r="K76" s="196">
        <f t="shared" si="0"/>
        <v>0</v>
      </c>
      <c r="L76" s="196">
        <f t="shared" si="1"/>
        <v>0</v>
      </c>
      <c r="M76" s="196">
        <v>418.4</v>
      </c>
      <c r="N76" s="196">
        <f>+M76*1000/(51*1*110*60)*T76</f>
        <v>4.9720736779560308</v>
      </c>
      <c r="O76" s="196"/>
      <c r="P76" s="196">
        <f t="shared" si="2"/>
        <v>0</v>
      </c>
      <c r="Q76" s="196"/>
      <c r="R76" s="19">
        <f t="shared" si="3"/>
        <v>0</v>
      </c>
      <c r="S76" s="196">
        <f t="shared" si="4"/>
        <v>0</v>
      </c>
      <c r="T76" s="20">
        <v>4</v>
      </c>
      <c r="U76" s="20"/>
      <c r="V76" s="200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98">
        <v>300064</v>
      </c>
      <c r="B77" s="195">
        <v>5002</v>
      </c>
      <c r="C77" s="248" t="s">
        <v>317</v>
      </c>
      <c r="D77" s="248" t="s">
        <v>96</v>
      </c>
      <c r="E77" s="197" t="s">
        <v>35</v>
      </c>
      <c r="F77" s="27"/>
      <c r="G77" s="133"/>
      <c r="H77" s="133"/>
      <c r="I77" s="133"/>
      <c r="J77" s="133"/>
      <c r="K77" s="196">
        <f t="shared" ref="K77:K153" si="7">G77*M77</f>
        <v>0</v>
      </c>
      <c r="L77" s="196">
        <f t="shared" ref="L77:L153" si="8">I77*M77</f>
        <v>0</v>
      </c>
      <c r="M77" s="196">
        <v>419.2</v>
      </c>
      <c r="N77" s="196">
        <f>+M77*1000/(51.9*1*110*60)*T77</f>
        <v>4.8951947217843168</v>
      </c>
      <c r="O77" s="196"/>
      <c r="P77" s="196">
        <f t="shared" ref="P77:P153" si="9">N77*I77+O77*U77</f>
        <v>0</v>
      </c>
      <c r="Q77" s="196"/>
      <c r="R77" s="19">
        <f t="shared" ref="R77:R153" si="10">Q77*U77</f>
        <v>0</v>
      </c>
      <c r="S77" s="196">
        <f t="shared" ref="S77:S153" si="11">R77-P77</f>
        <v>0</v>
      </c>
      <c r="T77" s="20">
        <v>4</v>
      </c>
      <c r="U77" s="20"/>
      <c r="V77" s="200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98">
        <v>300060</v>
      </c>
      <c r="B78" s="195" t="s">
        <v>87</v>
      </c>
      <c r="C78" s="248" t="s">
        <v>317</v>
      </c>
      <c r="D78" s="248" t="s">
        <v>96</v>
      </c>
      <c r="E78" s="197" t="s">
        <v>57</v>
      </c>
      <c r="F78" s="27"/>
      <c r="G78" s="133"/>
      <c r="H78" s="133"/>
      <c r="I78" s="133"/>
      <c r="J78" s="133"/>
      <c r="K78" s="196">
        <f t="shared" si="7"/>
        <v>0</v>
      </c>
      <c r="L78" s="196">
        <f t="shared" si="8"/>
        <v>0</v>
      </c>
      <c r="M78" s="196">
        <v>416.9</v>
      </c>
      <c r="N78" s="196">
        <f>+M78*1000/(51*1*110*60)*T78</f>
        <v>4.9542483660130721</v>
      </c>
      <c r="O78" s="196"/>
      <c r="P78" s="196">
        <f t="shared" si="9"/>
        <v>0</v>
      </c>
      <c r="Q78" s="196"/>
      <c r="R78" s="19">
        <f t="shared" si="10"/>
        <v>0</v>
      </c>
      <c r="S78" s="196">
        <f t="shared" si="11"/>
        <v>0</v>
      </c>
      <c r="T78" s="20">
        <v>4</v>
      </c>
      <c r="U78" s="20"/>
      <c r="V78" s="200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98">
        <v>300068</v>
      </c>
      <c r="B79" s="195" t="s">
        <v>87</v>
      </c>
      <c r="C79" s="248" t="s">
        <v>98</v>
      </c>
      <c r="D79" s="248" t="s">
        <v>99</v>
      </c>
      <c r="E79" s="197" t="s">
        <v>37</v>
      </c>
      <c r="F79" s="27"/>
      <c r="G79" s="133"/>
      <c r="H79" s="133"/>
      <c r="I79" s="133"/>
      <c r="J79" s="133"/>
      <c r="K79" s="196">
        <f t="shared" si="7"/>
        <v>0</v>
      </c>
      <c r="L79" s="196">
        <f t="shared" si="8"/>
        <v>0</v>
      </c>
      <c r="M79" s="196">
        <v>438.4</v>
      </c>
      <c r="N79" s="196">
        <f>+M79*1000/(50*1*120*60)*T79</f>
        <v>4.8711111111111114</v>
      </c>
      <c r="O79" s="196"/>
      <c r="P79" s="196">
        <f t="shared" si="9"/>
        <v>0</v>
      </c>
      <c r="Q79" s="196"/>
      <c r="R79" s="19">
        <f t="shared" si="10"/>
        <v>0</v>
      </c>
      <c r="S79" s="196">
        <f t="shared" si="11"/>
        <v>0</v>
      </c>
      <c r="T79" s="20">
        <v>4</v>
      </c>
      <c r="U79" s="20"/>
      <c r="V79" s="200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98">
        <v>300065</v>
      </c>
      <c r="B80" s="195" t="s">
        <v>87</v>
      </c>
      <c r="C80" s="248" t="s">
        <v>98</v>
      </c>
      <c r="D80" s="248" t="s">
        <v>99</v>
      </c>
      <c r="E80" s="197" t="s">
        <v>35</v>
      </c>
      <c r="F80" s="27"/>
      <c r="G80" s="133"/>
      <c r="H80" s="133"/>
      <c r="I80" s="133"/>
      <c r="J80" s="133"/>
      <c r="K80" s="196">
        <f t="shared" si="7"/>
        <v>0</v>
      </c>
      <c r="L80" s="196">
        <f t="shared" si="8"/>
        <v>0</v>
      </c>
      <c r="M80" s="196">
        <v>438.8</v>
      </c>
      <c r="N80" s="196">
        <f>+M80*1000/(50*1*120*60)*T80</f>
        <v>4.8755555555555556</v>
      </c>
      <c r="O80" s="196"/>
      <c r="P80" s="196">
        <f t="shared" si="9"/>
        <v>0</v>
      </c>
      <c r="Q80" s="196"/>
      <c r="R80" s="19">
        <f t="shared" si="10"/>
        <v>0</v>
      </c>
      <c r="S80" s="196">
        <f t="shared" si="11"/>
        <v>0</v>
      </c>
      <c r="T80" s="20">
        <v>4</v>
      </c>
      <c r="U80" s="198"/>
      <c r="V80" s="200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98">
        <v>300066</v>
      </c>
      <c r="B81" s="195" t="s">
        <v>87</v>
      </c>
      <c r="C81" s="248" t="s">
        <v>98</v>
      </c>
      <c r="D81" s="248" t="s">
        <v>99</v>
      </c>
      <c r="E81" s="197" t="s">
        <v>66</v>
      </c>
      <c r="F81" s="27"/>
      <c r="G81" s="133"/>
      <c r="H81" s="133"/>
      <c r="I81" s="133"/>
      <c r="J81" s="133"/>
      <c r="K81" s="196">
        <f t="shared" si="7"/>
        <v>0</v>
      </c>
      <c r="L81" s="196">
        <f t="shared" si="8"/>
        <v>0</v>
      </c>
      <c r="M81" s="196">
        <v>438.4</v>
      </c>
      <c r="N81" s="196">
        <f>+M81*1000/(50*1*120*60)*T81</f>
        <v>4.8711111111111114</v>
      </c>
      <c r="O81" s="196"/>
      <c r="P81" s="196">
        <f t="shared" si="9"/>
        <v>0</v>
      </c>
      <c r="Q81" s="196"/>
      <c r="R81" s="19">
        <f t="shared" si="10"/>
        <v>0</v>
      </c>
      <c r="S81" s="196">
        <f t="shared" si="11"/>
        <v>0</v>
      </c>
      <c r="T81" s="20">
        <v>4</v>
      </c>
      <c r="U81" s="198"/>
      <c r="V81" s="200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98">
        <v>300067</v>
      </c>
      <c r="B82" s="195" t="s">
        <v>87</v>
      </c>
      <c r="C82" s="248" t="s">
        <v>98</v>
      </c>
      <c r="D82" s="248" t="s">
        <v>99</v>
      </c>
      <c r="E82" s="197" t="s">
        <v>41</v>
      </c>
      <c r="F82" s="27"/>
      <c r="G82" s="133"/>
      <c r="H82" s="133"/>
      <c r="I82" s="133"/>
      <c r="J82" s="133"/>
      <c r="K82" s="196">
        <f t="shared" si="7"/>
        <v>0</v>
      </c>
      <c r="L82" s="196">
        <f t="shared" si="8"/>
        <v>0</v>
      </c>
      <c r="M82" s="196">
        <v>438.8</v>
      </c>
      <c r="N82" s="196">
        <f>+M82*1000/(50*1*120*60)*T82</f>
        <v>4.8755555555555556</v>
      </c>
      <c r="O82" s="196"/>
      <c r="P82" s="196">
        <f t="shared" si="9"/>
        <v>0</v>
      </c>
      <c r="Q82" s="196"/>
      <c r="R82" s="19">
        <f t="shared" si="10"/>
        <v>0</v>
      </c>
      <c r="S82" s="196">
        <f t="shared" si="11"/>
        <v>0</v>
      </c>
      <c r="T82" s="20">
        <v>4</v>
      </c>
      <c r="U82" s="20"/>
      <c r="V82" s="200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98">
        <v>300437</v>
      </c>
      <c r="B83" s="195" t="s">
        <v>87</v>
      </c>
      <c r="C83" s="248" t="s">
        <v>98</v>
      </c>
      <c r="D83" s="248" t="s">
        <v>99</v>
      </c>
      <c r="E83" s="197" t="s">
        <v>310</v>
      </c>
      <c r="F83" s="27"/>
      <c r="G83" s="133"/>
      <c r="H83" s="133"/>
      <c r="I83" s="133"/>
      <c r="J83" s="133"/>
      <c r="K83" s="196">
        <f t="shared" si="7"/>
        <v>0</v>
      </c>
      <c r="L83" s="196">
        <f t="shared" si="8"/>
        <v>0</v>
      </c>
      <c r="M83" s="196">
        <v>438.8</v>
      </c>
      <c r="N83" s="196">
        <f>+M83*1000/(50*1*120*60)*T83</f>
        <v>4.8755555555555556</v>
      </c>
      <c r="O83" s="196"/>
      <c r="P83" s="196">
        <f t="shared" si="9"/>
        <v>0</v>
      </c>
      <c r="Q83" s="196"/>
      <c r="R83" s="19">
        <f t="shared" si="10"/>
        <v>0</v>
      </c>
      <c r="S83" s="196">
        <f t="shared" si="11"/>
        <v>0</v>
      </c>
      <c r="T83" s="20">
        <v>4</v>
      </c>
      <c r="U83" s="20"/>
      <c r="V83" s="200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98">
        <v>300384</v>
      </c>
      <c r="B84" s="195" t="s">
        <v>87</v>
      </c>
      <c r="C84" s="248" t="s">
        <v>100</v>
      </c>
      <c r="D84" s="248" t="s">
        <v>101</v>
      </c>
      <c r="E84" s="197" t="s">
        <v>35</v>
      </c>
      <c r="F84" s="199"/>
      <c r="G84" s="133"/>
      <c r="H84" s="133"/>
      <c r="I84" s="133"/>
      <c r="J84" s="133"/>
      <c r="K84" s="196">
        <f t="shared" si="7"/>
        <v>0</v>
      </c>
      <c r="L84" s="196">
        <f t="shared" si="8"/>
        <v>0</v>
      </c>
      <c r="M84" s="196">
        <v>415.5</v>
      </c>
      <c r="N84" s="196">
        <f>+M84*1000/(51*1*110*60)*T84</f>
        <v>8.6408199643493759</v>
      </c>
      <c r="O84" s="196"/>
      <c r="P84" s="196">
        <f t="shared" si="9"/>
        <v>0</v>
      </c>
      <c r="Q84" s="196"/>
      <c r="R84" s="19">
        <f t="shared" si="10"/>
        <v>0</v>
      </c>
      <c r="S84" s="196">
        <f t="shared" si="11"/>
        <v>0</v>
      </c>
      <c r="T84" s="20">
        <v>7</v>
      </c>
      <c r="U84" s="20"/>
      <c r="V84" s="200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98">
        <v>300383</v>
      </c>
      <c r="B85" s="195" t="s">
        <v>87</v>
      </c>
      <c r="C85" s="248" t="s">
        <v>100</v>
      </c>
      <c r="D85" s="248" t="s">
        <v>102</v>
      </c>
      <c r="E85" s="197" t="s">
        <v>41</v>
      </c>
      <c r="F85" s="199"/>
      <c r="G85" s="133"/>
      <c r="H85" s="133"/>
      <c r="I85" s="133"/>
      <c r="J85" s="133"/>
      <c r="K85" s="196">
        <f t="shared" si="7"/>
        <v>0</v>
      </c>
      <c r="L85" s="196">
        <f t="shared" si="8"/>
        <v>0</v>
      </c>
      <c r="M85" s="196">
        <v>415.5</v>
      </c>
      <c r="N85" s="196">
        <f>+M85*1000/(51*1*110*60)*T85</f>
        <v>8.6408199643493759</v>
      </c>
      <c r="O85" s="196"/>
      <c r="P85" s="196">
        <f t="shared" si="9"/>
        <v>0</v>
      </c>
      <c r="Q85" s="196"/>
      <c r="R85" s="19">
        <f t="shared" si="10"/>
        <v>0</v>
      </c>
      <c r="S85" s="196">
        <f t="shared" si="11"/>
        <v>0</v>
      </c>
      <c r="T85" s="20">
        <v>7</v>
      </c>
      <c r="U85" s="20"/>
      <c r="V85" s="200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98">
        <v>300386</v>
      </c>
      <c r="B86" s="195" t="s">
        <v>87</v>
      </c>
      <c r="C86" s="248" t="s">
        <v>100</v>
      </c>
      <c r="D86" s="248" t="s">
        <v>103</v>
      </c>
      <c r="E86" s="197" t="s">
        <v>66</v>
      </c>
      <c r="F86" s="199"/>
      <c r="G86" s="133"/>
      <c r="H86" s="133"/>
      <c r="I86" s="133"/>
      <c r="J86" s="133"/>
      <c r="K86" s="196">
        <f t="shared" si="7"/>
        <v>0</v>
      </c>
      <c r="L86" s="196">
        <f t="shared" si="8"/>
        <v>0</v>
      </c>
      <c r="M86" s="196">
        <v>415.5</v>
      </c>
      <c r="N86" s="196">
        <f>+M86*1000/(51*1*110*60)*T86</f>
        <v>8.6408199643493759</v>
      </c>
      <c r="O86" s="196"/>
      <c r="P86" s="196">
        <f t="shared" si="9"/>
        <v>0</v>
      </c>
      <c r="Q86" s="196"/>
      <c r="R86" s="19">
        <f t="shared" si="10"/>
        <v>0</v>
      </c>
      <c r="S86" s="196">
        <f t="shared" si="11"/>
        <v>0</v>
      </c>
      <c r="T86" s="20">
        <v>7</v>
      </c>
      <c r="U86" s="20"/>
      <c r="V86" s="200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98">
        <v>300385</v>
      </c>
      <c r="B87" s="195" t="s">
        <v>87</v>
      </c>
      <c r="C87" s="248" t="s">
        <v>100</v>
      </c>
      <c r="D87" s="248" t="s">
        <v>104</v>
      </c>
      <c r="E87" s="197" t="s">
        <v>105</v>
      </c>
      <c r="F87" s="199"/>
      <c r="G87" s="133"/>
      <c r="H87" s="133"/>
      <c r="I87" s="133"/>
      <c r="J87" s="133"/>
      <c r="K87" s="196">
        <f t="shared" si="7"/>
        <v>0</v>
      </c>
      <c r="L87" s="196">
        <f t="shared" si="8"/>
        <v>0</v>
      </c>
      <c r="M87" s="196">
        <v>415.5</v>
      </c>
      <c r="N87" s="196">
        <f>+M87*1000/(51*1*110*60)*T87</f>
        <v>8.6408199643493759</v>
      </c>
      <c r="O87" s="196"/>
      <c r="P87" s="196">
        <f t="shared" si="9"/>
        <v>0</v>
      </c>
      <c r="Q87" s="196"/>
      <c r="R87" s="19">
        <f t="shared" si="10"/>
        <v>0</v>
      </c>
      <c r="S87" s="196">
        <f t="shared" si="11"/>
        <v>0</v>
      </c>
      <c r="T87" s="20">
        <v>7</v>
      </c>
      <c r="U87" s="20"/>
      <c r="V87" s="200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98">
        <v>300352</v>
      </c>
      <c r="B88" s="195" t="s">
        <v>87</v>
      </c>
      <c r="C88" s="248" t="s">
        <v>106</v>
      </c>
      <c r="D88" s="248" t="s">
        <v>101</v>
      </c>
      <c r="E88" s="197" t="s">
        <v>35</v>
      </c>
      <c r="F88" s="27"/>
      <c r="G88" s="133"/>
      <c r="H88" s="133"/>
      <c r="I88" s="133"/>
      <c r="J88" s="133"/>
      <c r="K88" s="196">
        <f t="shared" si="7"/>
        <v>0</v>
      </c>
      <c r="L88" s="196">
        <f t="shared" si="8"/>
        <v>0</v>
      </c>
      <c r="M88" s="196">
        <v>515.9</v>
      </c>
      <c r="N88" s="196">
        <f>+M88*1000/(80*1*110*60)*T88</f>
        <v>6.8395833333333336</v>
      </c>
      <c r="O88" s="196"/>
      <c r="P88" s="196">
        <f t="shared" si="9"/>
        <v>0</v>
      </c>
      <c r="Q88" s="196"/>
      <c r="R88" s="19">
        <f t="shared" si="10"/>
        <v>0</v>
      </c>
      <c r="S88" s="196">
        <f t="shared" si="11"/>
        <v>0</v>
      </c>
      <c r="T88" s="20">
        <v>7</v>
      </c>
      <c r="U88" s="20"/>
      <c r="V88" s="200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98">
        <v>300353</v>
      </c>
      <c r="B89" s="195" t="s">
        <v>87</v>
      </c>
      <c r="C89" s="248" t="s">
        <v>106</v>
      </c>
      <c r="D89" s="248" t="s">
        <v>101</v>
      </c>
      <c r="E89" s="197" t="s">
        <v>105</v>
      </c>
      <c r="F89" s="27"/>
      <c r="G89" s="133"/>
      <c r="H89" s="133"/>
      <c r="I89" s="133"/>
      <c r="J89" s="133"/>
      <c r="K89" s="196">
        <f t="shared" si="7"/>
        <v>0</v>
      </c>
      <c r="L89" s="196">
        <f t="shared" si="8"/>
        <v>0</v>
      </c>
      <c r="M89" s="196">
        <v>515.9</v>
      </c>
      <c r="N89" s="196">
        <f>+M89*1000/(80*1*110*60)*T89</f>
        <v>6.8395833333333336</v>
      </c>
      <c r="O89" s="196"/>
      <c r="P89" s="196">
        <f t="shared" si="9"/>
        <v>0</v>
      </c>
      <c r="Q89" s="196"/>
      <c r="R89" s="19">
        <f t="shared" si="10"/>
        <v>0</v>
      </c>
      <c r="S89" s="196">
        <f t="shared" si="11"/>
        <v>0</v>
      </c>
      <c r="T89" s="20">
        <v>7</v>
      </c>
      <c r="U89" s="20"/>
      <c r="V89" s="200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98">
        <v>300351</v>
      </c>
      <c r="B90" s="195" t="s">
        <v>87</v>
      </c>
      <c r="C90" s="248" t="s">
        <v>106</v>
      </c>
      <c r="D90" s="248" t="s">
        <v>101</v>
      </c>
      <c r="E90" s="197" t="s">
        <v>41</v>
      </c>
      <c r="F90" s="27"/>
      <c r="G90" s="133"/>
      <c r="H90" s="133"/>
      <c r="I90" s="133"/>
      <c r="J90" s="133"/>
      <c r="K90" s="196">
        <f t="shared" si="7"/>
        <v>0</v>
      </c>
      <c r="L90" s="196">
        <f t="shared" si="8"/>
        <v>0</v>
      </c>
      <c r="M90" s="196">
        <v>515.9</v>
      </c>
      <c r="N90" s="196">
        <f>+M90*1000/(80*1*110*60)*T90</f>
        <v>6.8395833333333336</v>
      </c>
      <c r="O90" s="196"/>
      <c r="P90" s="196">
        <f t="shared" si="9"/>
        <v>0</v>
      </c>
      <c r="Q90" s="196"/>
      <c r="R90" s="19">
        <f t="shared" si="10"/>
        <v>0</v>
      </c>
      <c r="S90" s="196">
        <f t="shared" si="11"/>
        <v>0</v>
      </c>
      <c r="T90" s="20">
        <v>7</v>
      </c>
      <c r="U90" s="20"/>
      <c r="V90" s="200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98">
        <v>300354</v>
      </c>
      <c r="B91" s="195" t="s">
        <v>87</v>
      </c>
      <c r="C91" s="248" t="s">
        <v>106</v>
      </c>
      <c r="D91" s="248" t="s">
        <v>101</v>
      </c>
      <c r="E91" s="197" t="s">
        <v>66</v>
      </c>
      <c r="F91" s="27"/>
      <c r="G91" s="133"/>
      <c r="H91" s="133"/>
      <c r="I91" s="133"/>
      <c r="J91" s="133"/>
      <c r="K91" s="196">
        <f t="shared" si="7"/>
        <v>0</v>
      </c>
      <c r="L91" s="196">
        <f t="shared" si="8"/>
        <v>0</v>
      </c>
      <c r="M91" s="196">
        <v>515.9</v>
      </c>
      <c r="N91" s="196">
        <f>+M91*1000/(80*1*110*60)*T91</f>
        <v>6.8395833333333336</v>
      </c>
      <c r="O91" s="196"/>
      <c r="P91" s="196">
        <f t="shared" si="9"/>
        <v>0</v>
      </c>
      <c r="Q91" s="196"/>
      <c r="R91" s="19">
        <f t="shared" si="10"/>
        <v>0</v>
      </c>
      <c r="S91" s="196">
        <f t="shared" si="11"/>
        <v>0</v>
      </c>
      <c r="T91" s="20">
        <v>7</v>
      </c>
      <c r="U91" s="20"/>
      <c r="V91" s="200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98">
        <v>300250</v>
      </c>
      <c r="B92" s="195" t="s">
        <v>87</v>
      </c>
      <c r="C92" s="248" t="s">
        <v>107</v>
      </c>
      <c r="D92" s="248" t="s">
        <v>101</v>
      </c>
      <c r="E92" s="197" t="s">
        <v>35</v>
      </c>
      <c r="F92" s="27"/>
      <c r="G92" s="133"/>
      <c r="H92" s="133"/>
      <c r="I92" s="133"/>
      <c r="J92" s="133"/>
      <c r="K92" s="196">
        <f t="shared" si="7"/>
        <v>0</v>
      </c>
      <c r="L92" s="196">
        <f t="shared" si="8"/>
        <v>0</v>
      </c>
      <c r="M92" s="196">
        <v>412.5</v>
      </c>
      <c r="N92" s="196">
        <f>+M92*1000/(84*1*110*60)*T92</f>
        <v>5.2083333333333339</v>
      </c>
      <c r="O92" s="196"/>
      <c r="P92" s="196">
        <f t="shared" si="9"/>
        <v>0</v>
      </c>
      <c r="Q92" s="196"/>
      <c r="R92" s="19">
        <f t="shared" si="10"/>
        <v>0</v>
      </c>
      <c r="S92" s="196">
        <f t="shared" si="11"/>
        <v>0</v>
      </c>
      <c r="T92" s="20">
        <v>7</v>
      </c>
      <c r="U92" s="20"/>
      <c r="V92" s="200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98">
        <v>300251</v>
      </c>
      <c r="B93" s="195" t="s">
        <v>87</v>
      </c>
      <c r="C93" s="248" t="s">
        <v>107</v>
      </c>
      <c r="D93" s="248" t="s">
        <v>101</v>
      </c>
      <c r="E93" s="197" t="s">
        <v>105</v>
      </c>
      <c r="F93" s="27"/>
      <c r="G93" s="133"/>
      <c r="H93" s="133"/>
      <c r="I93" s="133"/>
      <c r="J93" s="133"/>
      <c r="K93" s="196">
        <f t="shared" si="7"/>
        <v>0</v>
      </c>
      <c r="L93" s="196">
        <f t="shared" si="8"/>
        <v>0</v>
      </c>
      <c r="M93" s="196">
        <v>412.5</v>
      </c>
      <c r="N93" s="196">
        <f>+M93*1000/(84*1*110*60)*T93</f>
        <v>5.2083333333333339</v>
      </c>
      <c r="O93" s="196"/>
      <c r="P93" s="196">
        <f t="shared" si="9"/>
        <v>0</v>
      </c>
      <c r="Q93" s="196"/>
      <c r="R93" s="19">
        <f t="shared" si="10"/>
        <v>0</v>
      </c>
      <c r="S93" s="196">
        <f t="shared" si="11"/>
        <v>0</v>
      </c>
      <c r="T93" s="20">
        <v>7</v>
      </c>
      <c r="U93" s="20"/>
      <c r="V93" s="200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98">
        <v>300254</v>
      </c>
      <c r="B94" s="195" t="s">
        <v>87</v>
      </c>
      <c r="C94" s="248" t="s">
        <v>107</v>
      </c>
      <c r="D94" s="248" t="s">
        <v>101</v>
      </c>
      <c r="E94" s="197" t="s">
        <v>41</v>
      </c>
      <c r="F94" s="27"/>
      <c r="G94" s="133"/>
      <c r="H94" s="133"/>
      <c r="I94" s="133"/>
      <c r="J94" s="133"/>
      <c r="K94" s="196">
        <f t="shared" si="7"/>
        <v>0</v>
      </c>
      <c r="L94" s="196">
        <f t="shared" si="8"/>
        <v>0</v>
      </c>
      <c r="M94" s="196">
        <v>412.5</v>
      </c>
      <c r="N94" s="196">
        <f>+M94*1000/(84*1*110*60)*T94</f>
        <v>5.2083333333333339</v>
      </c>
      <c r="O94" s="196"/>
      <c r="P94" s="196">
        <f t="shared" si="9"/>
        <v>0</v>
      </c>
      <c r="Q94" s="196"/>
      <c r="R94" s="19">
        <f t="shared" si="10"/>
        <v>0</v>
      </c>
      <c r="S94" s="196">
        <f t="shared" si="11"/>
        <v>0</v>
      </c>
      <c r="T94" s="20">
        <v>7</v>
      </c>
      <c r="U94" s="20"/>
      <c r="V94" s="200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98">
        <v>300253</v>
      </c>
      <c r="B95" s="195" t="s">
        <v>87</v>
      </c>
      <c r="C95" s="248" t="s">
        <v>107</v>
      </c>
      <c r="D95" s="248" t="s">
        <v>101</v>
      </c>
      <c r="E95" s="197" t="s">
        <v>66</v>
      </c>
      <c r="F95" s="27"/>
      <c r="G95" s="133"/>
      <c r="H95" s="133"/>
      <c r="I95" s="133"/>
      <c r="J95" s="133"/>
      <c r="K95" s="196">
        <f t="shared" si="7"/>
        <v>0</v>
      </c>
      <c r="L95" s="196">
        <f t="shared" si="8"/>
        <v>0</v>
      </c>
      <c r="M95" s="196">
        <v>412.5</v>
      </c>
      <c r="N95" s="196">
        <f>+M95*1000/(84*1*110*60)*T95</f>
        <v>5.2083333333333339</v>
      </c>
      <c r="O95" s="196"/>
      <c r="P95" s="196">
        <f t="shared" si="9"/>
        <v>0</v>
      </c>
      <c r="Q95" s="196"/>
      <c r="R95" s="19">
        <f t="shared" si="10"/>
        <v>0</v>
      </c>
      <c r="S95" s="196">
        <f t="shared" si="11"/>
        <v>0</v>
      </c>
      <c r="T95" s="20">
        <v>7</v>
      </c>
      <c r="U95" s="20"/>
      <c r="V95" s="200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98">
        <v>300255</v>
      </c>
      <c r="B96" s="195" t="s">
        <v>87</v>
      </c>
      <c r="C96" s="248" t="s">
        <v>107</v>
      </c>
      <c r="D96" s="248" t="s">
        <v>101</v>
      </c>
      <c r="E96" s="197" t="s">
        <v>108</v>
      </c>
      <c r="F96" s="27"/>
      <c r="G96" s="133"/>
      <c r="H96" s="133"/>
      <c r="I96" s="133"/>
      <c r="J96" s="133"/>
      <c r="K96" s="196">
        <f t="shared" si="7"/>
        <v>0</v>
      </c>
      <c r="L96" s="196">
        <f t="shared" si="8"/>
        <v>0</v>
      </c>
      <c r="M96" s="196">
        <v>412.5</v>
      </c>
      <c r="N96" s="196">
        <f>+M96*1000/(84*1*110*60)*T96</f>
        <v>5.2083333333333339</v>
      </c>
      <c r="O96" s="196"/>
      <c r="P96" s="196">
        <f t="shared" si="9"/>
        <v>0</v>
      </c>
      <c r="Q96" s="196"/>
      <c r="R96" s="19">
        <f t="shared" si="10"/>
        <v>0</v>
      </c>
      <c r="S96" s="196">
        <f t="shared" si="11"/>
        <v>0</v>
      </c>
      <c r="T96" s="20">
        <v>7</v>
      </c>
      <c r="U96" s="20"/>
      <c r="V96" s="200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98">
        <v>300392</v>
      </c>
      <c r="B97" s="195" t="s">
        <v>87</v>
      </c>
      <c r="C97" s="259" t="s">
        <v>109</v>
      </c>
      <c r="D97" s="260"/>
      <c r="E97" s="197" t="s">
        <v>105</v>
      </c>
      <c r="F97" s="187"/>
      <c r="G97" s="133"/>
      <c r="H97" s="133"/>
      <c r="I97" s="133"/>
      <c r="J97" s="133"/>
      <c r="K97" s="196">
        <f t="shared" si="7"/>
        <v>0</v>
      </c>
      <c r="L97" s="196">
        <f t="shared" si="8"/>
        <v>0</v>
      </c>
      <c r="M97" s="196">
        <v>523</v>
      </c>
      <c r="N97" s="196">
        <f>+M97*1000/(98*1*80*60)*T97</f>
        <v>7.7827380952380958</v>
      </c>
      <c r="O97" s="196"/>
      <c r="P97" s="196">
        <f t="shared" si="9"/>
        <v>0</v>
      </c>
      <c r="Q97" s="196"/>
      <c r="R97" s="19">
        <f t="shared" si="10"/>
        <v>0</v>
      </c>
      <c r="S97" s="196">
        <f t="shared" si="11"/>
        <v>0</v>
      </c>
      <c r="T97" s="20">
        <v>7</v>
      </c>
      <c r="U97" s="20"/>
      <c r="V97" s="200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98">
        <v>300088</v>
      </c>
      <c r="B98" s="195" t="s">
        <v>87</v>
      </c>
      <c r="C98" s="248" t="s">
        <v>318</v>
      </c>
      <c r="D98" s="248" t="s">
        <v>96</v>
      </c>
      <c r="E98" s="197" t="s">
        <v>39</v>
      </c>
      <c r="F98" s="27"/>
      <c r="G98" s="133"/>
      <c r="H98" s="133"/>
      <c r="I98" s="133"/>
      <c r="J98" s="133"/>
      <c r="K98" s="196">
        <f t="shared" si="7"/>
        <v>0</v>
      </c>
      <c r="L98" s="196">
        <f t="shared" si="8"/>
        <v>0</v>
      </c>
      <c r="M98" s="196">
        <v>617.79999999999995</v>
      </c>
      <c r="N98" s="196">
        <f>+M98*1000/(123*1*80*60)*T98</f>
        <v>3.1392276422764223</v>
      </c>
      <c r="O98" s="196"/>
      <c r="P98" s="196">
        <f t="shared" si="9"/>
        <v>0</v>
      </c>
      <c r="Q98" s="196"/>
      <c r="R98" s="19">
        <f t="shared" si="10"/>
        <v>0</v>
      </c>
      <c r="S98" s="196">
        <f t="shared" si="11"/>
        <v>0</v>
      </c>
      <c r="T98" s="20">
        <v>3</v>
      </c>
      <c r="U98" s="20"/>
      <c r="V98" s="200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98">
        <v>300089</v>
      </c>
      <c r="B99" s="195" t="s">
        <v>87</v>
      </c>
      <c r="C99" s="248" t="s">
        <v>318</v>
      </c>
      <c r="D99" s="248" t="s">
        <v>96</v>
      </c>
      <c r="E99" s="197" t="s">
        <v>42</v>
      </c>
      <c r="F99" s="27"/>
      <c r="G99" s="133"/>
      <c r="H99" s="133"/>
      <c r="I99" s="133"/>
      <c r="J99" s="133"/>
      <c r="K99" s="196">
        <f t="shared" si="7"/>
        <v>0</v>
      </c>
      <c r="L99" s="196">
        <f t="shared" si="8"/>
        <v>0</v>
      </c>
      <c r="M99" s="196">
        <v>618.6</v>
      </c>
      <c r="N99" s="196">
        <f>+M99*1000/(124*1*80*60)*T99</f>
        <v>3.117943548387097</v>
      </c>
      <c r="O99" s="196"/>
      <c r="P99" s="196">
        <f t="shared" si="9"/>
        <v>0</v>
      </c>
      <c r="Q99" s="196"/>
      <c r="R99" s="19">
        <f t="shared" si="10"/>
        <v>0</v>
      </c>
      <c r="S99" s="196">
        <f t="shared" si="11"/>
        <v>0</v>
      </c>
      <c r="T99" s="20">
        <v>3</v>
      </c>
      <c r="U99" s="20"/>
      <c r="V99" s="200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98">
        <v>300128</v>
      </c>
      <c r="B100" s="195" t="s">
        <v>87</v>
      </c>
      <c r="C100" s="248" t="s">
        <v>112</v>
      </c>
      <c r="D100" s="248" t="s">
        <v>113</v>
      </c>
      <c r="E100" s="197" t="s">
        <v>35</v>
      </c>
      <c r="F100" s="27"/>
      <c r="G100" s="133"/>
      <c r="H100" s="133"/>
      <c r="I100" s="133"/>
      <c r="J100" s="133"/>
      <c r="K100" s="196">
        <f t="shared" si="7"/>
        <v>0</v>
      </c>
      <c r="L100" s="196">
        <f t="shared" si="8"/>
        <v>0</v>
      </c>
      <c r="M100" s="196">
        <v>621.29999999999995</v>
      </c>
      <c r="N100" s="196">
        <f t="shared" ref="N100:N105" si="12">+M100*1000/(130.5*1*80*60)*T100</f>
        <v>3.9674329501915708</v>
      </c>
      <c r="O100" s="196"/>
      <c r="P100" s="196">
        <f t="shared" si="9"/>
        <v>0</v>
      </c>
      <c r="Q100" s="196"/>
      <c r="R100" s="19">
        <f t="shared" si="10"/>
        <v>0</v>
      </c>
      <c r="S100" s="196">
        <f t="shared" si="11"/>
        <v>0</v>
      </c>
      <c r="T100" s="20">
        <v>4</v>
      </c>
      <c r="U100" s="20"/>
      <c r="V100" s="200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98">
        <v>300129</v>
      </c>
      <c r="B101" s="195" t="s">
        <v>87</v>
      </c>
      <c r="C101" s="248" t="s">
        <v>112</v>
      </c>
      <c r="D101" s="248" t="s">
        <v>113</v>
      </c>
      <c r="E101" s="197" t="s">
        <v>41</v>
      </c>
      <c r="F101" s="27"/>
      <c r="G101" s="133"/>
      <c r="H101" s="133"/>
      <c r="I101" s="133"/>
      <c r="J101" s="133"/>
      <c r="K101" s="196">
        <f t="shared" si="7"/>
        <v>0</v>
      </c>
      <c r="L101" s="196">
        <f t="shared" si="8"/>
        <v>0</v>
      </c>
      <c r="M101" s="196">
        <v>621.29999999999995</v>
      </c>
      <c r="N101" s="196">
        <f t="shared" si="12"/>
        <v>3.9674329501915708</v>
      </c>
      <c r="O101" s="196"/>
      <c r="P101" s="196">
        <f t="shared" si="9"/>
        <v>0</v>
      </c>
      <c r="Q101" s="196"/>
      <c r="R101" s="19">
        <f t="shared" si="10"/>
        <v>0</v>
      </c>
      <c r="S101" s="196">
        <f t="shared" si="11"/>
        <v>0</v>
      </c>
      <c r="T101" s="20">
        <v>4</v>
      </c>
      <c r="U101" s="20"/>
      <c r="V101" s="200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s="2" customFormat="1" ht="21.95" hidden="1" customHeight="1">
      <c r="A102" s="198">
        <v>300130</v>
      </c>
      <c r="B102" s="195" t="s">
        <v>87</v>
      </c>
      <c r="C102" s="248" t="s">
        <v>112</v>
      </c>
      <c r="D102" s="248" t="s">
        <v>113</v>
      </c>
      <c r="E102" s="197" t="s">
        <v>37</v>
      </c>
      <c r="F102" s="27"/>
      <c r="G102" s="133"/>
      <c r="H102" s="133"/>
      <c r="I102" s="133"/>
      <c r="J102" s="133"/>
      <c r="K102" s="196">
        <f t="shared" si="7"/>
        <v>0</v>
      </c>
      <c r="L102" s="196">
        <f t="shared" si="8"/>
        <v>0</v>
      </c>
      <c r="M102" s="196">
        <v>621.29999999999995</v>
      </c>
      <c r="N102" s="196">
        <f t="shared" si="12"/>
        <v>3.9674329501915708</v>
      </c>
      <c r="O102" s="196"/>
      <c r="P102" s="196">
        <f t="shared" si="9"/>
        <v>0</v>
      </c>
      <c r="Q102" s="196"/>
      <c r="R102" s="19">
        <f t="shared" si="10"/>
        <v>0</v>
      </c>
      <c r="S102" s="196">
        <f t="shared" si="11"/>
        <v>0</v>
      </c>
      <c r="T102" s="20">
        <v>4</v>
      </c>
      <c r="U102" s="20"/>
      <c r="V102" s="200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s="2" customFormat="1" ht="21.95" hidden="1" customHeight="1">
      <c r="A103" s="198">
        <v>300423</v>
      </c>
      <c r="B103" s="195" t="s">
        <v>300</v>
      </c>
      <c r="C103" s="259" t="s">
        <v>296</v>
      </c>
      <c r="D103" s="260"/>
      <c r="E103" s="197" t="s">
        <v>297</v>
      </c>
      <c r="F103" s="27"/>
      <c r="G103" s="133"/>
      <c r="H103" s="133"/>
      <c r="I103" s="133"/>
      <c r="J103" s="133"/>
      <c r="K103" s="196">
        <f t="shared" si="7"/>
        <v>0</v>
      </c>
      <c r="L103" s="196">
        <f t="shared" si="8"/>
        <v>0</v>
      </c>
      <c r="M103" s="196">
        <v>524.1</v>
      </c>
      <c r="N103" s="196">
        <f t="shared" si="12"/>
        <v>3.3467432950191571</v>
      </c>
      <c r="O103" s="196"/>
      <c r="P103" s="196">
        <f t="shared" si="9"/>
        <v>0</v>
      </c>
      <c r="Q103" s="196"/>
      <c r="R103" s="19">
        <f t="shared" si="10"/>
        <v>0</v>
      </c>
      <c r="S103" s="196">
        <f t="shared" si="11"/>
        <v>0</v>
      </c>
      <c r="T103" s="20">
        <v>4</v>
      </c>
      <c r="U103" s="20"/>
      <c r="V103" s="200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s="2" customFormat="1" ht="21.95" hidden="1" customHeight="1">
      <c r="A104" s="198">
        <v>300424</v>
      </c>
      <c r="B104" s="195" t="s">
        <v>300</v>
      </c>
      <c r="C104" s="259" t="s">
        <v>296</v>
      </c>
      <c r="D104" s="260"/>
      <c r="E104" s="197" t="s">
        <v>298</v>
      </c>
      <c r="F104" s="27"/>
      <c r="G104" s="133"/>
      <c r="H104" s="133"/>
      <c r="I104" s="133"/>
      <c r="J104" s="133"/>
      <c r="K104" s="196">
        <f t="shared" si="7"/>
        <v>0</v>
      </c>
      <c r="L104" s="196">
        <f t="shared" si="8"/>
        <v>0</v>
      </c>
      <c r="M104" s="196">
        <v>524.1</v>
      </c>
      <c r="N104" s="196">
        <f t="shared" si="12"/>
        <v>3.3467432950191571</v>
      </c>
      <c r="O104" s="196"/>
      <c r="P104" s="196">
        <f t="shared" si="9"/>
        <v>0</v>
      </c>
      <c r="Q104" s="196"/>
      <c r="R104" s="19">
        <f t="shared" si="10"/>
        <v>0</v>
      </c>
      <c r="S104" s="196">
        <f t="shared" si="11"/>
        <v>0</v>
      </c>
      <c r="T104" s="20">
        <v>4</v>
      </c>
      <c r="U104" s="20"/>
      <c r="V104" s="200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s="2" customFormat="1" ht="21.95" hidden="1" customHeight="1">
      <c r="A105" s="198">
        <v>300425</v>
      </c>
      <c r="B105" s="195" t="s">
        <v>300</v>
      </c>
      <c r="C105" s="259" t="s">
        <v>296</v>
      </c>
      <c r="D105" s="260"/>
      <c r="E105" s="197" t="s">
        <v>299</v>
      </c>
      <c r="F105" s="27"/>
      <c r="G105" s="133"/>
      <c r="H105" s="133"/>
      <c r="I105" s="133"/>
      <c r="J105" s="133"/>
      <c r="K105" s="196">
        <f t="shared" si="7"/>
        <v>0</v>
      </c>
      <c r="L105" s="196">
        <f t="shared" si="8"/>
        <v>0</v>
      </c>
      <c r="M105" s="196">
        <v>524.1</v>
      </c>
      <c r="N105" s="196">
        <f t="shared" si="12"/>
        <v>3.3467432950191571</v>
      </c>
      <c r="O105" s="196"/>
      <c r="P105" s="196">
        <f t="shared" si="9"/>
        <v>0</v>
      </c>
      <c r="Q105" s="196"/>
      <c r="R105" s="19">
        <f t="shared" si="10"/>
        <v>0</v>
      </c>
      <c r="S105" s="196">
        <f t="shared" si="11"/>
        <v>0</v>
      </c>
      <c r="T105" s="20">
        <v>4</v>
      </c>
      <c r="U105" s="20"/>
      <c r="V105" s="200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2" customFormat="1" ht="21.95" customHeight="1">
      <c r="A106" s="198">
        <v>300390</v>
      </c>
      <c r="B106" s="195">
        <v>5001</v>
      </c>
      <c r="C106" s="259" t="s">
        <v>114</v>
      </c>
      <c r="D106" s="260"/>
      <c r="E106" s="197" t="s">
        <v>115</v>
      </c>
      <c r="F106" s="27"/>
      <c r="G106" s="133">
        <v>9</v>
      </c>
      <c r="H106" s="133"/>
      <c r="I106" s="133">
        <v>9</v>
      </c>
      <c r="J106" s="133"/>
      <c r="K106" s="196">
        <f t="shared" si="7"/>
        <v>3756.6</v>
      </c>
      <c r="L106" s="196">
        <f t="shared" si="8"/>
        <v>3756.6</v>
      </c>
      <c r="M106" s="196">
        <v>417.4</v>
      </c>
      <c r="N106" s="196">
        <f>+M106*1000/(87*1*80*60)*T106</f>
        <v>3.9980842911877397</v>
      </c>
      <c r="O106" s="196"/>
      <c r="P106" s="196">
        <f t="shared" si="9"/>
        <v>35.982758620689658</v>
      </c>
      <c r="Q106" s="196">
        <v>7</v>
      </c>
      <c r="R106" s="19">
        <f t="shared" si="10"/>
        <v>28</v>
      </c>
      <c r="S106" s="196">
        <f t="shared" si="11"/>
        <v>-7.9827586206896584</v>
      </c>
      <c r="T106" s="20">
        <v>4</v>
      </c>
      <c r="U106" s="20">
        <v>4</v>
      </c>
      <c r="V106" s="200">
        <f t="array" ref="V106">IF(ISERROR(L106/K106),"",L106/K106)</f>
        <v>1</v>
      </c>
      <c r="W106" s="20"/>
      <c r="X106" s="20"/>
      <c r="Y106" s="20"/>
      <c r="Z106" s="20"/>
      <c r="AA106" s="20"/>
      <c r="AB106" s="20"/>
      <c r="AC106" s="2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>
        <v>6503</v>
      </c>
      <c r="C141" s="248" t="s">
        <v>139</v>
      </c>
      <c r="D141" s="248" t="s">
        <v>140</v>
      </c>
      <c r="E141" s="166" t="s">
        <v>135</v>
      </c>
      <c r="F141" s="27"/>
      <c r="G141" s="133">
        <v>9</v>
      </c>
      <c r="H141" s="133">
        <v>0.125</v>
      </c>
      <c r="I141" s="133">
        <f>8+H141</f>
        <v>8.125</v>
      </c>
      <c r="J141" s="133"/>
      <c r="K141" s="164">
        <f t="shared" si="7"/>
        <v>5013</v>
      </c>
      <c r="L141" s="164">
        <f t="shared" si="8"/>
        <v>4525.625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49.688460693895472</v>
      </c>
      <c r="Q141" s="164">
        <v>11</v>
      </c>
      <c r="R141" s="19">
        <f t="shared" si="10"/>
        <v>66</v>
      </c>
      <c r="S141" s="164">
        <f t="shared" si="11"/>
        <v>16.311539306104528</v>
      </c>
      <c r="T141" s="20">
        <v>5</v>
      </c>
      <c r="U141" s="20">
        <v>6</v>
      </c>
      <c r="V141" s="161">
        <f t="array" ref="V141">IF(ISERROR(L141/K141),"",L141/K141)</f>
        <v>0.90277777777777779</v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33">
        <v>3.3</v>
      </c>
      <c r="H169" s="133">
        <v>0.3</v>
      </c>
      <c r="I169" s="133">
        <f>3+H169</f>
        <v>3.3</v>
      </c>
      <c r="J169" s="133"/>
      <c r="K169" s="164">
        <f t="shared" si="15"/>
        <v>1718.6399999999996</v>
      </c>
      <c r="L169" s="164">
        <f t="shared" si="16"/>
        <v>1718.6399999999996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17.580196399345333</v>
      </c>
      <c r="Q169" s="164">
        <v>4</v>
      </c>
      <c r="R169" s="19">
        <f t="shared" si="18"/>
        <v>20</v>
      </c>
      <c r="S169" s="164">
        <f t="shared" si="19"/>
        <v>2.4198036006546673</v>
      </c>
      <c r="T169" s="20">
        <v>6</v>
      </c>
      <c r="U169" s="20">
        <v>5</v>
      </c>
      <c r="V169" s="161">
        <f t="array" ref="V169">IF(ISERROR(L169/K169),"",L169/K169)</f>
        <v>1</v>
      </c>
      <c r="W169" s="20"/>
      <c r="X169" s="20"/>
      <c r="Y169" s="20"/>
      <c r="Z169" s="20"/>
      <c r="AA169" s="20">
        <v>2</v>
      </c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0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0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0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0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0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0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0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0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0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0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0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0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0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0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0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0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0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0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0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0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0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33"/>
      <c r="H191" s="133"/>
      <c r="I191" s="133"/>
      <c r="J191" s="133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200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00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00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48" t="s">
        <v>312</v>
      </c>
      <c r="D194" s="248" t="s">
        <v>89</v>
      </c>
      <c r="E194" s="166" t="s">
        <v>37</v>
      </c>
      <c r="F194" s="13"/>
      <c r="G194" s="133">
        <v>9</v>
      </c>
      <c r="H194" s="133"/>
      <c r="I194" s="133">
        <f>8-J194/300</f>
        <v>7.8</v>
      </c>
      <c r="J194" s="133">
        <v>60</v>
      </c>
      <c r="K194" s="164">
        <f>G194*M194</f>
        <v>3029.4</v>
      </c>
      <c r="L194" s="164">
        <f>I194*M194</f>
        <v>2625.48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10.804444444444444</v>
      </c>
      <c r="Q194" s="164">
        <v>11</v>
      </c>
      <c r="R194" s="19">
        <f>Q194*U194</f>
        <v>55</v>
      </c>
      <c r="S194" s="164">
        <f>R194-P194</f>
        <v>44.195555555555558</v>
      </c>
      <c r="T194" s="20">
        <v>2</v>
      </c>
      <c r="U194" s="20">
        <v>5</v>
      </c>
      <c r="V194" s="200">
        <f t="array" ref="V194">IF(ISERROR(L194/K194),"",L194/K194)</f>
        <v>0.8666666666666667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00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00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00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00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52.53</v>
      </c>
      <c r="H199" s="164">
        <f t="array" ref="H199">SUM(IF(ISERROR(H6:H198),“”,H6:H198))</f>
        <v>1.4535714285714285</v>
      </c>
      <c r="I199" s="164">
        <f t="array" ref="I199">SUM(IF(ISERROR(I6:I198),“”,I6:I198))</f>
        <v>49.878571428571419</v>
      </c>
      <c r="J199" s="164">
        <f t="array" ref="J199">SUM(IF(ISERROR(J6:J198),“”,J6:J198))</f>
        <v>210</v>
      </c>
      <c r="K199" s="164">
        <f t="array" ref="K199">SUM(IF(ISERROR(K6:K198),“”,K6:K198))</f>
        <v>24293.202000000001</v>
      </c>
      <c r="L199" s="56">
        <f>SUM(L6:L198)</f>
        <v>23154.16</v>
      </c>
      <c r="M199" s="164"/>
      <c r="N199" s="164"/>
      <c r="O199" s="164">
        <f>SUM(O6:O190)</f>
        <v>1.5</v>
      </c>
      <c r="P199" s="56">
        <f>SUM((P6:P190),(W204:X209))</f>
        <v>311.82786016989729</v>
      </c>
      <c r="Q199" s="164"/>
      <c r="R199" s="56">
        <f>SUM((R6:R190),(Y204:Z209))</f>
        <v>416</v>
      </c>
      <c r="S199" s="164">
        <f t="array" ref="S199">SUM(IF(ISERROR(S6:S198),“”,S6:S198))</f>
        <v>60.367695385658266</v>
      </c>
      <c r="T199" s="164"/>
      <c r="U199" s="164"/>
      <c r="V199" s="161">
        <f>IF(ISERROR(L199/K199),"",L199/K199)</f>
        <v>0.95311272676199699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0.74958620233148388</v>
      </c>
      <c r="P200" s="274"/>
      <c r="Q200" s="274"/>
      <c r="R200" s="275"/>
      <c r="S200" s="44"/>
      <c r="T200" s="45"/>
      <c r="U200" s="45"/>
      <c r="V200" s="45"/>
      <c r="W200" s="276">
        <f>SUM(W199:AC199)</f>
        <v>2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88</v>
      </c>
      <c r="F202" s="279"/>
      <c r="G202" s="279">
        <v>88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3511.5</v>
      </c>
      <c r="F203" s="279"/>
      <c r="G203" s="279">
        <v>3851.5</v>
      </c>
      <c r="H203" s="279"/>
      <c r="I203" s="279">
        <f>G203-E203</f>
        <v>340</v>
      </c>
      <c r="J203" s="279"/>
      <c r="K203" s="281">
        <f t="array" ref="K203">IF(ISERROR(I203/E203),"",I203/E203)</f>
        <v>9.6824718781147665E-2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17</v>
      </c>
      <c r="T203" s="284"/>
      <c r="U203" s="284">
        <v>21</v>
      </c>
      <c r="V203" s="284"/>
      <c r="W203" s="283">
        <f t="shared" ref="W203:W210" si="28">S203*11</f>
        <v>187</v>
      </c>
      <c r="X203" s="283"/>
      <c r="Y203" s="283">
        <f t="shared" ref="Y203:Y210" si="29">U203*11</f>
        <v>231</v>
      </c>
      <c r="Z203" s="283"/>
      <c r="AA203" s="283">
        <f t="shared" ref="AA203:AA210" si="30">Y203-W203</f>
        <v>44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1483</v>
      </c>
      <c r="F204" s="279"/>
      <c r="G204" s="279">
        <v>1483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5</v>
      </c>
      <c r="T204" s="284"/>
      <c r="U204" s="284">
        <v>7</v>
      </c>
      <c r="V204" s="284"/>
      <c r="W204" s="283">
        <f t="shared" si="28"/>
        <v>55</v>
      </c>
      <c r="X204" s="283"/>
      <c r="Y204" s="283">
        <f t="shared" si="29"/>
        <v>77</v>
      </c>
      <c r="Z204" s="283"/>
      <c r="AA204" s="283">
        <f t="shared" si="30"/>
        <v>22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1</v>
      </c>
      <c r="V205" s="284"/>
      <c r="W205" s="283">
        <f t="shared" si="28"/>
        <v>8.25</v>
      </c>
      <c r="X205" s="283"/>
      <c r="Y205" s="283">
        <f t="shared" si="29"/>
        <v>11</v>
      </c>
      <c r="Z205" s="283"/>
      <c r="AA205" s="283">
        <f t="shared" si="30"/>
        <v>2.75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150306</v>
      </c>
      <c r="H206" s="286"/>
      <c r="I206" s="325">
        <v>150216</v>
      </c>
      <c r="J206" s="326"/>
      <c r="K206" s="289">
        <f>G206-I206</f>
        <v>90</v>
      </c>
      <c r="L206" s="289"/>
      <c r="M206" s="290">
        <f t="array" ref="M206">IF(ISERROR(K206/L199),"",K206/(L199/1000))</f>
        <v>3.8869905019227646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1</v>
      </c>
      <c r="V206" s="284"/>
      <c r="W206" s="283">
        <f t="shared" si="28"/>
        <v>8.25</v>
      </c>
      <c r="X206" s="283"/>
      <c r="Y206" s="283">
        <f t="shared" si="29"/>
        <v>11</v>
      </c>
      <c r="Z206" s="283"/>
      <c r="AA206" s="283">
        <f t="shared" si="30"/>
        <v>2.75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28630*120+44932.5*60</f>
        <v>6131550</v>
      </c>
      <c r="H207" s="286"/>
      <c r="I207" s="325">
        <v>6130194</v>
      </c>
      <c r="J207" s="326"/>
      <c r="K207" s="289">
        <f>G207-I207</f>
        <v>1356</v>
      </c>
      <c r="L207" s="289"/>
      <c r="M207" s="290">
        <f t="array" ref="M207">IF(ISERROR(K207/L199),"",K207/(L199/1000))</f>
        <v>58.563990228969651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8"/>
        <v>16.5</v>
      </c>
      <c r="X207" s="283"/>
      <c r="Y207" s="283">
        <f t="shared" si="29"/>
        <v>11</v>
      </c>
      <c r="Z207" s="283"/>
      <c r="AA207" s="283">
        <f t="shared" si="30"/>
        <v>-5.5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+I208+13</f>
        <v>26948</v>
      </c>
      <c r="H208" s="286"/>
      <c r="I208" s="285">
        <v>26935</v>
      </c>
      <c r="J208" s="286"/>
      <c r="K208" s="289">
        <f>G208-I208</f>
        <v>13</v>
      </c>
      <c r="L208" s="289"/>
      <c r="M208" s="293">
        <f t="array" ref="M208">IF(ISERROR(K208/L199),"",K208/(L199/1000))</f>
        <v>0.56145418361106603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2.08+1.26/2</f>
        <v>2.71</v>
      </c>
      <c r="L209" s="292"/>
      <c r="M209" s="294">
        <f t="array" ref="M209">IF(ISERROR((K209+K210)/L199),"",((K209+K210)*1000)/(L199/1000))</f>
        <v>117.04160289122991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9</v>
      </c>
      <c r="V209" s="284"/>
      <c r="W209" s="283">
        <f t="shared" si="28"/>
        <v>33</v>
      </c>
      <c r="X209" s="283"/>
      <c r="Y209" s="283">
        <f t="shared" si="29"/>
        <v>99</v>
      </c>
      <c r="Z209" s="283"/>
      <c r="AA209" s="283">
        <f t="shared" si="30"/>
        <v>66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29</v>
      </c>
      <c r="T210" s="284"/>
      <c r="U210" s="284">
        <f>SUM(U203:V209)</f>
        <v>41</v>
      </c>
      <c r="V210" s="284"/>
      <c r="W210" s="283">
        <f t="shared" si="28"/>
        <v>319</v>
      </c>
      <c r="X210" s="283"/>
      <c r="Y210" s="283">
        <f t="shared" si="29"/>
        <v>451</v>
      </c>
      <c r="Z210" s="283"/>
      <c r="AA210" s="283">
        <f t="shared" si="30"/>
        <v>132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4.7970479704797047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51.339600886917957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>
        <v>3004</v>
      </c>
      <c r="C242" s="248" t="s">
        <v>56</v>
      </c>
      <c r="D242" s="248"/>
      <c r="E242" s="166" t="s">
        <v>54</v>
      </c>
      <c r="F242" s="165">
        <v>1469</v>
      </c>
      <c r="G242" s="164">
        <v>4</v>
      </c>
      <c r="H242" s="164"/>
      <c r="I242" s="164">
        <v>4</v>
      </c>
      <c r="J242" s="164"/>
      <c r="K242" s="164">
        <f t="shared" si="31"/>
        <v>2201.6</v>
      </c>
      <c r="L242" s="164">
        <f t="shared" si="32"/>
        <v>2201.6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11.836559139784946</v>
      </c>
      <c r="Q242" s="164">
        <v>7</v>
      </c>
      <c r="R242" s="19">
        <f t="shared" si="35"/>
        <v>28</v>
      </c>
      <c r="S242" s="164">
        <f t="shared" si="36"/>
        <v>16.163440860215054</v>
      </c>
      <c r="T242" s="20">
        <v>3</v>
      </c>
      <c r="U242" s="20">
        <v>4</v>
      </c>
      <c r="V242" s="161">
        <f t="array" ref="V242">IF(ISERROR(L242/K242),"",L242/K242)</f>
        <v>1</v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>
        <v>3004</v>
      </c>
      <c r="C245" s="248" t="s">
        <v>56</v>
      </c>
      <c r="D245" s="248"/>
      <c r="E245" s="166" t="s">
        <v>37</v>
      </c>
      <c r="F245" s="165">
        <v>1502</v>
      </c>
      <c r="G245" s="164">
        <v>7.6</v>
      </c>
      <c r="H245" s="164"/>
      <c r="I245" s="164">
        <f>8-J245/500</f>
        <v>7.6</v>
      </c>
      <c r="J245" s="164">
        <v>200</v>
      </c>
      <c r="K245" s="164">
        <f t="shared" si="31"/>
        <v>4183.04</v>
      </c>
      <c r="L245" s="164">
        <f t="shared" si="32"/>
        <v>4183.04</v>
      </c>
      <c r="M245" s="164">
        <v>550.4</v>
      </c>
      <c r="N245" s="164">
        <f>+M245*1000/(31*20*15*60)*T245</f>
        <v>2.9591397849462364</v>
      </c>
      <c r="O245" s="164">
        <v>0.5</v>
      </c>
      <c r="P245" s="164">
        <f t="shared" si="34"/>
        <v>24.489462365591397</v>
      </c>
      <c r="Q245" s="164">
        <v>4.5</v>
      </c>
      <c r="R245" s="19">
        <f t="shared" si="35"/>
        <v>18</v>
      </c>
      <c r="S245" s="164">
        <f t="shared" si="36"/>
        <v>-6.4894623655913968</v>
      </c>
      <c r="T245" s="20">
        <v>3</v>
      </c>
      <c r="U245" s="20">
        <v>4</v>
      </c>
      <c r="V245" s="161">
        <f t="array" ref="V245">IF(ISERROR(L245/K245),"",L245/K245)</f>
        <v>1</v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0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0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0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0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0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0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0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0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0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>
        <v>4503</v>
      </c>
      <c r="C255" s="259" t="s">
        <v>68</v>
      </c>
      <c r="D255" s="260"/>
      <c r="E255" s="166" t="s">
        <v>69</v>
      </c>
      <c r="F255" s="165">
        <v>1435</v>
      </c>
      <c r="G255" s="196">
        <v>4</v>
      </c>
      <c r="H255" s="196"/>
      <c r="I255" s="196">
        <v>4</v>
      </c>
      <c r="J255" s="196"/>
      <c r="K255" s="164">
        <f t="shared" si="31"/>
        <v>1542.4</v>
      </c>
      <c r="L255" s="164">
        <f t="shared" si="32"/>
        <v>1542.4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10.120734908136482</v>
      </c>
      <c r="Q255" s="164">
        <v>5.5</v>
      </c>
      <c r="R255" s="19">
        <f t="shared" si="35"/>
        <v>11</v>
      </c>
      <c r="S255" s="164">
        <f t="shared" si="36"/>
        <v>0.87926509186351787</v>
      </c>
      <c r="T255" s="20">
        <v>3</v>
      </c>
      <c r="U255" s="20">
        <v>2</v>
      </c>
      <c r="V255" s="200">
        <f t="array" ref="V255">IF(ISERROR(L255/K255),"",L255/K255)</f>
        <v>1</v>
      </c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>
        <v>4503</v>
      </c>
      <c r="C256" s="259" t="s">
        <v>68</v>
      </c>
      <c r="D256" s="260"/>
      <c r="E256" s="166" t="s">
        <v>70</v>
      </c>
      <c r="F256" s="165">
        <v>1467</v>
      </c>
      <c r="G256" s="196">
        <v>4.26</v>
      </c>
      <c r="H256" s="196"/>
      <c r="I256" s="196">
        <f>5-J256/350</f>
        <v>4.2571428571428571</v>
      </c>
      <c r="J256" s="196">
        <v>260</v>
      </c>
      <c r="K256" s="164">
        <f t="shared" si="31"/>
        <v>1642.6559999999999</v>
      </c>
      <c r="L256" s="164">
        <f t="shared" si="32"/>
        <v>1641.5542857142857</v>
      </c>
      <c r="M256" s="164">
        <v>385.6</v>
      </c>
      <c r="N256" s="164">
        <f>+M256*1000/(25.4*20*15*60)*T256</f>
        <v>2.5301837270341205</v>
      </c>
      <c r="O256" s="164">
        <v>0.5</v>
      </c>
      <c r="P256" s="164">
        <f t="shared" si="34"/>
        <v>11.771353580802399</v>
      </c>
      <c r="Q256" s="164">
        <v>6</v>
      </c>
      <c r="R256" s="19">
        <f t="shared" si="35"/>
        <v>12</v>
      </c>
      <c r="S256" s="164">
        <f t="shared" si="36"/>
        <v>0.22864641919760054</v>
      </c>
      <c r="T256" s="20">
        <v>3</v>
      </c>
      <c r="U256" s="20">
        <v>2</v>
      </c>
      <c r="V256" s="200">
        <f t="array" ref="V256">IF(ISERROR(L256/K256),"",L256/K256)</f>
        <v>0.99932930918846419</v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96"/>
      <c r="H257" s="196"/>
      <c r="I257" s="196"/>
      <c r="J257" s="196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00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96"/>
      <c r="H258" s="196"/>
      <c r="I258" s="196"/>
      <c r="J258" s="196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00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96"/>
      <c r="H259" s="196"/>
      <c r="I259" s="196"/>
      <c r="J259" s="196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0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96"/>
      <c r="H260" s="196"/>
      <c r="I260" s="196"/>
      <c r="J260" s="196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0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96"/>
      <c r="H261" s="196"/>
      <c r="I261" s="196"/>
      <c r="J261" s="196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0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96"/>
      <c r="H262" s="196"/>
      <c r="I262" s="196"/>
      <c r="J262" s="196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0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96"/>
      <c r="H263" s="196"/>
      <c r="I263" s="196"/>
      <c r="J263" s="196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0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96"/>
      <c r="H264" s="196"/>
      <c r="I264" s="196"/>
      <c r="J264" s="196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0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96"/>
      <c r="H265" s="196"/>
      <c r="I265" s="196"/>
      <c r="J265" s="196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0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96"/>
      <c r="H266" s="196"/>
      <c r="I266" s="196"/>
      <c r="J266" s="196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0" t="str">
        <f t="array" ref="V266">IF(ISERROR(L266/K266),"",L266/K266)</f>
        <v/>
      </c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96"/>
      <c r="H267" s="196"/>
      <c r="I267" s="196"/>
      <c r="J267" s="196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0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96"/>
      <c r="H268" s="196"/>
      <c r="I268" s="196"/>
      <c r="J268" s="196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0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96"/>
      <c r="H269" s="196"/>
      <c r="I269" s="196"/>
      <c r="J269" s="196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0" t="str">
        <f t="array" ref="V269">IF(ISERROR(L269/K269),"",L269/K269)</f>
        <v/>
      </c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96"/>
      <c r="H270" s="196"/>
      <c r="I270" s="196"/>
      <c r="J270" s="196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0" t="str">
        <f t="array" ref="V270">IF(ISERROR(L270/K270),"",L270/K270)</f>
        <v/>
      </c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96"/>
      <c r="H271" s="196"/>
      <c r="I271" s="196"/>
      <c r="J271" s="196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0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96"/>
      <c r="H272" s="196"/>
      <c r="I272" s="196"/>
      <c r="J272" s="196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0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96"/>
      <c r="H273" s="196"/>
      <c r="I273" s="196"/>
      <c r="J273" s="196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0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96"/>
      <c r="H274" s="196"/>
      <c r="I274" s="196"/>
      <c r="J274" s="196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0" t="str">
        <f t="array" ref="V274">IF(ISERROR(L274/K274),"",L274/K274)</f>
        <v/>
      </c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96"/>
      <c r="H275" s="196"/>
      <c r="I275" s="196"/>
      <c r="J275" s="196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0" t="str">
        <f t="array" ref="V275">IF(ISERROR(L275/K275),"",L275/K275)</f>
        <v/>
      </c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96"/>
      <c r="H276" s="196"/>
      <c r="I276" s="196"/>
      <c r="J276" s="196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0" t="str">
        <f t="array" ref="V276">IF(ISERROR(L276/K276),"",L276/K276)</f>
        <v/>
      </c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96"/>
      <c r="H277" s="196"/>
      <c r="I277" s="196"/>
      <c r="J277" s="196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0" t="str">
        <f t="array" ref="V277">IF(ISERROR(L277/K277),"",L277/K277)</f>
        <v/>
      </c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96"/>
      <c r="H278" s="196"/>
      <c r="I278" s="196"/>
      <c r="J278" s="196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0" t="str">
        <f t="array" ref="V278">IF(ISERROR(L278/K278),"",L278/K278)</f>
        <v/>
      </c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96"/>
      <c r="H279" s="196"/>
      <c r="I279" s="196"/>
      <c r="J279" s="196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0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96"/>
      <c r="H280" s="196"/>
      <c r="I280" s="196"/>
      <c r="J280" s="196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0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96"/>
      <c r="H281" s="196"/>
      <c r="I281" s="196"/>
      <c r="J281" s="196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0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96"/>
      <c r="H282" s="196"/>
      <c r="I282" s="196"/>
      <c r="J282" s="196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0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>
        <v>5001</v>
      </c>
      <c r="C283" s="248" t="s">
        <v>316</v>
      </c>
      <c r="D283" s="248" t="s">
        <v>89</v>
      </c>
      <c r="E283" s="166" t="s">
        <v>35</v>
      </c>
      <c r="F283" s="165">
        <v>1507</v>
      </c>
      <c r="G283" s="196">
        <v>8.3800000000000008</v>
      </c>
      <c r="H283" s="196">
        <v>0.375</v>
      </c>
      <c r="I283" s="196">
        <f>8+H283</f>
        <v>8.375</v>
      </c>
      <c r="J283" s="196"/>
      <c r="K283" s="164">
        <f t="shared" si="31"/>
        <v>3598.3720000000003</v>
      </c>
      <c r="L283" s="164">
        <f t="shared" si="32"/>
        <v>3596.2249999999999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46.372985170857511</v>
      </c>
      <c r="Q283" s="164">
        <v>10.5</v>
      </c>
      <c r="R283" s="19">
        <f t="shared" si="35"/>
        <v>52.5</v>
      </c>
      <c r="S283" s="164">
        <f t="shared" si="36"/>
        <v>6.1270148291424888</v>
      </c>
      <c r="T283" s="20">
        <v>4</v>
      </c>
      <c r="U283" s="20">
        <v>5</v>
      </c>
      <c r="V283" s="200">
        <f t="array" ref="V283">IF(ISERROR(L283/K283),"",L283/K283)</f>
        <v>0.99940334128878272</v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96"/>
      <c r="H284" s="196"/>
      <c r="I284" s="196"/>
      <c r="J284" s="196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0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96"/>
      <c r="H285" s="196"/>
      <c r="I285" s="196"/>
      <c r="J285" s="196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0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96"/>
      <c r="H286" s="196"/>
      <c r="I286" s="196"/>
      <c r="J286" s="196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0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96"/>
      <c r="H287" s="196"/>
      <c r="I287" s="196"/>
      <c r="J287" s="196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0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>
        <v>5001</v>
      </c>
      <c r="C288" s="248" t="s">
        <v>98</v>
      </c>
      <c r="D288" s="248" t="s">
        <v>99</v>
      </c>
      <c r="E288" s="166" t="s">
        <v>37</v>
      </c>
      <c r="F288" s="165">
        <v>1506</v>
      </c>
      <c r="G288" s="196">
        <v>1</v>
      </c>
      <c r="H288" s="196"/>
      <c r="I288" s="196">
        <v>1</v>
      </c>
      <c r="J288" s="196"/>
      <c r="K288" s="164">
        <f t="shared" si="38"/>
        <v>438.4</v>
      </c>
      <c r="L288" s="164">
        <f t="shared" si="39"/>
        <v>438.4</v>
      </c>
      <c r="M288" s="164">
        <v>438.4</v>
      </c>
      <c r="N288" s="164">
        <f>+M288*1000/(50*1*120*60)*T288</f>
        <v>4.8711111111111114</v>
      </c>
      <c r="O288" s="164">
        <v>0.5</v>
      </c>
      <c r="P288" s="164">
        <f t="shared" si="40"/>
        <v>7.3711111111111114</v>
      </c>
      <c r="Q288" s="164">
        <v>1</v>
      </c>
      <c r="R288" s="19">
        <f t="shared" si="41"/>
        <v>5</v>
      </c>
      <c r="S288" s="164">
        <f t="shared" si="42"/>
        <v>-2.3711111111111114</v>
      </c>
      <c r="T288" s="20">
        <v>4</v>
      </c>
      <c r="U288" s="20">
        <v>5</v>
      </c>
      <c r="V288" s="200">
        <f t="array" ref="V288">IF(ISERROR(L288/K288),"",L288/K288)</f>
        <v>1</v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96"/>
      <c r="H289" s="196"/>
      <c r="I289" s="196"/>
      <c r="J289" s="196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0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96"/>
      <c r="H290" s="196"/>
      <c r="I290" s="196"/>
      <c r="J290" s="196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0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96"/>
      <c r="H291" s="196"/>
      <c r="I291" s="196"/>
      <c r="J291" s="196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0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96"/>
      <c r="H292" s="196"/>
      <c r="I292" s="196"/>
      <c r="J292" s="196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0" t="str">
        <f t="array" ref="V292">IF(ISERROR(L292/K292),"",L292/K292)</f>
        <v/>
      </c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96"/>
      <c r="H293" s="196"/>
      <c r="I293" s="196"/>
      <c r="J293" s="196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0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96"/>
      <c r="H294" s="196"/>
      <c r="I294" s="196"/>
      <c r="J294" s="196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0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96"/>
      <c r="H295" s="196"/>
      <c r="I295" s="196"/>
      <c r="J295" s="196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0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96"/>
      <c r="H296" s="196"/>
      <c r="I296" s="196"/>
      <c r="J296" s="196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0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96"/>
      <c r="H297" s="196"/>
      <c r="I297" s="196"/>
      <c r="J297" s="196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0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96"/>
      <c r="H298" s="196"/>
      <c r="I298" s="196"/>
      <c r="J298" s="196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0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96"/>
      <c r="H299" s="196"/>
      <c r="I299" s="196"/>
      <c r="J299" s="196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0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96"/>
      <c r="H300" s="196"/>
      <c r="I300" s="196"/>
      <c r="J300" s="196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0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96"/>
      <c r="H301" s="196"/>
      <c r="I301" s="196"/>
      <c r="J301" s="196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0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96"/>
      <c r="H302" s="196"/>
      <c r="I302" s="196"/>
      <c r="J302" s="196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0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96"/>
      <c r="H303" s="196"/>
      <c r="I303" s="196"/>
      <c r="J303" s="196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0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96"/>
      <c r="H304" s="196"/>
      <c r="I304" s="196"/>
      <c r="J304" s="196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0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96"/>
      <c r="H305" s="196"/>
      <c r="I305" s="196"/>
      <c r="J305" s="196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0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96"/>
      <c r="H306" s="196"/>
      <c r="I306" s="196"/>
      <c r="J306" s="196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0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96"/>
      <c r="H307" s="196"/>
      <c r="I307" s="196"/>
      <c r="J307" s="196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0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96"/>
      <c r="H308" s="196"/>
      <c r="I308" s="196"/>
      <c r="J308" s="196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200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96"/>
      <c r="H309" s="196"/>
      <c r="I309" s="196"/>
      <c r="J309" s="196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0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96"/>
      <c r="H310" s="196"/>
      <c r="I310" s="196"/>
      <c r="J310" s="196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0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96"/>
      <c r="H311" s="196"/>
      <c r="I311" s="196"/>
      <c r="J311" s="196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0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96"/>
      <c r="H312" s="196"/>
      <c r="I312" s="196"/>
      <c r="J312" s="196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0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96"/>
      <c r="H313" s="196"/>
      <c r="I313" s="196"/>
      <c r="J313" s="196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0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96"/>
      <c r="H314" s="196"/>
      <c r="I314" s="196"/>
      <c r="J314" s="196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0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96"/>
      <c r="H315" s="196"/>
      <c r="I315" s="196"/>
      <c r="J315" s="196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0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96"/>
      <c r="H316" s="196"/>
      <c r="I316" s="196"/>
      <c r="J316" s="196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0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96"/>
      <c r="H317" s="196"/>
      <c r="I317" s="196"/>
      <c r="J317" s="196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0" t="str">
        <f t="array" ref="V317">IF(ISERROR(L317/K317),"",L317/K317)</f>
        <v/>
      </c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96"/>
      <c r="H318" s="196"/>
      <c r="I318" s="196"/>
      <c r="J318" s="196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0" t="str">
        <f t="array" ref="V318">IF(ISERROR(L318/K318),"",L318/K318)</f>
        <v/>
      </c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96"/>
      <c r="H319" s="196"/>
      <c r="I319" s="196"/>
      <c r="J319" s="196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0" t="str">
        <f t="array" ref="V319">IF(ISERROR(L319/K319),"",L319/K319)</f>
        <v/>
      </c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96"/>
      <c r="H320" s="196"/>
      <c r="I320" s="196"/>
      <c r="J320" s="196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0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96"/>
      <c r="H321" s="196"/>
      <c r="I321" s="196"/>
      <c r="J321" s="196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0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96"/>
      <c r="H322" s="196"/>
      <c r="I322" s="196"/>
      <c r="J322" s="196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200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96"/>
      <c r="H323" s="196"/>
      <c r="I323" s="196"/>
      <c r="J323" s="196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0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96"/>
      <c r="H324" s="196"/>
      <c r="I324" s="196"/>
      <c r="J324" s="196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0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96"/>
      <c r="H325" s="196"/>
      <c r="I325" s="196"/>
      <c r="J325" s="196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0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96"/>
      <c r="H326" s="196"/>
      <c r="I326" s="196"/>
      <c r="J326" s="196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0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96"/>
      <c r="H327" s="196"/>
      <c r="I327" s="196"/>
      <c r="J327" s="196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0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96"/>
      <c r="H328" s="196"/>
      <c r="I328" s="196"/>
      <c r="J328" s="196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0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96"/>
      <c r="H329" s="196"/>
      <c r="I329" s="196"/>
      <c r="J329" s="196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0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196"/>
      <c r="H330" s="196"/>
      <c r="I330" s="196"/>
      <c r="J330" s="196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0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196"/>
      <c r="H331" s="196"/>
      <c r="I331" s="196"/>
      <c r="J331" s="196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0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196"/>
      <c r="H332" s="196"/>
      <c r="I332" s="196"/>
      <c r="J332" s="196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0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196"/>
      <c r="H333" s="196"/>
      <c r="I333" s="196"/>
      <c r="J333" s="196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0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196"/>
      <c r="H334" s="196"/>
      <c r="I334" s="196"/>
      <c r="J334" s="196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0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96"/>
      <c r="H335" s="196"/>
      <c r="I335" s="196"/>
      <c r="J335" s="196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0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96"/>
      <c r="H336" s="196"/>
      <c r="I336" s="196"/>
      <c r="J336" s="196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0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96"/>
      <c r="H337" s="196"/>
      <c r="I337" s="196"/>
      <c r="J337" s="196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0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96"/>
      <c r="H338" s="196"/>
      <c r="I338" s="196"/>
      <c r="J338" s="196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0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96"/>
      <c r="H339" s="196"/>
      <c r="I339" s="196"/>
      <c r="J339" s="196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0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96"/>
      <c r="H340" s="196"/>
      <c r="I340" s="196"/>
      <c r="J340" s="196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0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96"/>
      <c r="H341" s="196"/>
      <c r="I341" s="196"/>
      <c r="J341" s="196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0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96"/>
      <c r="H342" s="196"/>
      <c r="I342" s="196"/>
      <c r="J342" s="196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0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96"/>
      <c r="H343" s="196"/>
      <c r="I343" s="196"/>
      <c r="J343" s="196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0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96"/>
      <c r="H344" s="196"/>
      <c r="I344" s="196"/>
      <c r="J344" s="196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0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96"/>
      <c r="H345" s="196"/>
      <c r="I345" s="196"/>
      <c r="J345" s="196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0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96"/>
      <c r="H346" s="196"/>
      <c r="I346" s="196"/>
      <c r="J346" s="196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0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96"/>
      <c r="H347" s="196"/>
      <c r="I347" s="196"/>
      <c r="J347" s="196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0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96"/>
      <c r="H348" s="196"/>
      <c r="I348" s="196"/>
      <c r="J348" s="196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0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96"/>
      <c r="H349" s="196"/>
      <c r="I349" s="196"/>
      <c r="J349" s="196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0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>
        <v>6503</v>
      </c>
      <c r="C350" s="248" t="s">
        <v>139</v>
      </c>
      <c r="D350" s="248" t="s">
        <v>140</v>
      </c>
      <c r="E350" s="166" t="s">
        <v>135</v>
      </c>
      <c r="F350" s="165">
        <v>1447</v>
      </c>
      <c r="G350" s="196">
        <v>9</v>
      </c>
      <c r="H350" s="196"/>
      <c r="I350" s="196">
        <f>9-J350/400</f>
        <v>8.75</v>
      </c>
      <c r="J350" s="196">
        <v>100</v>
      </c>
      <c r="K350" s="164">
        <f t="shared" si="38"/>
        <v>5013</v>
      </c>
      <c r="L350" s="164">
        <f t="shared" si="39"/>
        <v>4873.75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53.510649978041279</v>
      </c>
      <c r="Q350" s="164">
        <v>11.5</v>
      </c>
      <c r="R350" s="19">
        <f t="shared" si="41"/>
        <v>69</v>
      </c>
      <c r="S350" s="164">
        <f t="shared" si="42"/>
        <v>15.489350021958721</v>
      </c>
      <c r="T350" s="20">
        <v>5</v>
      </c>
      <c r="U350" s="20">
        <v>6</v>
      </c>
      <c r="V350" s="200">
        <f t="array" ref="V350">IF(ISERROR(L350/K350),"",L350/K350)</f>
        <v>0.97222222222222221</v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96"/>
      <c r="H351" s="196"/>
      <c r="I351" s="196"/>
      <c r="J351" s="196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0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96"/>
      <c r="H352" s="196"/>
      <c r="I352" s="196"/>
      <c r="J352" s="196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0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96"/>
      <c r="H353" s="196"/>
      <c r="I353" s="196"/>
      <c r="J353" s="196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0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96"/>
      <c r="H354" s="196"/>
      <c r="I354" s="196"/>
      <c r="J354" s="196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0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96"/>
      <c r="H355" s="196"/>
      <c r="I355" s="196"/>
      <c r="J355" s="196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0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96"/>
      <c r="H356" s="196"/>
      <c r="I356" s="196"/>
      <c r="J356" s="196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0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96"/>
      <c r="H357" s="196"/>
      <c r="I357" s="196"/>
      <c r="J357" s="196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0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96"/>
      <c r="H358" s="196"/>
      <c r="I358" s="196"/>
      <c r="J358" s="196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0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96"/>
      <c r="H359" s="196"/>
      <c r="I359" s="196"/>
      <c r="J359" s="196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0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96"/>
      <c r="H360" s="196"/>
      <c r="I360" s="196"/>
      <c r="J360" s="196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0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96"/>
      <c r="H361" s="196"/>
      <c r="I361" s="196"/>
      <c r="J361" s="196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0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96"/>
      <c r="H362" s="196"/>
      <c r="I362" s="196"/>
      <c r="J362" s="196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0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96"/>
      <c r="H363" s="196"/>
      <c r="I363" s="196"/>
      <c r="J363" s="196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0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96"/>
      <c r="H364" s="196"/>
      <c r="I364" s="196"/>
      <c r="J364" s="196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0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96"/>
      <c r="H365" s="196"/>
      <c r="I365" s="196"/>
      <c r="J365" s="196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0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96"/>
      <c r="H366" s="196"/>
      <c r="I366" s="196"/>
      <c r="J366" s="196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0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96"/>
      <c r="H367" s="196"/>
      <c r="I367" s="196"/>
      <c r="J367" s="196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0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96"/>
      <c r="H368" s="196"/>
      <c r="I368" s="196"/>
      <c r="J368" s="196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0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96"/>
      <c r="H369" s="196"/>
      <c r="I369" s="196"/>
      <c r="J369" s="196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0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96"/>
      <c r="H370" s="196"/>
      <c r="I370" s="196"/>
      <c r="J370" s="196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0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96"/>
      <c r="H371" s="196"/>
      <c r="I371" s="196"/>
      <c r="J371" s="196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0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96"/>
      <c r="H372" s="196"/>
      <c r="I372" s="196"/>
      <c r="J372" s="196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0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96"/>
      <c r="H373" s="196"/>
      <c r="I373" s="196"/>
      <c r="J373" s="196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0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96"/>
      <c r="H374" s="196"/>
      <c r="I374" s="196"/>
      <c r="J374" s="196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0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96"/>
      <c r="H375" s="196"/>
      <c r="I375" s="196"/>
      <c r="J375" s="196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0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96"/>
      <c r="H376" s="196"/>
      <c r="I376" s="196"/>
      <c r="J376" s="196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0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96"/>
      <c r="H377" s="196"/>
      <c r="I377" s="196"/>
      <c r="J377" s="196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0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96"/>
      <c r="H378" s="196"/>
      <c r="I378" s="196"/>
      <c r="J378" s="196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0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96"/>
      <c r="H379" s="196"/>
      <c r="I379" s="196"/>
      <c r="J379" s="196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200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96"/>
      <c r="H380" s="196"/>
      <c r="I380" s="196"/>
      <c r="J380" s="196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0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96"/>
      <c r="H381" s="196"/>
      <c r="I381" s="196"/>
      <c r="J381" s="196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0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96"/>
      <c r="H382" s="196"/>
      <c r="I382" s="196"/>
      <c r="J382" s="196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0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96"/>
      <c r="H383" s="196"/>
      <c r="I383" s="196"/>
      <c r="J383" s="196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0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96"/>
      <c r="H384" s="196"/>
      <c r="I384" s="196"/>
      <c r="J384" s="196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0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96"/>
      <c r="H385" s="196"/>
      <c r="I385" s="196"/>
      <c r="J385" s="196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0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96"/>
      <c r="H386" s="196"/>
      <c r="I386" s="196"/>
      <c r="J386" s="196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0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96"/>
      <c r="H387" s="196"/>
      <c r="I387" s="196"/>
      <c r="J387" s="196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0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96"/>
      <c r="H388" s="196"/>
      <c r="I388" s="196"/>
      <c r="J388" s="196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0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96"/>
      <c r="H389" s="196"/>
      <c r="I389" s="196"/>
      <c r="J389" s="196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0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96"/>
      <c r="H390" s="196"/>
      <c r="I390" s="196"/>
      <c r="J390" s="196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0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96"/>
      <c r="H391" s="196"/>
      <c r="I391" s="196"/>
      <c r="J391" s="196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0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96"/>
      <c r="H392" s="196"/>
      <c r="I392" s="196"/>
      <c r="J392" s="196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0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96"/>
      <c r="H393" s="196"/>
      <c r="I393" s="196"/>
      <c r="J393" s="196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0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96"/>
      <c r="H394" s="196"/>
      <c r="I394" s="196"/>
      <c r="J394" s="19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0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96"/>
      <c r="H395" s="196"/>
      <c r="I395" s="196"/>
      <c r="J395" s="196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0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96"/>
      <c r="H396" s="196"/>
      <c r="I396" s="196"/>
      <c r="J396" s="196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0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96"/>
      <c r="H397" s="196"/>
      <c r="I397" s="196"/>
      <c r="J397" s="196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0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96"/>
      <c r="H398" s="196"/>
      <c r="I398" s="196"/>
      <c r="J398" s="196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0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96"/>
      <c r="H399" s="196"/>
      <c r="I399" s="196"/>
      <c r="J399" s="196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0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96"/>
      <c r="H400" s="196"/>
      <c r="I400" s="196"/>
      <c r="J400" s="196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200" t="str">
        <f t="array" ref="V400">IF(ISERROR(L400/K400),"",L400/K400)</f>
        <v/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96"/>
      <c r="H401" s="196"/>
      <c r="I401" s="196"/>
      <c r="J401" s="196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200" t="str">
        <f t="array" ref="V401">IF(ISERROR(L401/K401),"",L401/K401)</f>
        <v/>
      </c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96"/>
      <c r="H402" s="196"/>
      <c r="I402" s="196"/>
      <c r="J402" s="196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200" t="str">
        <f t="array" ref="V402">IF(ISERROR(L402/K402),"",L402/K402)</f>
        <v/>
      </c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48" t="s">
        <v>312</v>
      </c>
      <c r="D403" s="248" t="s">
        <v>89</v>
      </c>
      <c r="E403" s="166" t="s">
        <v>37</v>
      </c>
      <c r="F403" s="13" t="s">
        <v>325</v>
      </c>
      <c r="G403" s="196">
        <v>9</v>
      </c>
      <c r="H403" s="196">
        <v>0.2</v>
      </c>
      <c r="I403" s="196">
        <f>9+H403-J403/300</f>
        <v>8.5333333333333332</v>
      </c>
      <c r="J403" s="196">
        <v>200</v>
      </c>
      <c r="K403" s="164">
        <f>G403*M403</f>
        <v>3029.4</v>
      </c>
      <c r="L403" s="164">
        <f>I403*M403</f>
        <v>2872.32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11.820246913580245</v>
      </c>
      <c r="Q403" s="164">
        <v>11.5</v>
      </c>
      <c r="R403" s="19">
        <f>Q403*U403</f>
        <v>69</v>
      </c>
      <c r="S403" s="164">
        <f>R403-P403</f>
        <v>57.179753086419751</v>
      </c>
      <c r="T403" s="20">
        <v>2</v>
      </c>
      <c r="U403" s="20">
        <v>6</v>
      </c>
      <c r="V403" s="200">
        <f t="array" ref="V403">IF(ISERROR(L403/K403),"",L403/K403)</f>
        <v>0.94814814814814818</v>
      </c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96"/>
      <c r="H404" s="196"/>
      <c r="I404" s="196"/>
      <c r="J404" s="196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200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96"/>
      <c r="H405" s="196"/>
      <c r="I405" s="196"/>
      <c r="J405" s="196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200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96"/>
      <c r="H406" s="196"/>
      <c r="I406" s="196"/>
      <c r="J406" s="196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200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96"/>
      <c r="H407" s="196"/>
      <c r="I407" s="196"/>
      <c r="J407" s="196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200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96">
        <f t="array" ref="G408">SUM(IF(ISERROR(G215:G407),“”,G215:G407))</f>
        <v>47.24</v>
      </c>
      <c r="H408" s="196">
        <f t="array" ref="H408">SUM(IF(ISERROR(H215:H407),“”,H215:H407))</f>
        <v>0.57499999999999996</v>
      </c>
      <c r="I408" s="196">
        <f t="array" ref="I408">SUM(IF(ISERROR(I215:I407),“”,I215:I407))</f>
        <v>46.515476190476193</v>
      </c>
      <c r="J408" s="196">
        <f t="array" ref="J408">SUM(IF(ISERROR(J215:J407),“”,J215:J407))</f>
        <v>760</v>
      </c>
      <c r="K408" s="164">
        <f t="array" ref="K408">SUM(IF(ISERROR(K215:K407),“”,K215:K407))</f>
        <v>21648.868000000002</v>
      </c>
      <c r="L408" s="117">
        <f>SUM(L215:L403)</f>
        <v>21349.289285714287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303.47285625432511</v>
      </c>
      <c r="Q408" s="164"/>
      <c r="R408" s="56">
        <f>SUM((R215:R399),(Y413:Z418))</f>
        <v>368</v>
      </c>
      <c r="S408" s="164">
        <f t="array" ref="S408">SUM(IF(ISERROR(S215:S407),“”,S215:S407))</f>
        <v>87.206896832094628</v>
      </c>
      <c r="T408" s="164"/>
      <c r="U408" s="164"/>
      <c r="V408" s="161">
        <f>IF(ISERROR(L408/K408),"",L408/K408)</f>
        <v>0.98616192244852174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0.8246545006911008</v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72</v>
      </c>
      <c r="F411" s="279"/>
      <c r="G411" s="279">
        <v>72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3922.2</v>
      </c>
      <c r="F412" s="279"/>
      <c r="G412" s="279">
        <v>4142.2</v>
      </c>
      <c r="H412" s="279"/>
      <c r="I412" s="279">
        <f>G412-E412</f>
        <v>220</v>
      </c>
      <c r="J412" s="279"/>
      <c r="K412" s="281">
        <f t="array" ref="K412">IF(ISERROR(I412/E412),"",I412/E412)</f>
        <v>5.6090969353934018E-2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17</v>
      </c>
      <c r="T412" s="284"/>
      <c r="U412" s="284">
        <v>22</v>
      </c>
      <c r="V412" s="284"/>
      <c r="W412" s="283">
        <f>S412*11.5</f>
        <v>195.5</v>
      </c>
      <c r="X412" s="283"/>
      <c r="Y412" s="283">
        <f>U412*11.5</f>
        <v>253</v>
      </c>
      <c r="Z412" s="283"/>
      <c r="AA412" s="283">
        <f t="shared" ref="AA412:AA419" si="59">Y412-W412</f>
        <v>57.5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663</v>
      </c>
      <c r="F413" s="279"/>
      <c r="G413" s="279">
        <v>663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5</v>
      </c>
      <c r="T413" s="284"/>
      <c r="U413" s="284">
        <v>5</v>
      </c>
      <c r="V413" s="284"/>
      <c r="W413" s="283">
        <f t="shared" ref="W413:W419" si="60">S413*11.5</f>
        <v>57.5</v>
      </c>
      <c r="X413" s="283"/>
      <c r="Y413" s="283">
        <f t="shared" ref="Y413:Y419" si="61">U413*11.5</f>
        <v>57.5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2</v>
      </c>
      <c r="V414" s="284"/>
      <c r="W414" s="283">
        <f t="shared" si="60"/>
        <v>8.625</v>
      </c>
      <c r="X414" s="283"/>
      <c r="Y414" s="283">
        <f t="shared" si="61"/>
        <v>23</v>
      </c>
      <c r="Z414" s="283"/>
      <c r="AA414" s="283">
        <f t="shared" si="59"/>
        <v>14.375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150386</v>
      </c>
      <c r="H415" s="324"/>
      <c r="I415" s="325">
        <v>150306</v>
      </c>
      <c r="J415" s="326"/>
      <c r="K415" s="289">
        <f>G415-I415</f>
        <v>80</v>
      </c>
      <c r="L415" s="289"/>
      <c r="M415" s="290">
        <f t="array" ref="M415">IF(ISERROR(K415/L408),"",K415/(L408/1000))</f>
        <v>3.747197338954575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8.625</v>
      </c>
      <c r="X415" s="283"/>
      <c r="Y415" s="283">
        <f t="shared" si="61"/>
        <v>11.5</v>
      </c>
      <c r="Z415" s="283"/>
      <c r="AA415" s="283">
        <f t="shared" si="59"/>
        <v>2.875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28637.6*120+44944*60</f>
        <v>6133152</v>
      </c>
      <c r="H416" s="323"/>
      <c r="I416" s="322">
        <v>6131550</v>
      </c>
      <c r="J416" s="323"/>
      <c r="K416" s="289">
        <f>G416-I416</f>
        <v>1602</v>
      </c>
      <c r="L416" s="289"/>
      <c r="M416" s="290">
        <f t="array" ref="M416">IF(ISERROR(K416/L408),"",K416/(L408/1000))</f>
        <v>75.03762671256537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1</v>
      </c>
      <c r="V416" s="284"/>
      <c r="W416" s="283">
        <f t="shared" si="60"/>
        <v>17.25</v>
      </c>
      <c r="X416" s="283"/>
      <c r="Y416" s="283">
        <f t="shared" si="61"/>
        <v>11.5</v>
      </c>
      <c r="Z416" s="283"/>
      <c r="AA416" s="283">
        <f t="shared" si="59"/>
        <v>-5.75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+I417+14</f>
        <v>26962</v>
      </c>
      <c r="H417" s="324"/>
      <c r="I417" s="327">
        <v>26948</v>
      </c>
      <c r="J417" s="328"/>
      <c r="K417" s="289">
        <f>G417-I417</f>
        <v>14</v>
      </c>
      <c r="L417" s="289"/>
      <c r="M417" s="293">
        <f t="array" ref="M417">IF(ISERROR(K417/L408),"",K417/(L408/1000))</f>
        <v>0.65575953431705059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11.5</v>
      </c>
      <c r="X417" s="283"/>
      <c r="Y417" s="283">
        <f t="shared" si="61"/>
        <v>11.5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1.26/2+2.24</f>
        <v>2.87</v>
      </c>
      <c r="L418" s="301"/>
      <c r="M418" s="294">
        <f t="array" ref="M418">IF(ISERROR((K418+K419)/L408),"",((K418+K419)*1000)/(L408/1000))</f>
        <v>134.43070453499539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5</v>
      </c>
      <c r="V418" s="284"/>
      <c r="W418" s="283">
        <f t="shared" si="60"/>
        <v>34.5</v>
      </c>
      <c r="X418" s="283"/>
      <c r="Y418" s="283">
        <f t="shared" si="61"/>
        <v>57.5</v>
      </c>
      <c r="Z418" s="283"/>
      <c r="AA418" s="283">
        <f t="shared" si="59"/>
        <v>23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29</v>
      </c>
      <c r="T419" s="284"/>
      <c r="U419" s="284">
        <f>SUM(U412:V418)</f>
        <v>37</v>
      </c>
      <c r="V419" s="284"/>
      <c r="W419" s="283">
        <f t="shared" si="60"/>
        <v>333.5</v>
      </c>
      <c r="X419" s="283"/>
      <c r="Y419" s="283">
        <f t="shared" si="61"/>
        <v>425.5</v>
      </c>
      <c r="Z419" s="283"/>
      <c r="AA419" s="283">
        <f t="shared" si="59"/>
        <v>92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4.8780487804878048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50.174592915897264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45942.070000000007</v>
      </c>
      <c r="D423" s="337"/>
      <c r="E423" s="333" t="s">
        <v>226</v>
      </c>
      <c r="F423" s="333"/>
      <c r="G423" s="333">
        <f>L199+L408</f>
        <v>44503.44928571429</v>
      </c>
      <c r="H423" s="333"/>
      <c r="I423" s="340" t="s">
        <v>227</v>
      </c>
      <c r="J423" s="340"/>
      <c r="K423" s="339">
        <f>IF(ISERROR(G423/C423),"",G423/C423)</f>
        <v>0.96868620168212449</v>
      </c>
      <c r="L423" s="339"/>
      <c r="M423" s="333" t="s">
        <v>228</v>
      </c>
      <c r="N423" s="333"/>
      <c r="O423" s="334">
        <f>IF(ISERROR(G423/G424),"",G423/G424)</f>
        <v>56.764603680758022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615.3007164242224</v>
      </c>
      <c r="D424" s="337"/>
      <c r="E424" s="338" t="s">
        <v>18</v>
      </c>
      <c r="F424" s="338"/>
      <c r="G424" s="333">
        <f>R199+R408</f>
        <v>784</v>
      </c>
      <c r="H424" s="333"/>
      <c r="I424" s="313" t="s">
        <v>176</v>
      </c>
      <c r="J424" s="313"/>
      <c r="K424" s="339">
        <f>IF(ISERROR(C424/G424),"",C424/G424)</f>
        <v>0.78482234237783466</v>
      </c>
      <c r="L424" s="339"/>
      <c r="M424" s="279" t="s">
        <v>230</v>
      </c>
      <c r="N424" s="279"/>
      <c r="O424" s="333">
        <f>W200+W409</f>
        <v>2</v>
      </c>
      <c r="P424" s="279"/>
      <c r="Q424" s="279" t="s">
        <v>231</v>
      </c>
      <c r="R424" s="279"/>
      <c r="S424" s="339">
        <f t="array" ref="S424">IF(ISERROR(O424/G424),"",O424/G424)</f>
        <v>2.5510204081632651E-3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170</v>
      </c>
      <c r="D426" s="337"/>
      <c r="E426" s="333" t="s">
        <v>234</v>
      </c>
      <c r="F426" s="333"/>
      <c r="G426" s="293">
        <f t="array" ref="G426">IF(ISERROR(C426/G423),"",C426/(G423/1000))</f>
        <v>3.8199286286461036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2958</v>
      </c>
      <c r="D427" s="337"/>
      <c r="E427" s="333" t="s">
        <v>236</v>
      </c>
      <c r="F427" s="333"/>
      <c r="G427" s="293">
        <f>IF(ISERROR(C427/G423),"",C427/(G423/1000))</f>
        <v>66.466758138442202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27</v>
      </c>
      <c r="D428" s="337"/>
      <c r="E428" s="333" t="s">
        <v>238</v>
      </c>
      <c r="F428" s="333"/>
      <c r="G428" s="293">
        <f>IF(ISERROR(C428/G423),"",C428/(G423/1000))</f>
        <v>0.60669454690261648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5.58</v>
      </c>
      <c r="D429" s="337"/>
      <c r="E429" s="333" t="s">
        <v>240</v>
      </c>
      <c r="F429" s="333"/>
      <c r="G429" s="341">
        <f>IF(ISERROR(C429/G423),"",C429/(G423/1000))</f>
        <v>0.1253835396932074</v>
      </c>
      <c r="H429" s="341"/>
      <c r="I429" s="333" t="s">
        <v>241</v>
      </c>
      <c r="J429" s="333"/>
      <c r="K429" s="342">
        <f>IF(ISERROR(C428/C429),"",C428/C429)</f>
        <v>4.838709677419355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160</v>
      </c>
      <c r="D432" s="346"/>
      <c r="E432" s="333" t="s">
        <v>247</v>
      </c>
      <c r="F432" s="351"/>
      <c r="G432" s="347">
        <f>+G411+G202</f>
        <v>160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7433.7</v>
      </c>
      <c r="D433" s="346"/>
      <c r="E433" s="333" t="s">
        <v>251</v>
      </c>
      <c r="F433" s="333"/>
      <c r="G433" s="347">
        <f>+G412+G203</f>
        <v>7993.7</v>
      </c>
      <c r="H433" s="348"/>
      <c r="I433" s="333" t="s">
        <v>252</v>
      </c>
      <c r="J433" s="333"/>
      <c r="K433" s="315">
        <f>G433-C433</f>
        <v>560</v>
      </c>
      <c r="L433" s="317"/>
      <c r="M433" s="349" t="s">
        <v>253</v>
      </c>
      <c r="N433" s="350"/>
      <c r="O433" s="343">
        <f t="array" ref="O433">IF(ISERROR(K433/C433),"",K433/C433)</f>
        <v>7.5332606911766686E-2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2146</v>
      </c>
      <c r="D434" s="346"/>
      <c r="E434" s="333" t="s">
        <v>255</v>
      </c>
      <c r="F434" s="351"/>
      <c r="G434" s="347">
        <f>+G413+G204</f>
        <v>2146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3</v>
      </c>
      <c r="J447" s="83">
        <f t="shared" si="63"/>
        <v>21</v>
      </c>
      <c r="K447" s="67"/>
      <c r="L447" s="67"/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3</v>
      </c>
      <c r="J450" s="85">
        <f t="shared" si="63"/>
        <v>37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37</v>
      </c>
      <c r="R450" s="158">
        <f t="shared" si="68"/>
        <v>425.5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3</v>
      </c>
      <c r="J452" s="85">
        <f t="shared" si="63"/>
        <v>54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53</v>
      </c>
      <c r="R452" s="67">
        <f>R443+R450+R451</f>
        <v>931.5</v>
      </c>
      <c r="S452" s="123">
        <f t="array" ref="S452">IF(ISERROR(Q452/J452),"",Q452/J452)</f>
        <v>0.98148148148148151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4" topLeftCell="F410" activePane="bottomRight" state="frozen"/>
      <selection pane="topRight" activeCell="F1" sqref="F1"/>
      <selection pane="bottomLeft" activeCell="A25" sqref="A25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>
        <v>3004</v>
      </c>
      <c r="C25" s="248" t="s">
        <v>51</v>
      </c>
      <c r="D25" s="248"/>
      <c r="E25" s="166" t="s">
        <v>40</v>
      </c>
      <c r="F25" s="13"/>
      <c r="G25" s="133">
        <v>7.8</v>
      </c>
      <c r="H25" s="133"/>
      <c r="I25" s="133">
        <f>8-J25/500</f>
        <v>7.8</v>
      </c>
      <c r="J25" s="133">
        <v>100</v>
      </c>
      <c r="K25" s="164">
        <f t="shared" si="0"/>
        <v>4091.88</v>
      </c>
      <c r="L25" s="164">
        <f t="shared" si="1"/>
        <v>4091.88</v>
      </c>
      <c r="M25" s="164">
        <v>524.6</v>
      </c>
      <c r="N25" s="164">
        <f>+M25*1000/(25.4*20*15*60)*T25</f>
        <v>3.4422572178477688</v>
      </c>
      <c r="O25" s="164">
        <v>0.5</v>
      </c>
      <c r="P25" s="164">
        <f t="shared" si="2"/>
        <v>28.849606299212596</v>
      </c>
      <c r="Q25" s="164">
        <v>8</v>
      </c>
      <c r="R25" s="19">
        <f t="shared" si="3"/>
        <v>32</v>
      </c>
      <c r="S25" s="164">
        <f t="shared" si="4"/>
        <v>3.1503937007874043</v>
      </c>
      <c r="T25" s="20">
        <v>3</v>
      </c>
      <c r="U25" s="20">
        <v>4</v>
      </c>
      <c r="V25" s="161">
        <f t="array" ref="V25">IF(ISERROR(L25/K25),"",L25/K25)</f>
        <v>1</v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>
        <v>3004</v>
      </c>
      <c r="C36" s="248" t="s">
        <v>56</v>
      </c>
      <c r="D36" s="248"/>
      <c r="E36" s="166" t="s">
        <v>37</v>
      </c>
      <c r="F36" s="13"/>
      <c r="G36" s="133">
        <v>2.4</v>
      </c>
      <c r="H36" s="133">
        <v>0.4</v>
      </c>
      <c r="I36" s="133">
        <f>2+H36</f>
        <v>2.4</v>
      </c>
      <c r="J36" s="133"/>
      <c r="K36" s="164">
        <f t="shared" si="0"/>
        <v>1320.9599999999998</v>
      </c>
      <c r="L36" s="164">
        <f t="shared" si="1"/>
        <v>1320.9599999999998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7.1019354838709674</v>
      </c>
      <c r="Q36" s="164">
        <v>3</v>
      </c>
      <c r="R36" s="19">
        <f t="shared" si="3"/>
        <v>12</v>
      </c>
      <c r="S36" s="164">
        <f t="shared" si="4"/>
        <v>4.8980645161290326</v>
      </c>
      <c r="T36" s="20">
        <v>3</v>
      </c>
      <c r="U36" s="20">
        <v>4</v>
      </c>
      <c r="V36" s="161">
        <f t="array" ref="V36">IF(ISERROR(L36/K36),"",L36/K36)</f>
        <v>1</v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0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07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07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07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0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0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0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0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0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07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>
        <v>4503</v>
      </c>
      <c r="C47" s="259" t="s">
        <v>68</v>
      </c>
      <c r="D47" s="260"/>
      <c r="E47" s="166" t="s">
        <v>70</v>
      </c>
      <c r="F47" s="165"/>
      <c r="G47" s="133">
        <v>3</v>
      </c>
      <c r="H47" s="133"/>
      <c r="I47" s="133">
        <v>3</v>
      </c>
      <c r="J47" s="133"/>
      <c r="K47" s="164">
        <f t="shared" si="0"/>
        <v>1156.8000000000002</v>
      </c>
      <c r="L47" s="164">
        <f t="shared" si="1"/>
        <v>1156.8000000000002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7.5905511811023612</v>
      </c>
      <c r="Q47" s="164">
        <v>5</v>
      </c>
      <c r="R47" s="19">
        <f t="shared" si="3"/>
        <v>10</v>
      </c>
      <c r="S47" s="164">
        <f t="shared" si="4"/>
        <v>2.4094488188976388</v>
      </c>
      <c r="T47" s="20">
        <v>3</v>
      </c>
      <c r="U47" s="20">
        <v>2</v>
      </c>
      <c r="V47" s="207">
        <f t="array" ref="V47">IF(ISERROR(L47/K47),"",L47/K47)</f>
        <v>1</v>
      </c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>
        <v>4503</v>
      </c>
      <c r="C48" s="259" t="s">
        <v>68</v>
      </c>
      <c r="D48" s="260"/>
      <c r="E48" s="166" t="s">
        <v>71</v>
      </c>
      <c r="F48" s="165"/>
      <c r="G48" s="133">
        <v>5</v>
      </c>
      <c r="H48" s="133"/>
      <c r="I48" s="133">
        <v>5</v>
      </c>
      <c r="J48" s="133"/>
      <c r="K48" s="164">
        <f t="shared" si="0"/>
        <v>1928</v>
      </c>
      <c r="L48" s="164">
        <f t="shared" si="1"/>
        <v>1928</v>
      </c>
      <c r="M48" s="164">
        <v>385.6</v>
      </c>
      <c r="N48" s="164">
        <f>+M48*1000/(25.4*20*15*60)*T48</f>
        <v>2.5301837270341205</v>
      </c>
      <c r="O48" s="164">
        <v>0.5</v>
      </c>
      <c r="P48" s="164">
        <f t="shared" si="2"/>
        <v>13.650918635170603</v>
      </c>
      <c r="Q48" s="164">
        <v>6</v>
      </c>
      <c r="R48" s="19">
        <f t="shared" si="3"/>
        <v>12</v>
      </c>
      <c r="S48" s="164">
        <f t="shared" si="4"/>
        <v>-1.6509186351706031</v>
      </c>
      <c r="T48" s="20">
        <v>3</v>
      </c>
      <c r="U48" s="20">
        <v>2</v>
      </c>
      <c r="V48" s="207">
        <f t="array" ref="V48">IF(ISERROR(L48/K48),"",L48/K48)</f>
        <v>1</v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207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0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0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0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0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20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07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07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07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07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07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07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07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07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07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07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07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07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07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07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07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07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07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07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07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07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07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07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07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07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>
        <v>5001</v>
      </c>
      <c r="C79" s="248" t="s">
        <v>98</v>
      </c>
      <c r="D79" s="248" t="s">
        <v>99</v>
      </c>
      <c r="E79" s="166" t="s">
        <v>37</v>
      </c>
      <c r="F79" s="13"/>
      <c r="G79" s="133">
        <v>9</v>
      </c>
      <c r="H79" s="133"/>
      <c r="I79" s="133">
        <v>9</v>
      </c>
      <c r="J79" s="133"/>
      <c r="K79" s="164">
        <f t="shared" si="7"/>
        <v>3945.6</v>
      </c>
      <c r="L79" s="164">
        <f t="shared" si="8"/>
        <v>3945.6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43.84</v>
      </c>
      <c r="Q79" s="164">
        <v>11</v>
      </c>
      <c r="R79" s="19">
        <f t="shared" si="10"/>
        <v>44</v>
      </c>
      <c r="S79" s="164">
        <f t="shared" si="11"/>
        <v>0.15999999999999659</v>
      </c>
      <c r="T79" s="20">
        <v>4</v>
      </c>
      <c r="U79" s="20">
        <v>4</v>
      </c>
      <c r="V79" s="207">
        <f t="array" ref="V79">IF(ISERROR(L79/K79),"",L79/K79)</f>
        <v>1</v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07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07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07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07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07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07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07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07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07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07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07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07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07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07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07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07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07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07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207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207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207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207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207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207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207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207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207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207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207" t="str">
        <f t="array" ref="V108">IF(ISERROR(L108/K108),"",L108/K108)</f>
        <v/>
      </c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207" t="str">
        <f t="array" ref="V109">IF(ISERROR(L109/K109),"",L109/K109)</f>
        <v/>
      </c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207" t="str">
        <f t="array" ref="V110">IF(ISERROR(L110/K110),"",L110/K110)</f>
        <v/>
      </c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207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207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48" t="s">
        <v>121</v>
      </c>
      <c r="D113" s="248" t="s">
        <v>122</v>
      </c>
      <c r="E113" s="166" t="s">
        <v>37</v>
      </c>
      <c r="F113" s="13"/>
      <c r="G113" s="133">
        <v>10</v>
      </c>
      <c r="H113" s="133"/>
      <c r="I113" s="133">
        <f>10-J113/300</f>
        <v>9.5</v>
      </c>
      <c r="J113" s="133">
        <v>150</v>
      </c>
      <c r="K113" s="164">
        <f t="shared" si="7"/>
        <v>4801.3</v>
      </c>
      <c r="L113" s="164">
        <f t="shared" si="8"/>
        <v>4561.2349999999997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25.0397178304787</v>
      </c>
      <c r="Q113" s="164">
        <v>10</v>
      </c>
      <c r="R113" s="19">
        <f t="shared" si="10"/>
        <v>20</v>
      </c>
      <c r="S113" s="164">
        <f t="shared" si="11"/>
        <v>-5.0397178304787005</v>
      </c>
      <c r="T113" s="20">
        <v>2</v>
      </c>
      <c r="U113" s="20">
        <v>2</v>
      </c>
      <c r="V113" s="207">
        <f t="array" ref="V113">IF(ISERROR(L113/K113),"",L113/K113)</f>
        <v>0.94999999999999984</v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207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207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207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207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207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207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207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207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207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207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207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207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207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207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207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207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207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207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207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207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207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207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207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33">
        <v>4.25</v>
      </c>
      <c r="H137" s="133">
        <v>0.25</v>
      </c>
      <c r="I137" s="133">
        <f>4+H137</f>
        <v>4.25</v>
      </c>
      <c r="J137" s="133"/>
      <c r="K137" s="164">
        <f t="shared" si="7"/>
        <v>1675.7750000000001</v>
      </c>
      <c r="L137" s="164">
        <f t="shared" si="8"/>
        <v>1675.7750000000001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26.803822776711453</v>
      </c>
      <c r="Q137" s="164">
        <v>6.5</v>
      </c>
      <c r="R137" s="19">
        <f t="shared" si="10"/>
        <v>39</v>
      </c>
      <c r="S137" s="164">
        <f t="shared" si="11"/>
        <v>12.196177223288547</v>
      </c>
      <c r="T137" s="20">
        <v>6</v>
      </c>
      <c r="U137" s="20">
        <v>6</v>
      </c>
      <c r="V137" s="207">
        <f t="array" ref="V137">IF(ISERROR(L137/K137),"",L137/K137)</f>
        <v>1</v>
      </c>
      <c r="W137" s="20"/>
      <c r="X137" s="20"/>
      <c r="Y137" s="20"/>
      <c r="Z137" s="20"/>
      <c r="AA137" s="20">
        <v>2</v>
      </c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207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207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207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207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207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207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207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207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207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207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207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207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207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207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207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207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207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207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207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207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207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207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207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207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207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207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207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207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207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207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207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33"/>
      <c r="H169" s="133"/>
      <c r="I169" s="133"/>
      <c r="J169" s="133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207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33"/>
      <c r="H170" s="133"/>
      <c r="I170" s="133"/>
      <c r="J170" s="13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207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07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07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07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07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07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07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07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07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07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07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07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07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07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07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07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07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07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07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07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07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33"/>
      <c r="H191" s="133"/>
      <c r="I191" s="133"/>
      <c r="J191" s="133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207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07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>
        <v>13002</v>
      </c>
      <c r="C193" s="248" t="s">
        <v>312</v>
      </c>
      <c r="D193" s="248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07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48" t="s">
        <v>312</v>
      </c>
      <c r="D194" s="248" t="s">
        <v>89</v>
      </c>
      <c r="E194" s="166" t="s">
        <v>37</v>
      </c>
      <c r="F194" s="13"/>
      <c r="G194" s="133">
        <v>10</v>
      </c>
      <c r="H194" s="133">
        <v>0.66666666666666663</v>
      </c>
      <c r="I194" s="133">
        <f>9+H194-J194/300</f>
        <v>9.5666666666666664</v>
      </c>
      <c r="J194" s="133">
        <v>30</v>
      </c>
      <c r="K194" s="164">
        <f>G194*M194</f>
        <v>3366</v>
      </c>
      <c r="L194" s="164">
        <f>I194*M194</f>
        <v>3220.1400000000003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13.251604938271603</v>
      </c>
      <c r="Q194" s="164">
        <v>11</v>
      </c>
      <c r="R194" s="19">
        <f>Q194*U194</f>
        <v>55</v>
      </c>
      <c r="S194" s="164">
        <f>R194-P194</f>
        <v>41.748395061728395</v>
      </c>
      <c r="T194" s="20">
        <v>2</v>
      </c>
      <c r="U194" s="20">
        <v>5</v>
      </c>
      <c r="V194" s="207">
        <f t="array" ref="V194">IF(ISERROR(L194/K194),"",L194/K194)</f>
        <v>0.95666666666666678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51.45</v>
      </c>
      <c r="H199" s="164">
        <f t="array" ref="H199">SUM(IF(ISERROR(H6:H198),“”,H6:H198))</f>
        <v>1.3166666666666667</v>
      </c>
      <c r="I199" s="164">
        <f t="array" ref="I199">SUM(IF(ISERROR(I6:I198),“”,I6:I198))</f>
        <v>50.516666666666666</v>
      </c>
      <c r="J199" s="164">
        <f t="array" ref="J199">SUM(IF(ISERROR(J6:J198),“”,J6:J198))</f>
        <v>280</v>
      </c>
      <c r="K199" s="164">
        <f t="array" ref="K199">SUM(IF(ISERROR(K6:K198),“”,K6:K198))</f>
        <v>22286.315000000002</v>
      </c>
      <c r="L199" s="56">
        <f>SUM(L6:L198)</f>
        <v>21900.39</v>
      </c>
      <c r="M199" s="164"/>
      <c r="N199" s="164"/>
      <c r="O199" s="164">
        <f>SUM(O6:O190)</f>
        <v>1</v>
      </c>
      <c r="P199" s="56">
        <f>SUM((P6:P190),(W204:X209))</f>
        <v>273.87655220654671</v>
      </c>
      <c r="Q199" s="164"/>
      <c r="R199" s="56">
        <f>SUM((R6:R190),(Y204:Z209))</f>
        <v>400</v>
      </c>
      <c r="S199" s="164">
        <f t="array" ref="S199">SUM(IF(ISERROR(S6:S198),“”,S6:S198))</f>
        <v>57.871842855181711</v>
      </c>
      <c r="T199" s="164"/>
      <c r="U199" s="164"/>
      <c r="V199" s="161">
        <f>IF(ISERROR(L199/K199),"",L199/K199)</f>
        <v>0.98268331933744979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0.6846913805163668</v>
      </c>
      <c r="P200" s="274"/>
      <c r="Q200" s="274"/>
      <c r="R200" s="275"/>
      <c r="S200" s="44"/>
      <c r="T200" s="45"/>
      <c r="U200" s="45"/>
      <c r="V200" s="45"/>
      <c r="W200" s="276">
        <f>SUM(W199:AC199)</f>
        <v>2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77</v>
      </c>
      <c r="F202" s="279"/>
      <c r="G202" s="279">
        <v>77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4078.4</v>
      </c>
      <c r="F203" s="279"/>
      <c r="G203" s="279">
        <v>4248.3999999999996</v>
      </c>
      <c r="H203" s="279"/>
      <c r="I203" s="279">
        <f>G203-E203</f>
        <v>169.99999999999955</v>
      </c>
      <c r="J203" s="279"/>
      <c r="K203" s="281">
        <f t="array" ref="K203">IF(ISERROR(I203/E203),"",I203/E203)</f>
        <v>4.1683012946253317E-2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20</v>
      </c>
      <c r="T203" s="284"/>
      <c r="U203" s="284">
        <v>23</v>
      </c>
      <c r="V203" s="284"/>
      <c r="W203" s="283">
        <f t="shared" ref="W203:W210" si="28">S203*11</f>
        <v>220</v>
      </c>
      <c r="X203" s="283"/>
      <c r="Y203" s="283">
        <f t="shared" ref="Y203:Y210" si="29">U203*11</f>
        <v>253</v>
      </c>
      <c r="Z203" s="283"/>
      <c r="AA203" s="283">
        <f t="shared" ref="AA203:AA210" si="30">Y203-W203</f>
        <v>33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570</v>
      </c>
      <c r="F204" s="279"/>
      <c r="G204" s="279">
        <v>570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4</v>
      </c>
      <c r="T204" s="284"/>
      <c r="U204" s="284">
        <v>7</v>
      </c>
      <c r="V204" s="284"/>
      <c r="W204" s="283">
        <f t="shared" si="28"/>
        <v>44</v>
      </c>
      <c r="X204" s="283"/>
      <c r="Y204" s="283">
        <f t="shared" si="29"/>
        <v>77</v>
      </c>
      <c r="Z204" s="283"/>
      <c r="AA204" s="283">
        <f t="shared" si="30"/>
        <v>33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8"/>
        <v>8.25</v>
      </c>
      <c r="X205" s="283"/>
      <c r="Y205" s="283">
        <f t="shared" si="29"/>
        <v>0</v>
      </c>
      <c r="Z205" s="283"/>
      <c r="AA205" s="283">
        <f t="shared" si="30"/>
        <v>-8.25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150508</v>
      </c>
      <c r="H206" s="286"/>
      <c r="I206" s="325">
        <v>150386</v>
      </c>
      <c r="J206" s="326"/>
      <c r="K206" s="289">
        <f>G206-I206</f>
        <v>122</v>
      </c>
      <c r="L206" s="289"/>
      <c r="M206" s="290">
        <f t="array" ref="M206">IF(ISERROR(K206/L199),"",K206/(L199/1000))</f>
        <v>5.5706770518698532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1</v>
      </c>
      <c r="V206" s="284"/>
      <c r="W206" s="283">
        <f t="shared" si="28"/>
        <v>8.25</v>
      </c>
      <c r="X206" s="283"/>
      <c r="Y206" s="283">
        <f t="shared" si="29"/>
        <v>11</v>
      </c>
      <c r="Z206" s="283"/>
      <c r="AA206" s="283">
        <f t="shared" si="30"/>
        <v>2.75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28646.7*120+44951.9*60</f>
        <v>6134718</v>
      </c>
      <c r="H207" s="286"/>
      <c r="I207" s="325">
        <v>6133152</v>
      </c>
      <c r="J207" s="326"/>
      <c r="K207" s="289">
        <f>G207-I207</f>
        <v>1566</v>
      </c>
      <c r="L207" s="289"/>
      <c r="M207" s="290">
        <f t="array" ref="M207">IF(ISERROR(K207/L199),"",K207/(L199/1000))</f>
        <v>71.505575928099915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8"/>
        <v>16.5</v>
      </c>
      <c r="X207" s="283"/>
      <c r="Y207" s="283">
        <f t="shared" si="29"/>
        <v>11</v>
      </c>
      <c r="Z207" s="283"/>
      <c r="AA207" s="283">
        <f t="shared" si="30"/>
        <v>-5.5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+I208+17</f>
        <v>26979</v>
      </c>
      <c r="H208" s="286"/>
      <c r="I208" s="285">
        <v>26962</v>
      </c>
      <c r="J208" s="286"/>
      <c r="K208" s="289">
        <f>G208-I208</f>
        <v>17</v>
      </c>
      <c r="L208" s="289"/>
      <c r="M208" s="293">
        <f t="array" ref="M208">IF(ISERROR(K208/L199),"",K208/(L199/1000))</f>
        <v>0.77624188427694674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2.4+2.4/2</f>
        <v>3.5999999999999996</v>
      </c>
      <c r="L209" s="292"/>
      <c r="M209" s="294">
        <f t="array" ref="M209">IF(ISERROR((K209+K210)/L199),"",((K209+K210)*1000)/(L199/1000))</f>
        <v>164.38063431747105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f>2+5+1+1+2</f>
        <v>11</v>
      </c>
      <c r="V209" s="284"/>
      <c r="W209" s="283">
        <f t="shared" si="28"/>
        <v>33</v>
      </c>
      <c r="X209" s="283"/>
      <c r="Y209" s="283">
        <f t="shared" si="29"/>
        <v>121</v>
      </c>
      <c r="Z209" s="283"/>
      <c r="AA209" s="283">
        <f t="shared" si="30"/>
        <v>88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31</v>
      </c>
      <c r="T210" s="284"/>
      <c r="U210" s="284">
        <f>SUM(U203:V209)</f>
        <v>44</v>
      </c>
      <c r="V210" s="284"/>
      <c r="W210" s="283">
        <f t="shared" si="28"/>
        <v>341</v>
      </c>
      <c r="X210" s="283"/>
      <c r="Y210" s="283">
        <f t="shared" si="29"/>
        <v>484</v>
      </c>
      <c r="Z210" s="283"/>
      <c r="AA210" s="283">
        <f t="shared" si="30"/>
        <v>143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4.7222222222222223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45.248739669421489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248" t="s">
        <v>51</v>
      </c>
      <c r="D234" s="248"/>
      <c r="E234" s="166" t="s">
        <v>40</v>
      </c>
      <c r="F234" s="165">
        <v>1500</v>
      </c>
      <c r="G234" s="164">
        <v>2.2000000000000002</v>
      </c>
      <c r="H234" s="164">
        <v>0.2</v>
      </c>
      <c r="I234" s="164">
        <f>2+H234</f>
        <v>2.2000000000000002</v>
      </c>
      <c r="J234" s="164"/>
      <c r="K234" s="164">
        <f t="shared" si="31"/>
        <v>1154.1200000000001</v>
      </c>
      <c r="L234" s="164">
        <f t="shared" si="32"/>
        <v>1154.1200000000001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8.5729658792650909</v>
      </c>
      <c r="Q234" s="164">
        <v>8</v>
      </c>
      <c r="R234" s="19">
        <f t="shared" si="35"/>
        <v>16</v>
      </c>
      <c r="S234" s="164">
        <f t="shared" si="36"/>
        <v>7.4270341207349091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191">
        <f>25/60*2</f>
        <v>0.83333333333333337</v>
      </c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>
        <v>3004</v>
      </c>
      <c r="C235" s="248" t="s">
        <v>51</v>
      </c>
      <c r="D235" s="248"/>
      <c r="E235" s="166" t="s">
        <v>41</v>
      </c>
      <c r="F235" s="165">
        <v>1528</v>
      </c>
      <c r="G235" s="164">
        <v>8</v>
      </c>
      <c r="H235" s="164"/>
      <c r="I235" s="164">
        <v>8</v>
      </c>
      <c r="J235" s="164"/>
      <c r="K235" s="164">
        <f t="shared" si="31"/>
        <v>4196.8</v>
      </c>
      <c r="L235" s="164">
        <f t="shared" si="32"/>
        <v>4196.8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27.538057742782151</v>
      </c>
      <c r="Q235" s="164">
        <v>3.5</v>
      </c>
      <c r="R235" s="19">
        <f t="shared" si="35"/>
        <v>7</v>
      </c>
      <c r="S235" s="164">
        <f t="shared" si="36"/>
        <v>-20.538057742782151</v>
      </c>
      <c r="T235" s="20">
        <v>3</v>
      </c>
      <c r="U235" s="20">
        <v>2</v>
      </c>
      <c r="V235" s="161">
        <f t="array" ref="V235">IF(ISERROR(L235/K235),"",L235/K235)</f>
        <v>1</v>
      </c>
      <c r="W235" s="20"/>
      <c r="X235" s="191"/>
      <c r="Y235" s="20"/>
      <c r="Z235" s="20"/>
      <c r="AA235" s="20"/>
      <c r="AB235" s="20"/>
      <c r="AC235" s="20"/>
    </row>
    <row r="236" spans="1:29" s="2" customFormat="1" ht="22.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07" t="str">
        <f t="array" ref="V236">IF(ISERROR(L236/K236),"",L236/K236)</f>
        <v/>
      </c>
      <c r="W236" s="20"/>
      <c r="X236" s="191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07" t="str">
        <f t="array" ref="V237">IF(ISERROR(L237/K237),"",L237/K237)</f>
        <v/>
      </c>
      <c r="W237" s="20"/>
      <c r="X237" s="191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207" t="str">
        <f t="array" ref="V238">IF(ISERROR(L238/K238),"",L238/K238)</f>
        <v/>
      </c>
      <c r="W238" s="130"/>
      <c r="X238" s="218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07" t="str">
        <f t="array" ref="V239">IF(ISERROR(L239/K239),"",L239/K239)</f>
        <v/>
      </c>
      <c r="W239" s="20"/>
      <c r="X239" s="191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07" t="str">
        <f t="array" ref="V240">IF(ISERROR(L240/K240),"",L240/K240)</f>
        <v/>
      </c>
      <c r="W240" s="20"/>
      <c r="X240" s="191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07" t="str">
        <f t="array" ref="V241">IF(ISERROR(L241/K241),"",L241/K241)</f>
        <v/>
      </c>
      <c r="W241" s="20"/>
      <c r="X241" s="191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07" t="str">
        <f t="array" ref="V242">IF(ISERROR(L242/K242),"",L242/K242)</f>
        <v/>
      </c>
      <c r="W242" s="20"/>
      <c r="X242" s="191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07" t="str">
        <f t="array" ref="V243">IF(ISERROR(L243/K243),"",L243/K243)</f>
        <v/>
      </c>
      <c r="W243" s="20"/>
      <c r="X243" s="191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07" t="str">
        <f t="array" ref="V244">IF(ISERROR(L244/K244),"",L244/K244)</f>
        <v/>
      </c>
      <c r="W244" s="20"/>
      <c r="X244" s="191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07" t="str">
        <f t="array" ref="V245">IF(ISERROR(L245/K245),"",L245/K245)</f>
        <v/>
      </c>
      <c r="W245" s="20"/>
      <c r="X245" s="191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07" t="str">
        <f t="array" ref="V246">IF(ISERROR(L246/K246),"",L246/K246)</f>
        <v/>
      </c>
      <c r="W246" s="20"/>
      <c r="X246" s="191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07" t="str">
        <f t="array" ref="V247">IF(ISERROR(L247/K247),"",L247/K247)</f>
        <v/>
      </c>
      <c r="W247" s="20"/>
      <c r="X247" s="191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07" t="str">
        <f t="array" ref="V248">IF(ISERROR(L248/K248),"",L248/K248)</f>
        <v/>
      </c>
      <c r="W248" s="20"/>
      <c r="X248" s="191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07" t="str">
        <f t="array" ref="V249">IF(ISERROR(L249/K249),"",L249/K249)</f>
        <v/>
      </c>
      <c r="W249" s="20"/>
      <c r="X249" s="191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07" t="str">
        <f t="array" ref="V250">IF(ISERROR(L250/K250),"",L250/K250)</f>
        <v/>
      </c>
      <c r="W250" s="20"/>
      <c r="X250" s="191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207" t="str">
        <f t="array" ref="V251">IF(ISERROR(L251/K251),"",L251/K251)</f>
        <v/>
      </c>
      <c r="W251" s="20"/>
      <c r="X251" s="191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07" t="str">
        <f t="array" ref="V252">IF(ISERROR(L252/K252),"",L252/K252)</f>
        <v/>
      </c>
      <c r="W252" s="20"/>
      <c r="X252" s="191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07" t="str">
        <f t="array" ref="V253">IF(ISERROR(L253/K253),"",L253/K253)</f>
        <v/>
      </c>
      <c r="W253" s="20"/>
      <c r="X253" s="191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07" t="str">
        <f t="array" ref="V254">IF(ISERROR(L254/K254),"",L254/K254)</f>
        <v/>
      </c>
      <c r="W254" s="20"/>
      <c r="X254" s="191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07" t="str">
        <f t="array" ref="V255">IF(ISERROR(L255/K255),"",L255/K255)</f>
        <v/>
      </c>
      <c r="W255" s="20"/>
      <c r="X255" s="191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07" t="str">
        <f t="array" ref="V256">IF(ISERROR(L256/K256),"",L256/K256)</f>
        <v/>
      </c>
      <c r="W256" s="20"/>
      <c r="X256" s="191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>
        <v>4503</v>
      </c>
      <c r="C257" s="259" t="s">
        <v>68</v>
      </c>
      <c r="D257" s="260"/>
      <c r="E257" s="166" t="s">
        <v>71</v>
      </c>
      <c r="F257" s="165">
        <v>1468</v>
      </c>
      <c r="G257" s="203">
        <v>3.09</v>
      </c>
      <c r="H257" s="203">
        <v>8.5714285714285715E-2</v>
      </c>
      <c r="I257" s="203">
        <f>3+H257</f>
        <v>3.0857142857142859</v>
      </c>
      <c r="J257" s="203"/>
      <c r="K257" s="164">
        <f t="shared" si="31"/>
        <v>1191.5039999999999</v>
      </c>
      <c r="L257" s="164">
        <f t="shared" si="32"/>
        <v>1189.8514285714286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7.8074240719910009</v>
      </c>
      <c r="Q257" s="164">
        <v>5</v>
      </c>
      <c r="R257" s="19">
        <f t="shared" si="35"/>
        <v>10</v>
      </c>
      <c r="S257" s="164">
        <f t="shared" si="36"/>
        <v>2.1925759280089991</v>
      </c>
      <c r="T257" s="20">
        <v>3</v>
      </c>
      <c r="U257" s="20">
        <v>2</v>
      </c>
      <c r="V257" s="207">
        <f t="array" ref="V257">IF(ISERROR(L257/K257),"",L257/K257)</f>
        <v>0.99861303744798902</v>
      </c>
      <c r="W257" s="20"/>
      <c r="X257" s="191">
        <f>25/60*2</f>
        <v>0.83333333333333337</v>
      </c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>
        <v>4503</v>
      </c>
      <c r="C258" s="259" t="s">
        <v>68</v>
      </c>
      <c r="D258" s="260"/>
      <c r="E258" s="166" t="s">
        <v>72</v>
      </c>
      <c r="F258" s="165">
        <v>1501</v>
      </c>
      <c r="G258" s="203">
        <v>6</v>
      </c>
      <c r="H258" s="203"/>
      <c r="I258" s="203">
        <f>6-J258/350</f>
        <v>5.5714285714285712</v>
      </c>
      <c r="J258" s="203">
        <v>150</v>
      </c>
      <c r="K258" s="164">
        <f t="shared" si="31"/>
        <v>2313.6000000000004</v>
      </c>
      <c r="L258" s="164">
        <f t="shared" si="32"/>
        <v>2148.3428571428572</v>
      </c>
      <c r="M258" s="164">
        <v>385.6</v>
      </c>
      <c r="N258" s="164">
        <f>+M258*1000/(25.4*20*15*60)*T258</f>
        <v>2.5301837270341205</v>
      </c>
      <c r="O258" s="164">
        <v>0.5</v>
      </c>
      <c r="P258" s="164">
        <f t="shared" si="34"/>
        <v>15.096737907761527</v>
      </c>
      <c r="Q258" s="164">
        <v>6.5</v>
      </c>
      <c r="R258" s="19">
        <f t="shared" si="35"/>
        <v>13</v>
      </c>
      <c r="S258" s="164">
        <f t="shared" si="36"/>
        <v>-2.0967379077615274</v>
      </c>
      <c r="T258" s="20">
        <v>3</v>
      </c>
      <c r="U258" s="20">
        <v>2</v>
      </c>
      <c r="V258" s="207">
        <f t="array" ref="V258">IF(ISERROR(L258/K258),"",L258/K258)</f>
        <v>0.92857142857142838</v>
      </c>
      <c r="W258" s="20"/>
      <c r="X258" s="191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203"/>
      <c r="H259" s="203"/>
      <c r="I259" s="203"/>
      <c r="J259" s="20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07" t="str">
        <f t="array" ref="V259">IF(ISERROR(L259/K259),"",L259/K259)</f>
        <v/>
      </c>
      <c r="W259" s="20"/>
      <c r="X259" s="191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203"/>
      <c r="H260" s="203"/>
      <c r="I260" s="203"/>
      <c r="J260" s="20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07" t="str">
        <f t="array" ref="V260">IF(ISERROR(L260/K260),"",L260/K260)</f>
        <v/>
      </c>
      <c r="W260" s="20"/>
      <c r="X260" s="191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203"/>
      <c r="H261" s="203"/>
      <c r="I261" s="203"/>
      <c r="J261" s="20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07" t="str">
        <f t="array" ref="V261">IF(ISERROR(L261/K261),"",L261/K261)</f>
        <v/>
      </c>
      <c r="W261" s="20"/>
      <c r="X261" s="191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203"/>
      <c r="H262" s="203"/>
      <c r="I262" s="203"/>
      <c r="J262" s="20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07" t="str">
        <f t="array" ref="V262">IF(ISERROR(L262/K262),"",L262/K262)</f>
        <v/>
      </c>
      <c r="W262" s="20"/>
      <c r="X262" s="191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203"/>
      <c r="H263" s="203"/>
      <c r="I263" s="203"/>
      <c r="J263" s="20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07" t="str">
        <f t="array" ref="V263">IF(ISERROR(L263/K263),"",L263/K263)</f>
        <v/>
      </c>
      <c r="W263" s="20"/>
      <c r="X263" s="191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203"/>
      <c r="H264" s="203"/>
      <c r="I264" s="203"/>
      <c r="J264" s="20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07" t="str">
        <f t="array" ref="V264">IF(ISERROR(L264/K264),"",L264/K264)</f>
        <v/>
      </c>
      <c r="W264" s="20"/>
      <c r="X264" s="191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203"/>
      <c r="H265" s="203"/>
      <c r="I265" s="203"/>
      <c r="J265" s="20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207" t="str">
        <f t="array" ref="V265">IF(ISERROR(L265/K265),"",L265/K265)</f>
        <v/>
      </c>
      <c r="W265" s="20"/>
      <c r="X265" s="191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203"/>
      <c r="H266" s="203"/>
      <c r="I266" s="203"/>
      <c r="J266" s="20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207" t="str">
        <f t="array" ref="V266">IF(ISERROR(L266/K266),"",L266/K266)</f>
        <v/>
      </c>
      <c r="W266" s="130"/>
      <c r="X266" s="218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203"/>
      <c r="H267" s="203"/>
      <c r="I267" s="203"/>
      <c r="J267" s="20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207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203"/>
      <c r="H268" s="203"/>
      <c r="I268" s="203"/>
      <c r="J268" s="203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207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203"/>
      <c r="H269" s="203"/>
      <c r="I269" s="203"/>
      <c r="J269" s="20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207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203"/>
      <c r="H270" s="203"/>
      <c r="I270" s="203"/>
      <c r="J270" s="20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207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203"/>
      <c r="H271" s="203"/>
      <c r="I271" s="203"/>
      <c r="J271" s="20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207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203"/>
      <c r="H272" s="203"/>
      <c r="I272" s="203"/>
      <c r="J272" s="20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207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203"/>
      <c r="H273" s="203"/>
      <c r="I273" s="203"/>
      <c r="J273" s="20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207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203"/>
      <c r="H274" s="203"/>
      <c r="I274" s="203"/>
      <c r="J274" s="20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207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203"/>
      <c r="H275" s="203"/>
      <c r="I275" s="203"/>
      <c r="J275" s="20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207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203"/>
      <c r="H276" s="203"/>
      <c r="I276" s="203"/>
      <c r="J276" s="20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207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203"/>
      <c r="H277" s="203"/>
      <c r="I277" s="203"/>
      <c r="J277" s="20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207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203"/>
      <c r="H278" s="203"/>
      <c r="I278" s="203"/>
      <c r="J278" s="20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207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203"/>
      <c r="H279" s="203"/>
      <c r="I279" s="203"/>
      <c r="J279" s="20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207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203"/>
      <c r="H280" s="203"/>
      <c r="I280" s="203"/>
      <c r="J280" s="20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207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203"/>
      <c r="H281" s="203"/>
      <c r="I281" s="203"/>
      <c r="J281" s="20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207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203"/>
      <c r="H282" s="203"/>
      <c r="I282" s="203"/>
      <c r="J282" s="20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207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203"/>
      <c r="H283" s="203"/>
      <c r="I283" s="203"/>
      <c r="J283" s="20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207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203"/>
      <c r="H284" s="203"/>
      <c r="I284" s="203"/>
      <c r="J284" s="20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207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203"/>
      <c r="H285" s="203"/>
      <c r="I285" s="203"/>
      <c r="J285" s="20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207" t="str">
        <f t="array" ref="V285">IF(ISERROR(L285/K285),"",L285/K285)</f>
        <v/>
      </c>
      <c r="W285" s="20"/>
      <c r="X285" s="191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203"/>
      <c r="H286" s="203"/>
      <c r="I286" s="203"/>
      <c r="J286" s="203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207" t="str">
        <f t="array" ref="V286">IF(ISERROR(L286/K286),"",L286/K286)</f>
        <v/>
      </c>
      <c r="W286" s="20"/>
      <c r="X286" s="191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203"/>
      <c r="H287" s="203"/>
      <c r="I287" s="203"/>
      <c r="J287" s="20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207" t="str">
        <f t="array" ref="V287">IF(ISERROR(L287/K287),"",L287/K287)</f>
        <v/>
      </c>
      <c r="W287" s="20"/>
      <c r="X287" s="191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203"/>
      <c r="H288" s="203"/>
      <c r="I288" s="203"/>
      <c r="J288" s="20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207" t="str">
        <f t="array" ref="V288">IF(ISERROR(L288/K288),"",L288/K288)</f>
        <v/>
      </c>
      <c r="W288" s="20"/>
      <c r="X288" s="191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203"/>
      <c r="H289" s="203"/>
      <c r="I289" s="203"/>
      <c r="J289" s="20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207" t="str">
        <f t="array" ref="V289">IF(ISERROR(L289/K289),"",L289/K289)</f>
        <v/>
      </c>
      <c r="W289" s="20"/>
      <c r="X289" s="191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203"/>
      <c r="H290" s="203"/>
      <c r="I290" s="203"/>
      <c r="J290" s="20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207" t="str">
        <f t="array" ref="V290">IF(ISERROR(L290/K290),"",L290/K290)</f>
        <v/>
      </c>
      <c r="W290" s="20"/>
      <c r="X290" s="191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203"/>
      <c r="H291" s="203"/>
      <c r="I291" s="203"/>
      <c r="J291" s="20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207" t="str">
        <f t="array" ref="V291">IF(ISERROR(L291/K291),"",L291/K291)</f>
        <v/>
      </c>
      <c r="W291" s="20"/>
      <c r="X291" s="191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203"/>
      <c r="H292" s="203"/>
      <c r="I292" s="203"/>
      <c r="J292" s="20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207" t="str">
        <f t="array" ref="V292">IF(ISERROR(L292/K292),"",L292/K292)</f>
        <v/>
      </c>
      <c r="W292" s="130"/>
      <c r="X292" s="218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203"/>
      <c r="H293" s="203"/>
      <c r="I293" s="203"/>
      <c r="J293" s="20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207" t="str">
        <f t="array" ref="V293">IF(ISERROR(L293/K293),"",L293/K293)</f>
        <v/>
      </c>
      <c r="W293" s="20"/>
      <c r="X293" s="191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203"/>
      <c r="H294" s="203"/>
      <c r="I294" s="203"/>
      <c r="J294" s="20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207" t="str">
        <f t="array" ref="V294">IF(ISERROR(L294/K294),"",L294/K294)</f>
        <v/>
      </c>
      <c r="W294" s="20"/>
      <c r="X294" s="191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203"/>
      <c r="H295" s="203"/>
      <c r="I295" s="203"/>
      <c r="J295" s="20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207" t="str">
        <f t="array" ref="V295">IF(ISERROR(L295/K295),"",L295/K295)</f>
        <v/>
      </c>
      <c r="W295" s="20"/>
      <c r="X295" s="191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203"/>
      <c r="H296" s="203"/>
      <c r="I296" s="203"/>
      <c r="J296" s="20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207" t="str">
        <f t="array" ref="V296">IF(ISERROR(L296/K296),"",L296/K296)</f>
        <v/>
      </c>
      <c r="W296" s="20"/>
      <c r="X296" s="191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203"/>
      <c r="H297" s="203"/>
      <c r="I297" s="203"/>
      <c r="J297" s="20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207" t="str">
        <f t="array" ref="V297">IF(ISERROR(L297/K297),"",L297/K297)</f>
        <v/>
      </c>
      <c r="W297" s="20"/>
      <c r="X297" s="191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203"/>
      <c r="H298" s="203"/>
      <c r="I298" s="203"/>
      <c r="J298" s="20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207" t="str">
        <f t="array" ref="V298">IF(ISERROR(L298/K298),"",L298/K298)</f>
        <v/>
      </c>
      <c r="W298" s="20"/>
      <c r="X298" s="191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203"/>
      <c r="H299" s="203"/>
      <c r="I299" s="203"/>
      <c r="J299" s="20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207" t="str">
        <f t="array" ref="V299">IF(ISERROR(L299/K299),"",L299/K299)</f>
        <v/>
      </c>
      <c r="W299" s="20"/>
      <c r="X299" s="191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203"/>
      <c r="H300" s="203"/>
      <c r="I300" s="203"/>
      <c r="J300" s="20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207" t="str">
        <f t="array" ref="V300">IF(ISERROR(L300/K300),"",L300/K300)</f>
        <v/>
      </c>
      <c r="W300" s="20"/>
      <c r="X300" s="191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203"/>
      <c r="H301" s="203"/>
      <c r="I301" s="203"/>
      <c r="J301" s="20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207" t="str">
        <f t="array" ref="V301">IF(ISERROR(L301/K301),"",L301/K301)</f>
        <v/>
      </c>
      <c r="W301" s="20"/>
      <c r="X301" s="191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203"/>
      <c r="H302" s="203"/>
      <c r="I302" s="203"/>
      <c r="J302" s="20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207" t="str">
        <f t="array" ref="V302">IF(ISERROR(L302/K302),"",L302/K302)</f>
        <v/>
      </c>
      <c r="W302" s="20"/>
      <c r="X302" s="191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203"/>
      <c r="H303" s="203"/>
      <c r="I303" s="203"/>
      <c r="J303" s="20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207" t="str">
        <f t="array" ref="V303">IF(ISERROR(L303/K303),"",L303/K303)</f>
        <v/>
      </c>
      <c r="W303" s="20"/>
      <c r="X303" s="191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203"/>
      <c r="H304" s="203"/>
      <c r="I304" s="203"/>
      <c r="J304" s="20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207" t="str">
        <f t="array" ref="V304">IF(ISERROR(L304/K304),"",L304/K304)</f>
        <v/>
      </c>
      <c r="W304" s="20"/>
      <c r="X304" s="191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203"/>
      <c r="H305" s="203"/>
      <c r="I305" s="203"/>
      <c r="J305" s="20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207" t="str">
        <f t="array" ref="V305">IF(ISERROR(L305/K305),"",L305/K305)</f>
        <v/>
      </c>
      <c r="W305" s="20"/>
      <c r="X305" s="191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203"/>
      <c r="H306" s="203"/>
      <c r="I306" s="203"/>
      <c r="J306" s="20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207" t="str">
        <f t="array" ref="V306">IF(ISERROR(L306/K306),"",L306/K306)</f>
        <v/>
      </c>
      <c r="W306" s="20"/>
      <c r="X306" s="191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203"/>
      <c r="H307" s="203"/>
      <c r="I307" s="203"/>
      <c r="J307" s="20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207" t="str">
        <f t="array" ref="V307">IF(ISERROR(L307/K307),"",L307/K307)</f>
        <v/>
      </c>
      <c r="W307" s="20"/>
      <c r="X307" s="191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>
        <v>5001</v>
      </c>
      <c r="C308" s="248" t="s">
        <v>318</v>
      </c>
      <c r="D308" s="248" t="s">
        <v>96</v>
      </c>
      <c r="E308" s="166" t="s">
        <v>42</v>
      </c>
      <c r="F308" s="165">
        <v>1534</v>
      </c>
      <c r="G308" s="203">
        <v>11</v>
      </c>
      <c r="H308" s="203"/>
      <c r="I308" s="203">
        <v>11</v>
      </c>
      <c r="J308" s="203"/>
      <c r="K308" s="164">
        <f t="shared" si="38"/>
        <v>6804.6</v>
      </c>
      <c r="L308" s="164">
        <f t="shared" si="39"/>
        <v>6804.6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34.297379032258064</v>
      </c>
      <c r="Q308" s="164">
        <v>11.5</v>
      </c>
      <c r="R308" s="19">
        <f t="shared" si="41"/>
        <v>46</v>
      </c>
      <c r="S308" s="164">
        <f t="shared" si="42"/>
        <v>11.702620967741936</v>
      </c>
      <c r="T308" s="20">
        <v>3</v>
      </c>
      <c r="U308" s="20">
        <v>4</v>
      </c>
      <c r="V308" s="207">
        <f t="array" ref="V308">IF(ISERROR(L308/K308),"",L308/K308)</f>
        <v>1</v>
      </c>
      <c r="W308" s="20"/>
      <c r="X308" s="191">
        <f>20/60*4</f>
        <v>1.3333333333333333</v>
      </c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203"/>
      <c r="H309" s="203"/>
      <c r="I309" s="203"/>
      <c r="J309" s="20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207" t="str">
        <f t="array" ref="V309">IF(ISERROR(L309/K309),"",L309/K309)</f>
        <v/>
      </c>
      <c r="W309" s="20"/>
      <c r="X309" s="191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203"/>
      <c r="H310" s="203"/>
      <c r="I310" s="203"/>
      <c r="J310" s="20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207" t="str">
        <f t="array" ref="V310">IF(ISERROR(L310/K310),"",L310/K310)</f>
        <v/>
      </c>
      <c r="W310" s="20"/>
      <c r="X310" s="191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203"/>
      <c r="H311" s="203"/>
      <c r="I311" s="203"/>
      <c r="J311" s="203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207" t="str">
        <f t="array" ref="V311">IF(ISERROR(L311/K311),"",L311/K311)</f>
        <v/>
      </c>
      <c r="W311" s="20"/>
      <c r="X311" s="191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203"/>
      <c r="H312" s="203"/>
      <c r="I312" s="203"/>
      <c r="J312" s="203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207" t="str">
        <f t="array" ref="V312">IF(ISERROR(L312/K312),"",L312/K312)</f>
        <v/>
      </c>
      <c r="W312" s="20"/>
      <c r="X312" s="191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203"/>
      <c r="H313" s="203"/>
      <c r="I313" s="203"/>
      <c r="J313" s="203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207" t="str">
        <f t="array" ref="V313">IF(ISERROR(L313/K313),"",L313/K313)</f>
        <v/>
      </c>
      <c r="W313" s="20"/>
      <c r="X313" s="191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203"/>
      <c r="H314" s="203"/>
      <c r="I314" s="203"/>
      <c r="J314" s="203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207" t="str">
        <f t="array" ref="V314">IF(ISERROR(L314/K314),"",L314/K314)</f>
        <v/>
      </c>
      <c r="W314" s="20"/>
      <c r="X314" s="191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203"/>
      <c r="H315" s="203"/>
      <c r="I315" s="203"/>
      <c r="J315" s="203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207" t="str">
        <f t="array" ref="V315">IF(ISERROR(L315/K315),"",L315/K315)</f>
        <v/>
      </c>
      <c r="W315" s="20"/>
      <c r="X315" s="191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203"/>
      <c r="H316" s="203"/>
      <c r="I316" s="203"/>
      <c r="J316" s="203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207" t="str">
        <f t="array" ref="V316">IF(ISERROR(L316/K316),"",L316/K316)</f>
        <v/>
      </c>
      <c r="W316" s="20"/>
      <c r="X316" s="191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203"/>
      <c r="H317" s="203"/>
      <c r="I317" s="203"/>
      <c r="J317" s="203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207" t="str">
        <f t="array" ref="V317">IF(ISERROR(L317/K317),"",L317/K317)</f>
        <v/>
      </c>
      <c r="W317" s="30"/>
      <c r="X317" s="219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203"/>
      <c r="H318" s="203"/>
      <c r="I318" s="203"/>
      <c r="J318" s="203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207" t="str">
        <f t="array" ref="V318">IF(ISERROR(L318/K318),"",L318/K318)</f>
        <v/>
      </c>
      <c r="W318" s="30"/>
      <c r="X318" s="219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203"/>
      <c r="H319" s="203"/>
      <c r="I319" s="203"/>
      <c r="J319" s="203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207" t="str">
        <f t="array" ref="V319">IF(ISERROR(L319/K319),"",L319/K319)</f>
        <v/>
      </c>
      <c r="W319" s="30"/>
      <c r="X319" s="219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203"/>
      <c r="H320" s="203"/>
      <c r="I320" s="203"/>
      <c r="J320" s="203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207" t="str">
        <f t="array" ref="V320">IF(ISERROR(L320/K320),"",L320/K320)</f>
        <v/>
      </c>
      <c r="W320" s="20"/>
      <c r="X320" s="191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203"/>
      <c r="H321" s="203"/>
      <c r="I321" s="203"/>
      <c r="J321" s="203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207" t="str">
        <f t="array" ref="V321">IF(ISERROR(L321/K321),"",L321/K321)</f>
        <v/>
      </c>
      <c r="W321" s="20"/>
      <c r="X321" s="191"/>
      <c r="Y321" s="20"/>
      <c r="Z321" s="20"/>
      <c r="AA321" s="20"/>
      <c r="AB321" s="20"/>
      <c r="AC321" s="20"/>
    </row>
    <row r="322" spans="1:29" s="2" customFormat="1" ht="21.95" customHeight="1">
      <c r="A322" s="202">
        <v>300096</v>
      </c>
      <c r="B322" s="201">
        <v>6502</v>
      </c>
      <c r="C322" s="248" t="s">
        <v>121</v>
      </c>
      <c r="D322" s="248" t="s">
        <v>122</v>
      </c>
      <c r="E322" s="205" t="s">
        <v>37</v>
      </c>
      <c r="F322" s="204" t="s">
        <v>326</v>
      </c>
      <c r="G322" s="203">
        <v>9.23</v>
      </c>
      <c r="H322" s="203">
        <v>0.5</v>
      </c>
      <c r="I322" s="203">
        <f>9+H322-J322/300</f>
        <v>9.2333333333333325</v>
      </c>
      <c r="J322" s="203">
        <v>80</v>
      </c>
      <c r="K322" s="203">
        <f t="shared" si="38"/>
        <v>4431.5999000000002</v>
      </c>
      <c r="L322" s="203">
        <f t="shared" si="39"/>
        <v>4433.2003333333332</v>
      </c>
      <c r="M322" s="203">
        <v>480.13</v>
      </c>
      <c r="N322" s="203">
        <f>+M322*1000/(126.5*4*12*60)*T322</f>
        <v>2.6357597716293371</v>
      </c>
      <c r="O322" s="203"/>
      <c r="P322" s="203">
        <f t="shared" si="40"/>
        <v>24.33684855804421</v>
      </c>
      <c r="Q322" s="206">
        <v>11.5</v>
      </c>
      <c r="R322" s="19">
        <f t="shared" si="41"/>
        <v>23</v>
      </c>
      <c r="S322" s="203">
        <f t="shared" si="42"/>
        <v>-1.3368485580442098</v>
      </c>
      <c r="T322" s="20">
        <v>2</v>
      </c>
      <c r="U322" s="20">
        <v>2</v>
      </c>
      <c r="V322" s="207">
        <f t="array" ref="V322">IF(ISERROR(L322/K322),"",L322/K322)</f>
        <v>1.0003611412062117</v>
      </c>
      <c r="W322" s="20"/>
      <c r="X322" s="191">
        <f>25/60*2</f>
        <v>0.83333333333333337</v>
      </c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203"/>
      <c r="H323" s="203"/>
      <c r="I323" s="203"/>
      <c r="J323" s="203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207" t="str">
        <f t="array" ref="V323">IF(ISERROR(L323/K323),"",L323/K323)</f>
        <v/>
      </c>
      <c r="W323" s="20"/>
      <c r="X323" s="191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203"/>
      <c r="H324" s="203"/>
      <c r="I324" s="203"/>
      <c r="J324" s="203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207" t="str">
        <f t="array" ref="V324">IF(ISERROR(L324/K324),"",L324/K324)</f>
        <v/>
      </c>
      <c r="W324" s="20"/>
      <c r="X324" s="191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203"/>
      <c r="H325" s="203"/>
      <c r="I325" s="203"/>
      <c r="J325" s="203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207" t="str">
        <f t="array" ref="V325">IF(ISERROR(L325/K325),"",L325/K325)</f>
        <v/>
      </c>
      <c r="W325" s="20"/>
      <c r="X325" s="191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203"/>
      <c r="H326" s="203"/>
      <c r="I326" s="203"/>
      <c r="J326" s="203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207" t="str">
        <f t="array" ref="V326">IF(ISERROR(L326/K326),"",L326/K326)</f>
        <v/>
      </c>
      <c r="W326" s="20"/>
      <c r="X326" s="191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203"/>
      <c r="H327" s="203"/>
      <c r="I327" s="203"/>
      <c r="J327" s="203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207" t="str">
        <f t="array" ref="V327">IF(ISERROR(L327/K327),"",L327/K327)</f>
        <v/>
      </c>
      <c r="W327" s="20"/>
      <c r="X327" s="191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203"/>
      <c r="H328" s="203"/>
      <c r="I328" s="203"/>
      <c r="J328" s="203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207" t="str">
        <f t="array" ref="V328">IF(ISERROR(L328/K328),"",L328/K328)</f>
        <v/>
      </c>
      <c r="W328" s="20"/>
      <c r="X328" s="191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203"/>
      <c r="H329" s="203"/>
      <c r="I329" s="203"/>
      <c r="J329" s="203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207" t="str">
        <f t="array" ref="V329">IF(ISERROR(L329/K329),"",L329/K329)</f>
        <v/>
      </c>
      <c r="W329" s="20"/>
      <c r="X329" s="191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203"/>
      <c r="H330" s="203"/>
      <c r="I330" s="203"/>
      <c r="J330" s="203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207" t="str">
        <f t="array" ref="V330">IF(ISERROR(L330/K330),"",L330/K330)</f>
        <v/>
      </c>
      <c r="W330" s="41"/>
      <c r="X330" s="220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203"/>
      <c r="H331" s="203"/>
      <c r="I331" s="203"/>
      <c r="J331" s="203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207" t="str">
        <f t="array" ref="V331">IF(ISERROR(L331/K331),"",L331/K331)</f>
        <v/>
      </c>
      <c r="W331" s="41"/>
      <c r="X331" s="220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203"/>
      <c r="H332" s="203"/>
      <c r="I332" s="203"/>
      <c r="J332" s="203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207" t="str">
        <f t="array" ref="V332">IF(ISERROR(L332/K332),"",L332/K332)</f>
        <v/>
      </c>
      <c r="W332" s="41"/>
      <c r="X332" s="220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203"/>
      <c r="H333" s="203"/>
      <c r="I333" s="203"/>
      <c r="J333" s="203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207" t="str">
        <f t="array" ref="V333">IF(ISERROR(L333/K333),"",L333/K333)</f>
        <v/>
      </c>
      <c r="W333" s="41"/>
      <c r="X333" s="220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203"/>
      <c r="H334" s="203"/>
      <c r="I334" s="203"/>
      <c r="J334" s="203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207" t="str">
        <f t="array" ref="V334">IF(ISERROR(L334/K334),"",L334/K334)</f>
        <v/>
      </c>
      <c r="W334" s="41"/>
      <c r="X334" s="220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203"/>
      <c r="H335" s="203"/>
      <c r="I335" s="203"/>
      <c r="J335" s="203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207" t="str">
        <f t="array" ref="V335">IF(ISERROR(L335/K335),"",L335/K335)</f>
        <v/>
      </c>
      <c r="W335" s="20"/>
      <c r="X335" s="191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203"/>
      <c r="H336" s="203"/>
      <c r="I336" s="203"/>
      <c r="J336" s="203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207" t="str">
        <f t="array" ref="V336">IF(ISERROR(L336/K336),"",L336/K336)</f>
        <v/>
      </c>
      <c r="W336" s="20"/>
      <c r="X336" s="191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203"/>
      <c r="H337" s="203"/>
      <c r="I337" s="203"/>
      <c r="J337" s="203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207" t="str">
        <f t="array" ref="V337">IF(ISERROR(L337/K337),"",L337/K337)</f>
        <v/>
      </c>
      <c r="W337" s="20"/>
      <c r="X337" s="191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203"/>
      <c r="H338" s="203"/>
      <c r="I338" s="203"/>
      <c r="J338" s="203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207" t="str">
        <f t="array" ref="V338">IF(ISERROR(L338/K338),"",L338/K338)</f>
        <v/>
      </c>
      <c r="W338" s="20"/>
      <c r="X338" s="191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203"/>
      <c r="H339" s="203"/>
      <c r="I339" s="203"/>
      <c r="J339" s="203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207" t="str">
        <f t="array" ref="V339">IF(ISERROR(L339/K339),"",L339/K339)</f>
        <v/>
      </c>
      <c r="W339" s="20"/>
      <c r="X339" s="191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203"/>
      <c r="H340" s="203"/>
      <c r="I340" s="203"/>
      <c r="J340" s="203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207" t="str">
        <f t="array" ref="V340">IF(ISERROR(L340/K340),"",L340/K340)</f>
        <v/>
      </c>
      <c r="W340" s="20"/>
      <c r="X340" s="191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203"/>
      <c r="H341" s="203"/>
      <c r="I341" s="203"/>
      <c r="J341" s="203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207" t="str">
        <f t="array" ref="V341">IF(ISERROR(L341/K341),"",L341/K341)</f>
        <v/>
      </c>
      <c r="W341" s="20"/>
      <c r="X341" s="191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203"/>
      <c r="H342" s="203"/>
      <c r="I342" s="203"/>
      <c r="J342" s="203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207" t="str">
        <f t="array" ref="V342">IF(ISERROR(L342/K342),"",L342/K342)</f>
        <v/>
      </c>
      <c r="W342" s="20"/>
      <c r="X342" s="191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203"/>
      <c r="H343" s="203"/>
      <c r="I343" s="203"/>
      <c r="J343" s="203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207" t="str">
        <f t="array" ref="V343">IF(ISERROR(L343/K343),"",L343/K343)</f>
        <v/>
      </c>
      <c r="W343" s="20"/>
      <c r="X343" s="191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203"/>
      <c r="H344" s="203"/>
      <c r="I344" s="203"/>
      <c r="J344" s="203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207" t="str">
        <f t="array" ref="V344">IF(ISERROR(L344/K344),"",L344/K344)</f>
        <v/>
      </c>
      <c r="W344" s="20"/>
      <c r="X344" s="191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203"/>
      <c r="H345" s="203"/>
      <c r="I345" s="203"/>
      <c r="J345" s="203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207" t="str">
        <f t="array" ref="V345">IF(ISERROR(L345/K345),"",L345/K345)</f>
        <v/>
      </c>
      <c r="W345" s="20"/>
      <c r="X345" s="191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203"/>
      <c r="H346" s="203"/>
      <c r="I346" s="203"/>
      <c r="J346" s="203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207" t="str">
        <f t="array" ref="V346">IF(ISERROR(L346/K346),"",L346/K346)</f>
        <v/>
      </c>
      <c r="W346" s="20"/>
      <c r="X346" s="191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203"/>
      <c r="H347" s="203"/>
      <c r="I347" s="203"/>
      <c r="J347" s="203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207" t="str">
        <f t="array" ref="V347">IF(ISERROR(L347/K347),"",L347/K347)</f>
        <v/>
      </c>
      <c r="W347" s="20"/>
      <c r="X347" s="191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203"/>
      <c r="H348" s="203"/>
      <c r="I348" s="203"/>
      <c r="J348" s="203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207" t="str">
        <f t="array" ref="V348">IF(ISERROR(L348/K348),"",L348/K348)</f>
        <v/>
      </c>
      <c r="W348" s="20"/>
      <c r="X348" s="191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203"/>
      <c r="H349" s="203"/>
      <c r="I349" s="203"/>
      <c r="J349" s="203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207" t="str">
        <f t="array" ref="V349">IF(ISERROR(L349/K349),"",L349/K349)</f>
        <v/>
      </c>
      <c r="W349" s="20"/>
      <c r="X349" s="191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203"/>
      <c r="H350" s="203"/>
      <c r="I350" s="203"/>
      <c r="J350" s="203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207" t="str">
        <f t="array" ref="V350">IF(ISERROR(L350/K350),"",L350/K350)</f>
        <v/>
      </c>
      <c r="W350" s="20"/>
      <c r="X350" s="191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203"/>
      <c r="H351" s="203"/>
      <c r="I351" s="203"/>
      <c r="J351" s="203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207" t="str">
        <f t="array" ref="V351">IF(ISERROR(L351/K351),"",L351/K351)</f>
        <v/>
      </c>
      <c r="W351" s="20"/>
      <c r="X351" s="191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203"/>
      <c r="H352" s="203"/>
      <c r="I352" s="203"/>
      <c r="J352" s="203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207" t="str">
        <f t="array" ref="V352">IF(ISERROR(L352/K352),"",L352/K352)</f>
        <v/>
      </c>
      <c r="W352" s="20"/>
      <c r="X352" s="191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203"/>
      <c r="H353" s="203"/>
      <c r="I353" s="203"/>
      <c r="J353" s="203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207" t="str">
        <f t="array" ref="V353">IF(ISERROR(L353/K353),"",L353/K353)</f>
        <v/>
      </c>
      <c r="W353" s="20"/>
      <c r="X353" s="191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203"/>
      <c r="H354" s="203"/>
      <c r="I354" s="203"/>
      <c r="J354" s="203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207" t="str">
        <f t="array" ref="V354">IF(ISERROR(L354/K354),"",L354/K354)</f>
        <v/>
      </c>
      <c r="W354" s="20"/>
      <c r="X354" s="191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203"/>
      <c r="H355" s="203"/>
      <c r="I355" s="203"/>
      <c r="J355" s="203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207" t="str">
        <f t="array" ref="V355">IF(ISERROR(L355/K355),"",L355/K355)</f>
        <v/>
      </c>
      <c r="W355" s="20"/>
      <c r="X355" s="191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203"/>
      <c r="H356" s="203"/>
      <c r="I356" s="203"/>
      <c r="J356" s="203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207" t="str">
        <f t="array" ref="V356">IF(ISERROR(L356/K356),"",L356/K356)</f>
        <v/>
      </c>
      <c r="W356" s="20"/>
      <c r="X356" s="191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203"/>
      <c r="H357" s="203"/>
      <c r="I357" s="203"/>
      <c r="J357" s="203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207" t="str">
        <f t="array" ref="V357">IF(ISERROR(L357/K357),"",L357/K357)</f>
        <v/>
      </c>
      <c r="W357" s="20"/>
      <c r="X357" s="191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203"/>
      <c r="H358" s="203"/>
      <c r="I358" s="203"/>
      <c r="J358" s="203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207" t="str">
        <f t="array" ref="V358">IF(ISERROR(L358/K358),"",L358/K358)</f>
        <v/>
      </c>
      <c r="W358" s="20"/>
      <c r="X358" s="191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203"/>
      <c r="H359" s="203"/>
      <c r="I359" s="203"/>
      <c r="J359" s="203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207" t="str">
        <f t="array" ref="V359">IF(ISERROR(L359/K359),"",L359/K359)</f>
        <v/>
      </c>
      <c r="W359" s="20"/>
      <c r="X359" s="191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203"/>
      <c r="H360" s="203"/>
      <c r="I360" s="203"/>
      <c r="J360" s="203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207" t="str">
        <f t="array" ref="V360">IF(ISERROR(L360/K360),"",L360/K360)</f>
        <v/>
      </c>
      <c r="W360" s="20"/>
      <c r="X360" s="191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203"/>
      <c r="H361" s="203"/>
      <c r="I361" s="203"/>
      <c r="J361" s="203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207" t="str">
        <f t="array" ref="V361">IF(ISERROR(L361/K361),"",L361/K361)</f>
        <v/>
      </c>
      <c r="W361" s="20"/>
      <c r="X361" s="191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203"/>
      <c r="H362" s="203"/>
      <c r="I362" s="203"/>
      <c r="J362" s="203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207" t="str">
        <f t="array" ref="V362">IF(ISERROR(L362/K362),"",L362/K362)</f>
        <v/>
      </c>
      <c r="W362" s="20"/>
      <c r="X362" s="191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203"/>
      <c r="H363" s="203"/>
      <c r="I363" s="203"/>
      <c r="J363" s="203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207" t="str">
        <f t="array" ref="V363">IF(ISERROR(L363/K363),"",L363/K363)</f>
        <v/>
      </c>
      <c r="W363" s="20"/>
      <c r="X363" s="191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203"/>
      <c r="H364" s="203"/>
      <c r="I364" s="203"/>
      <c r="J364" s="203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207" t="str">
        <f t="array" ref="V364">IF(ISERROR(L364/K364),"",L364/K364)</f>
        <v/>
      </c>
      <c r="W364" s="20"/>
      <c r="X364" s="191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203"/>
      <c r="H365" s="203"/>
      <c r="I365" s="203"/>
      <c r="J365" s="203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207" t="str">
        <f t="array" ref="V365">IF(ISERROR(L365/K365),"",L365/K365)</f>
        <v/>
      </c>
      <c r="W365" s="20"/>
      <c r="X365" s="191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203"/>
      <c r="H366" s="203"/>
      <c r="I366" s="203"/>
      <c r="J366" s="203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207" t="str">
        <f t="array" ref="V366">IF(ISERROR(L366/K366),"",L366/K366)</f>
        <v/>
      </c>
      <c r="W366" s="20"/>
      <c r="X366" s="191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203"/>
      <c r="H367" s="203"/>
      <c r="I367" s="203"/>
      <c r="J367" s="203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207" t="str">
        <f t="array" ref="V367">IF(ISERROR(L367/K367),"",L367/K367)</f>
        <v/>
      </c>
      <c r="W367" s="20"/>
      <c r="X367" s="191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203"/>
      <c r="H368" s="203"/>
      <c r="I368" s="203"/>
      <c r="J368" s="203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207" t="str">
        <f t="array" ref="V368">IF(ISERROR(L368/K368),"",L368/K368)</f>
        <v/>
      </c>
      <c r="W368" s="20"/>
      <c r="X368" s="191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203"/>
      <c r="H369" s="203"/>
      <c r="I369" s="203"/>
      <c r="J369" s="203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207" t="str">
        <f t="array" ref="V369">IF(ISERROR(L369/K369),"",L369/K369)</f>
        <v/>
      </c>
      <c r="W369" s="20"/>
      <c r="X369" s="191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203"/>
      <c r="H370" s="203"/>
      <c r="I370" s="203"/>
      <c r="J370" s="203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207" t="str">
        <f t="array" ref="V370">IF(ISERROR(L370/K370),"",L370/K370)</f>
        <v/>
      </c>
      <c r="W370" s="20"/>
      <c r="X370" s="191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203"/>
      <c r="H371" s="203"/>
      <c r="I371" s="203"/>
      <c r="J371" s="203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207" t="str">
        <f t="array" ref="V371">IF(ISERROR(L371/K371),"",L371/K371)</f>
        <v/>
      </c>
      <c r="W371" s="20"/>
      <c r="X371" s="191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203"/>
      <c r="H372" s="203"/>
      <c r="I372" s="203"/>
      <c r="J372" s="203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207" t="str">
        <f t="array" ref="V372">IF(ISERROR(L372/K372),"",L372/K372)</f>
        <v/>
      </c>
      <c r="W372" s="20"/>
      <c r="X372" s="191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203"/>
      <c r="H373" s="203"/>
      <c r="I373" s="203"/>
      <c r="J373" s="203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207" t="str">
        <f t="array" ref="V373">IF(ISERROR(L373/K373),"",L373/K373)</f>
        <v/>
      </c>
      <c r="W373" s="20"/>
      <c r="X373" s="191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203"/>
      <c r="H374" s="203"/>
      <c r="I374" s="203"/>
      <c r="J374" s="203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207" t="str">
        <f t="array" ref="V374">IF(ISERROR(L374/K374),"",L374/K374)</f>
        <v/>
      </c>
      <c r="W374" s="20"/>
      <c r="X374" s="191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203"/>
      <c r="H375" s="203"/>
      <c r="I375" s="203"/>
      <c r="J375" s="203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207" t="str">
        <f t="array" ref="V375">IF(ISERROR(L375/K375),"",L375/K375)</f>
        <v/>
      </c>
      <c r="W375" s="20"/>
      <c r="X375" s="191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203"/>
      <c r="H376" s="203"/>
      <c r="I376" s="203"/>
      <c r="J376" s="203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207" t="str">
        <f t="array" ref="V376">IF(ISERROR(L376/K376),"",L376/K376)</f>
        <v/>
      </c>
      <c r="W376" s="20"/>
      <c r="X376" s="191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203"/>
      <c r="H377" s="203"/>
      <c r="I377" s="203"/>
      <c r="J377" s="203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207" t="str">
        <f t="array" ref="V377">IF(ISERROR(L377/K377),"",L377/K377)</f>
        <v/>
      </c>
      <c r="W377" s="20"/>
      <c r="X377" s="191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203"/>
      <c r="H378" s="203"/>
      <c r="I378" s="203"/>
      <c r="J378" s="203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207" t="str">
        <f t="array" ref="V378">IF(ISERROR(L378/K378),"",L378/K378)</f>
        <v/>
      </c>
      <c r="W378" s="20"/>
      <c r="X378" s="191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>
        <v>1466</v>
      </c>
      <c r="G379" s="203">
        <v>11</v>
      </c>
      <c r="H379" s="203"/>
      <c r="I379" s="203">
        <f>11-J379/400</f>
        <v>10.55</v>
      </c>
      <c r="J379" s="203">
        <v>180</v>
      </c>
      <c r="K379" s="164">
        <f t="shared" si="46"/>
        <v>5839.9</v>
      </c>
      <c r="L379" s="164">
        <f t="shared" si="47"/>
        <v>5600.9949999999999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47.744433647026739</v>
      </c>
      <c r="Q379" s="164">
        <v>11</v>
      </c>
      <c r="R379" s="19">
        <f t="shared" si="49"/>
        <v>77</v>
      </c>
      <c r="S379" s="164">
        <f t="shared" si="50"/>
        <v>29.255566352973261</v>
      </c>
      <c r="T379" s="20">
        <v>5</v>
      </c>
      <c r="U379" s="20">
        <v>7</v>
      </c>
      <c r="V379" s="207">
        <f t="array" ref="V379">IF(ISERROR(L379/K379),"",L379/K379)</f>
        <v>0.95909090909090911</v>
      </c>
      <c r="W379" s="20"/>
      <c r="X379" s="191">
        <f>15/60*7</f>
        <v>1.75</v>
      </c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203"/>
      <c r="H380" s="203"/>
      <c r="I380" s="203"/>
      <c r="J380" s="203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207" t="str">
        <f t="array" ref="V380">IF(ISERROR(L380/K380),"",L380/K380)</f>
        <v/>
      </c>
      <c r="W380" s="20"/>
      <c r="X380" s="191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203"/>
      <c r="H381" s="203"/>
      <c r="I381" s="203"/>
      <c r="J381" s="203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207" t="str">
        <f t="array" ref="V381">IF(ISERROR(L381/K381),"",L381/K381)</f>
        <v/>
      </c>
      <c r="W381" s="20"/>
      <c r="X381" s="191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203"/>
      <c r="H382" s="203"/>
      <c r="I382" s="203"/>
      <c r="J382" s="203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207" t="str">
        <f t="array" ref="V382">IF(ISERROR(L382/K382),"",L382/K382)</f>
        <v/>
      </c>
      <c r="W382" s="20"/>
      <c r="X382" s="191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203"/>
      <c r="H383" s="203"/>
      <c r="I383" s="203"/>
      <c r="J383" s="203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207" t="str">
        <f t="array" ref="V383">IF(ISERROR(L383/K383),"",L383/K383)</f>
        <v/>
      </c>
      <c r="W383" s="20"/>
      <c r="X383" s="191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203"/>
      <c r="H384" s="203"/>
      <c r="I384" s="203"/>
      <c r="J384" s="203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207" t="str">
        <f t="array" ref="V384">IF(ISERROR(L384/K384),"",L384/K384)</f>
        <v/>
      </c>
      <c r="W384" s="20"/>
      <c r="X384" s="191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203"/>
      <c r="H385" s="203"/>
      <c r="I385" s="203"/>
      <c r="J385" s="203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207" t="str">
        <f t="array" ref="V385">IF(ISERROR(L385/K385),"",L385/K385)</f>
        <v/>
      </c>
      <c r="W385" s="20"/>
      <c r="X385" s="191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203"/>
      <c r="H386" s="203"/>
      <c r="I386" s="203"/>
      <c r="J386" s="203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207" t="str">
        <f t="array" ref="V386">IF(ISERROR(L386/K386),"",L386/K386)</f>
        <v/>
      </c>
      <c r="W386" s="20"/>
      <c r="X386" s="191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203"/>
      <c r="H387" s="203"/>
      <c r="I387" s="203"/>
      <c r="J387" s="203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207" t="str">
        <f t="array" ref="V387">IF(ISERROR(L387/K387),"",L387/K387)</f>
        <v/>
      </c>
      <c r="W387" s="20"/>
      <c r="X387" s="191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203"/>
      <c r="H388" s="203"/>
      <c r="I388" s="203"/>
      <c r="J388" s="203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207" t="str">
        <f t="array" ref="V388">IF(ISERROR(L388/K388),"",L388/K388)</f>
        <v/>
      </c>
      <c r="W388" s="20"/>
      <c r="X388" s="191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203"/>
      <c r="H389" s="203"/>
      <c r="I389" s="203"/>
      <c r="J389" s="203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207" t="str">
        <f t="array" ref="V389">IF(ISERROR(L389/K389),"",L389/K389)</f>
        <v/>
      </c>
      <c r="W389" s="20"/>
      <c r="X389" s="191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203"/>
      <c r="H390" s="203"/>
      <c r="I390" s="203"/>
      <c r="J390" s="203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207" t="str">
        <f t="array" ref="V390">IF(ISERROR(L390/K390),"",L390/K390)</f>
        <v/>
      </c>
      <c r="W390" s="20"/>
      <c r="X390" s="191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203"/>
      <c r="H391" s="203"/>
      <c r="I391" s="203"/>
      <c r="J391" s="203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207" t="str">
        <f t="array" ref="V391">IF(ISERROR(L391/K391),"",L391/K391)</f>
        <v/>
      </c>
      <c r="W391" s="20"/>
      <c r="X391" s="191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203"/>
      <c r="H392" s="203"/>
      <c r="I392" s="203"/>
      <c r="J392" s="203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207" t="str">
        <f t="array" ref="V392">IF(ISERROR(L392/K392),"",L392/K392)</f>
        <v/>
      </c>
      <c r="W392" s="20"/>
      <c r="X392" s="191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203"/>
      <c r="H393" s="203"/>
      <c r="I393" s="203"/>
      <c r="J393" s="203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207" t="str">
        <f t="array" ref="V393">IF(ISERROR(L393/K393),"",L393/K393)</f>
        <v/>
      </c>
      <c r="W393" s="20"/>
      <c r="X393" s="191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203"/>
      <c r="H394" s="203"/>
      <c r="I394" s="203"/>
      <c r="J394" s="203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207" t="str">
        <f t="array" ref="V394">IF(ISERROR(L394/K394),"",L394/K394)</f>
        <v/>
      </c>
      <c r="W394" s="20"/>
      <c r="X394" s="191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203"/>
      <c r="H395" s="203"/>
      <c r="I395" s="203"/>
      <c r="J395" s="203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207" t="str">
        <f t="array" ref="V395">IF(ISERROR(L395/K395),"",L395/K395)</f>
        <v/>
      </c>
      <c r="W395" s="20"/>
      <c r="X395" s="191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203"/>
      <c r="H396" s="203"/>
      <c r="I396" s="203"/>
      <c r="J396" s="203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207" t="str">
        <f t="array" ref="V396">IF(ISERROR(L396/K396),"",L396/K396)</f>
        <v/>
      </c>
      <c r="W396" s="20"/>
      <c r="X396" s="191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203"/>
      <c r="H397" s="203"/>
      <c r="I397" s="203"/>
      <c r="J397" s="203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207" t="str">
        <f t="array" ref="V397">IF(ISERROR(L397/K397),"",L397/K397)</f>
        <v/>
      </c>
      <c r="W397" s="20"/>
      <c r="X397" s="191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203"/>
      <c r="H398" s="203"/>
      <c r="I398" s="203"/>
      <c r="J398" s="203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207" t="str">
        <f t="array" ref="V398">IF(ISERROR(L398/K398),"",L398/K398)</f>
        <v/>
      </c>
      <c r="W398" s="20"/>
      <c r="X398" s="191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203"/>
      <c r="H399" s="203"/>
      <c r="I399" s="203"/>
      <c r="J399" s="203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207" t="str">
        <f t="array" ref="V399">IF(ISERROR(L399/K399),"",L399/K399)</f>
        <v/>
      </c>
      <c r="W399" s="20"/>
      <c r="X399" s="191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203"/>
      <c r="H400" s="203"/>
      <c r="I400" s="203"/>
      <c r="J400" s="203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207" t="str">
        <f t="array" ref="V400">IF(ISERROR(L400/K400),"",L400/K400)</f>
        <v/>
      </c>
      <c r="W400" s="20"/>
      <c r="X400" s="191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203"/>
      <c r="H401" s="203"/>
      <c r="I401" s="203"/>
      <c r="J401" s="203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207" t="str">
        <f t="array" ref="V401">IF(ISERROR(L401/K401),"",L401/K401)</f>
        <v/>
      </c>
      <c r="W401" s="20"/>
      <c r="X401" s="191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>
        <v>13002</v>
      </c>
      <c r="C402" s="248" t="s">
        <v>312</v>
      </c>
      <c r="D402" s="248" t="s">
        <v>89</v>
      </c>
      <c r="E402" s="166" t="s">
        <v>41</v>
      </c>
      <c r="F402" s="13">
        <v>1477</v>
      </c>
      <c r="G402" s="203">
        <v>9</v>
      </c>
      <c r="H402" s="203"/>
      <c r="I402" s="203">
        <f>8-J402/300</f>
        <v>7.666666666666667</v>
      </c>
      <c r="J402" s="203">
        <v>100</v>
      </c>
      <c r="K402" s="164">
        <f>G402*M402</f>
        <v>3029.4</v>
      </c>
      <c r="L402" s="164">
        <f>I402*M402</f>
        <v>2580.6000000000004</v>
      </c>
      <c r="M402" s="164">
        <v>336.6</v>
      </c>
      <c r="N402" s="164">
        <f>+M402*1000/(45*10*18*60)*T402</f>
        <v>1.3851851851851851</v>
      </c>
      <c r="O402" s="164">
        <v>0.5</v>
      </c>
      <c r="P402" s="164">
        <f>N402*I402+O402*U402</f>
        <v>13.119753086419752</v>
      </c>
      <c r="Q402" s="164">
        <v>10</v>
      </c>
      <c r="R402" s="19">
        <f>Q402*U402</f>
        <v>50</v>
      </c>
      <c r="S402" s="164">
        <f>R402-P402</f>
        <v>36.880246913580251</v>
      </c>
      <c r="T402" s="20">
        <v>2</v>
      </c>
      <c r="U402" s="20">
        <v>5</v>
      </c>
      <c r="V402" s="207">
        <f t="array" ref="V402">IF(ISERROR(L402/K402),"",L402/K402)</f>
        <v>0.85185185185185197</v>
      </c>
      <c r="W402" s="20"/>
      <c r="X402" s="191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>
        <v>13002</v>
      </c>
      <c r="C403" s="248" t="s">
        <v>312</v>
      </c>
      <c r="D403" s="248" t="s">
        <v>89</v>
      </c>
      <c r="E403" s="166" t="s">
        <v>37</v>
      </c>
      <c r="F403" s="13">
        <v>1508</v>
      </c>
      <c r="G403" s="203">
        <v>1.1000000000000001</v>
      </c>
      <c r="H403" s="203">
        <v>0.1</v>
      </c>
      <c r="I403" s="203">
        <f>1+H403</f>
        <v>1.1000000000000001</v>
      </c>
      <c r="J403" s="203"/>
      <c r="K403" s="164">
        <f>G403*M403</f>
        <v>370.26000000000005</v>
      </c>
      <c r="L403" s="164">
        <f>I403*M403</f>
        <v>370.26000000000005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1.5237037037037038</v>
      </c>
      <c r="Q403" s="164">
        <v>1.5</v>
      </c>
      <c r="R403" s="19">
        <f>Q403*U403</f>
        <v>7.5</v>
      </c>
      <c r="S403" s="164">
        <f>R403-P403</f>
        <v>5.9762962962962964</v>
      </c>
      <c r="T403" s="20">
        <v>2</v>
      </c>
      <c r="U403" s="20">
        <v>5</v>
      </c>
      <c r="V403" s="207">
        <f t="array" ref="V403">IF(ISERROR(L403/K403),"",L403/K403)</f>
        <v>1</v>
      </c>
      <c r="W403" s="20">
        <f>30/60*5</f>
        <v>2.5</v>
      </c>
      <c r="X403" s="191">
        <f>25/60*5</f>
        <v>2.0833333333333335</v>
      </c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60.62</v>
      </c>
      <c r="H408" s="164">
        <f t="array" ref="H408">SUM(IF(ISERROR(H215:H407),“”,H215:H407))</f>
        <v>0.88571428571428568</v>
      </c>
      <c r="I408" s="164">
        <f t="array" ref="I408">SUM(IF(ISERROR(I215:I407),“”,I215:I407))</f>
        <v>58.407142857142858</v>
      </c>
      <c r="J408" s="164">
        <f t="array" ref="J408">SUM(IF(ISERROR(J215:J407),“”,J215:J407))</f>
        <v>510</v>
      </c>
      <c r="K408" s="164">
        <f t="array" ref="K408">SUM(IF(ISERROR(K215:K407),“”,K215:K407))</f>
        <v>29331.783899999999</v>
      </c>
      <c r="L408" s="117">
        <f>SUM(L215:L403)</f>
        <v>28478.769619047616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291.8938468391288</v>
      </c>
      <c r="Q408" s="164"/>
      <c r="R408" s="56">
        <f>SUM((R215:R399),(Y413:Z418))</f>
        <v>364.5</v>
      </c>
      <c r="S408" s="164">
        <f t="array" ref="S408">SUM(IF(ISERROR(S215:S407),“”,S215:S407))</f>
        <v>69.462696370747764</v>
      </c>
      <c r="T408" s="164"/>
      <c r="U408" s="164"/>
      <c r="V408" s="161">
        <f t="array" ref="V408">IF(ISERROR(L408/K408),"",L408/K408)</f>
        <v>0.97091843156009405</v>
      </c>
      <c r="W408" s="164">
        <f t="array" ref="W408">SUM(IF(ISERROR(W215:W407),“”,W215:W407))</f>
        <v>2.5</v>
      </c>
      <c r="X408" s="164">
        <f t="array" ref="X408">SUM(IF(ISERROR(X215:X407),“”,X215:X407))</f>
        <v>7.6666666666666679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0.80080616416770589</v>
      </c>
      <c r="P409" s="274"/>
      <c r="Q409" s="274"/>
      <c r="R409" s="275"/>
      <c r="S409" s="44"/>
      <c r="T409" s="45"/>
      <c r="U409" s="45"/>
      <c r="V409" s="45"/>
      <c r="W409" s="276">
        <f>SUM(W408:AC408)</f>
        <v>10.166666666666668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128.5</v>
      </c>
      <c r="F411" s="279"/>
      <c r="G411" s="279">
        <v>128.5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5284.8</v>
      </c>
      <c r="F412" s="279"/>
      <c r="G412" s="279">
        <v>57274.8</v>
      </c>
      <c r="H412" s="279"/>
      <c r="I412" s="279">
        <f>G412-E412</f>
        <v>51990</v>
      </c>
      <c r="J412" s="279"/>
      <c r="K412" s="281">
        <f t="array" ref="K412">IF(ISERROR(I412/E412),"",I412/E412)</f>
        <v>9.8376475930971843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21</v>
      </c>
      <c r="T412" s="284"/>
      <c r="U412" s="284">
        <v>23</v>
      </c>
      <c r="V412" s="284"/>
      <c r="W412" s="283">
        <f>S412*11.5</f>
        <v>241.5</v>
      </c>
      <c r="X412" s="283"/>
      <c r="Y412" s="283">
        <f>U412*11.5</f>
        <v>264.5</v>
      </c>
      <c r="Z412" s="283"/>
      <c r="AA412" s="283">
        <f t="shared" ref="AA412:AA419" si="59">Y412-W412</f>
        <v>23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93</v>
      </c>
      <c r="F413" s="279"/>
      <c r="G413" s="279">
        <v>93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4</v>
      </c>
      <c r="T413" s="284"/>
      <c r="U413" s="284">
        <v>4</v>
      </c>
      <c r="V413" s="284"/>
      <c r="W413" s="283">
        <f t="shared" ref="W413:W419" si="60">S413*11.5</f>
        <v>46</v>
      </c>
      <c r="X413" s="283"/>
      <c r="Y413" s="283">
        <f t="shared" ref="Y413:Y419" si="61">U413*11.5</f>
        <v>46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4</v>
      </c>
      <c r="V414" s="284"/>
      <c r="W414" s="283">
        <f t="shared" si="60"/>
        <v>8.625</v>
      </c>
      <c r="X414" s="283"/>
      <c r="Y414" s="283">
        <f t="shared" si="61"/>
        <v>46</v>
      </c>
      <c r="Z414" s="283"/>
      <c r="AA414" s="283">
        <f t="shared" si="59"/>
        <v>37.375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285">
        <v>150618</v>
      </c>
      <c r="H415" s="286"/>
      <c r="I415" s="325">
        <v>150508</v>
      </c>
      <c r="J415" s="326"/>
      <c r="K415" s="289">
        <f>G415-I415</f>
        <v>110</v>
      </c>
      <c r="L415" s="289"/>
      <c r="M415" s="290">
        <f t="array" ref="M415">IF(ISERROR(K415/L408),"",K415/(L408/1000))</f>
        <v>3.8625264177995979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8.625</v>
      </c>
      <c r="X415" s="283"/>
      <c r="Y415" s="283">
        <f t="shared" si="61"/>
        <v>11.5</v>
      </c>
      <c r="Z415" s="283"/>
      <c r="AA415" s="283">
        <f t="shared" si="59"/>
        <v>2.875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v>6136338</v>
      </c>
      <c r="H416" s="323"/>
      <c r="I416" s="322">
        <v>6134718</v>
      </c>
      <c r="J416" s="323"/>
      <c r="K416" s="289">
        <f>G416-I416</f>
        <v>1620</v>
      </c>
      <c r="L416" s="289"/>
      <c r="M416" s="290">
        <f t="array" ref="M416">IF(ISERROR(K416/L408),"",K416/(L408/1000))</f>
        <v>56.884479971230441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1</v>
      </c>
      <c r="V416" s="284"/>
      <c r="W416" s="283">
        <f t="shared" si="60"/>
        <v>17.25</v>
      </c>
      <c r="X416" s="283"/>
      <c r="Y416" s="283">
        <f t="shared" si="61"/>
        <v>11.5</v>
      </c>
      <c r="Z416" s="283"/>
      <c r="AA416" s="283">
        <f t="shared" si="59"/>
        <v>-5.75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285">
        <f>+I417+17</f>
        <v>26996</v>
      </c>
      <c r="H417" s="286"/>
      <c r="I417" s="327">
        <v>26979</v>
      </c>
      <c r="J417" s="328"/>
      <c r="K417" s="289">
        <f>G417-I417</f>
        <v>17</v>
      </c>
      <c r="L417" s="289"/>
      <c r="M417" s="293">
        <f t="array" ref="M417">IF(ISERROR(K417/L408),"",K417/(L408/1000))</f>
        <v>0.59693590093266513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11.5</v>
      </c>
      <c r="X417" s="283"/>
      <c r="Y417" s="283">
        <f t="shared" si="61"/>
        <v>11.5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2.4+2.4/2</f>
        <v>3.5999999999999996</v>
      </c>
      <c r="L418" s="301"/>
      <c r="M418" s="294">
        <f t="array" ref="M418">IF(ISERROR((K418+K419)/L408),"",((K418+K419)*1000)/(L408/1000))</f>
        <v>126.40995549162318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4</v>
      </c>
      <c r="V418" s="284"/>
      <c r="W418" s="283">
        <f t="shared" si="60"/>
        <v>34.5</v>
      </c>
      <c r="X418" s="283"/>
      <c r="Y418" s="283">
        <f t="shared" si="61"/>
        <v>46</v>
      </c>
      <c r="Z418" s="283"/>
      <c r="AA418" s="283">
        <f t="shared" si="59"/>
        <v>11.5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32</v>
      </c>
      <c r="T419" s="284"/>
      <c r="U419" s="284">
        <f>SUM(U412:V418)</f>
        <v>38</v>
      </c>
      <c r="V419" s="284"/>
      <c r="W419" s="283">
        <f t="shared" si="60"/>
        <v>368</v>
      </c>
      <c r="X419" s="283"/>
      <c r="Y419" s="283">
        <f t="shared" si="61"/>
        <v>437</v>
      </c>
      <c r="Z419" s="283"/>
      <c r="AA419" s="283">
        <f t="shared" si="59"/>
        <v>69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4.7222222222222223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65.1688091969053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51618.098899999997</v>
      </c>
      <c r="D423" s="337"/>
      <c r="E423" s="333" t="s">
        <v>226</v>
      </c>
      <c r="F423" s="333"/>
      <c r="G423" s="333">
        <f>L199+L408</f>
        <v>50379.159619047612</v>
      </c>
      <c r="H423" s="333"/>
      <c r="I423" s="340" t="s">
        <v>227</v>
      </c>
      <c r="J423" s="340"/>
      <c r="K423" s="339">
        <f>IF(ISERROR(G423/C423),"",G423/C423)</f>
        <v>0.97599796762463897</v>
      </c>
      <c r="L423" s="339"/>
      <c r="M423" s="333" t="s">
        <v>228</v>
      </c>
      <c r="N423" s="333"/>
      <c r="O423" s="334">
        <f>IF(ISERROR(G423/G424),"",G423/G424)</f>
        <v>65.898181319879157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565.7703990456755</v>
      </c>
      <c r="D424" s="337"/>
      <c r="E424" s="338" t="s">
        <v>18</v>
      </c>
      <c r="F424" s="338"/>
      <c r="G424" s="333">
        <f>R199+R408</f>
        <v>764.5</v>
      </c>
      <c r="H424" s="333"/>
      <c r="I424" s="313" t="s">
        <v>176</v>
      </c>
      <c r="J424" s="313"/>
      <c r="K424" s="339">
        <f>IF(ISERROR(C424/G424),"",C424/G424)</f>
        <v>0.74005284374843106</v>
      </c>
      <c r="L424" s="339"/>
      <c r="M424" s="279" t="s">
        <v>230</v>
      </c>
      <c r="N424" s="279"/>
      <c r="O424" s="333">
        <f>W200+W409</f>
        <v>12.166666666666668</v>
      </c>
      <c r="P424" s="279"/>
      <c r="Q424" s="279" t="s">
        <v>231</v>
      </c>
      <c r="R424" s="279"/>
      <c r="S424" s="339">
        <f t="array" ref="S424">IF(ISERROR(O424/G424),"",O424/G424)</f>
        <v>1.591454109439721E-2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232</v>
      </c>
      <c r="D426" s="337"/>
      <c r="E426" s="333" t="s">
        <v>234</v>
      </c>
      <c r="F426" s="333"/>
      <c r="G426" s="293">
        <f t="array" ref="G426">IF(ISERROR(C426/G423),"",C426/(G423/1000))</f>
        <v>4.6050788015186388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3186</v>
      </c>
      <c r="D427" s="337"/>
      <c r="E427" s="333" t="s">
        <v>236</v>
      </c>
      <c r="F427" s="333"/>
      <c r="G427" s="293">
        <f>IF(ISERROR(C427/G423),"",C427/(G423/1000))</f>
        <v>63.240435610510275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34</v>
      </c>
      <c r="D428" s="337"/>
      <c r="E428" s="333" t="s">
        <v>238</v>
      </c>
      <c r="F428" s="333"/>
      <c r="G428" s="293">
        <f>IF(ISERROR(C428/G423),"",C428/(G423/1000))</f>
        <v>0.67488223815359372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7.1999999999999993</v>
      </c>
      <c r="D429" s="337"/>
      <c r="E429" s="333" t="s">
        <v>240</v>
      </c>
      <c r="F429" s="333"/>
      <c r="G429" s="341">
        <f>IF(ISERROR(C429/G423),"",C429/(G423/1000))</f>
        <v>0.14291623866781983</v>
      </c>
      <c r="H429" s="341"/>
      <c r="I429" s="333" t="s">
        <v>241</v>
      </c>
      <c r="J429" s="333"/>
      <c r="K429" s="342">
        <f>IF(ISERROR(C428/C429),"",C428/C429)</f>
        <v>4.7222222222222223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205.5</v>
      </c>
      <c r="D432" s="346"/>
      <c r="E432" s="333" t="s">
        <v>247</v>
      </c>
      <c r="F432" s="351"/>
      <c r="G432" s="347">
        <f>+G411+G202</f>
        <v>205.5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9363.2000000000007</v>
      </c>
      <c r="D433" s="346"/>
      <c r="E433" s="333" t="s">
        <v>251</v>
      </c>
      <c r="F433" s="333"/>
      <c r="G433" s="347">
        <f>+G412+G203</f>
        <v>61523.200000000004</v>
      </c>
      <c r="H433" s="348"/>
      <c r="I433" s="333" t="s">
        <v>252</v>
      </c>
      <c r="J433" s="333"/>
      <c r="K433" s="315">
        <f>G433-C433</f>
        <v>52160</v>
      </c>
      <c r="L433" s="317"/>
      <c r="M433" s="349" t="s">
        <v>253</v>
      </c>
      <c r="N433" s="350"/>
      <c r="O433" s="343">
        <f t="array" ref="O433">IF(ISERROR(K433/C433),"",K433/C433)</f>
        <v>5.5707450444292546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663</v>
      </c>
      <c r="D434" s="346"/>
      <c r="E434" s="333" t="s">
        <v>255</v>
      </c>
      <c r="F434" s="351"/>
      <c r="G434" s="347">
        <f>+G413+G204</f>
        <v>663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/>
      <c r="M447" s="67"/>
      <c r="N447" s="67"/>
      <c r="O447" s="67"/>
      <c r="P447" s="67"/>
      <c r="Q447" s="83">
        <f t="shared" si="64"/>
        <v>23</v>
      </c>
      <c r="R447" s="158">
        <f t="shared" si="68"/>
        <v>264.5</v>
      </c>
      <c r="S447" s="101">
        <f t="array" ref="S447">IF(ISERROR(Q447/J447),"",Q447/J447)</f>
        <v>0.95833333333333337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38</v>
      </c>
      <c r="R450" s="158">
        <f t="shared" si="68"/>
        <v>437</v>
      </c>
      <c r="S450" s="122">
        <f t="array" ref="S450">IF(ISERROR(Q450/J450),"",Q450/J450)</f>
        <v>0.95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54</v>
      </c>
      <c r="R452" s="67">
        <f>R443+R450+R451</f>
        <v>943</v>
      </c>
      <c r="S452" s="123">
        <f t="array" ref="S452">IF(ISERROR(Q452/J452),"",Q452/J452)</f>
        <v>0.94736842105263153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5" topLeftCell="F307" activePane="bottomRight" state="frozen"/>
      <selection pane="topRight" activeCell="F1" sqref="F1"/>
      <selection pane="bottomLeft" activeCell="A26" sqref="A26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>
        <v>3004</v>
      </c>
      <c r="C26" s="248" t="s">
        <v>51</v>
      </c>
      <c r="D26" s="248"/>
      <c r="E26" s="166" t="s">
        <v>41</v>
      </c>
      <c r="F26" s="13"/>
      <c r="G26" s="133">
        <v>2</v>
      </c>
      <c r="H26" s="133"/>
      <c r="I26" s="133">
        <v>2</v>
      </c>
      <c r="J26" s="133"/>
      <c r="K26" s="164">
        <f t="shared" si="0"/>
        <v>1049.2</v>
      </c>
      <c r="L26" s="164">
        <f t="shared" si="1"/>
        <v>1049.2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6.8845144356955377</v>
      </c>
      <c r="Q26" s="164">
        <v>3</v>
      </c>
      <c r="R26" s="19">
        <f t="shared" si="3"/>
        <v>9</v>
      </c>
      <c r="S26" s="164">
        <f t="shared" si="4"/>
        <v>2.1154855643044623</v>
      </c>
      <c r="T26" s="20">
        <v>3</v>
      </c>
      <c r="U26" s="20">
        <v>3</v>
      </c>
      <c r="V26" s="161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>
        <v>3004</v>
      </c>
      <c r="C27" s="248" t="s">
        <v>51</v>
      </c>
      <c r="D27" s="248"/>
      <c r="E27" s="166" t="s">
        <v>42</v>
      </c>
      <c r="F27" s="13"/>
      <c r="G27" s="133">
        <v>8</v>
      </c>
      <c r="H27" s="133"/>
      <c r="I27" s="133">
        <f>8-J27/500</f>
        <v>7.52</v>
      </c>
      <c r="J27" s="133">
        <v>240</v>
      </c>
      <c r="K27" s="164">
        <f t="shared" si="0"/>
        <v>4196.8</v>
      </c>
      <c r="L27" s="164">
        <f t="shared" si="1"/>
        <v>3944.9919999999997</v>
      </c>
      <c r="M27" s="164">
        <v>524.6</v>
      </c>
      <c r="N27" s="164">
        <f>+M27*1000/(25.4*20*15*60)*T27</f>
        <v>3.4422572178477688</v>
      </c>
      <c r="O27" s="164">
        <v>0.5</v>
      </c>
      <c r="P27" s="164">
        <f t="shared" si="2"/>
        <v>27.385774278215219</v>
      </c>
      <c r="Q27" s="164">
        <v>8</v>
      </c>
      <c r="R27" s="19">
        <f t="shared" si="3"/>
        <v>24</v>
      </c>
      <c r="S27" s="164">
        <f t="shared" si="4"/>
        <v>-3.3857742782152194</v>
      </c>
      <c r="T27" s="20">
        <v>3</v>
      </c>
      <c r="U27" s="20">
        <v>3</v>
      </c>
      <c r="V27" s="161">
        <f t="array" ref="V27">IF(ISERROR(L27/K27),"",L27/K27)</f>
        <v>0.94</v>
      </c>
      <c r="W27" s="20">
        <f>20/60*3</f>
        <v>1</v>
      </c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222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222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222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222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222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222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222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222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222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222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222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222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222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222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222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222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222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222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222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222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222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>
        <v>4503</v>
      </c>
      <c r="C49" s="259" t="s">
        <v>68</v>
      </c>
      <c r="D49" s="260"/>
      <c r="E49" s="166" t="s">
        <v>72</v>
      </c>
      <c r="F49" s="165"/>
      <c r="G49" s="133">
        <v>2.4300000000000002</v>
      </c>
      <c r="H49" s="133">
        <v>0.42857142857142855</v>
      </c>
      <c r="I49" s="133">
        <f>2+H49</f>
        <v>2.4285714285714284</v>
      </c>
      <c r="J49" s="133"/>
      <c r="K49" s="164">
        <f t="shared" si="0"/>
        <v>937.00800000000015</v>
      </c>
      <c r="L49" s="164">
        <f t="shared" si="1"/>
        <v>936.4571428571428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6.1447319085114351</v>
      </c>
      <c r="Q49" s="164">
        <v>4</v>
      </c>
      <c r="R49" s="19">
        <f t="shared" si="3"/>
        <v>8</v>
      </c>
      <c r="S49" s="164">
        <f t="shared" si="4"/>
        <v>1.8552680914885649</v>
      </c>
      <c r="T49" s="20">
        <v>3</v>
      </c>
      <c r="U49" s="20">
        <v>2</v>
      </c>
      <c r="V49" s="222">
        <f t="array" ref="V49">IF(ISERROR(L49/K49),"",L49/K49)</f>
        <v>0.99941211052322143</v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222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222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222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222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>
        <v>4503</v>
      </c>
      <c r="C54" s="248" t="s">
        <v>75</v>
      </c>
      <c r="D54" s="248" t="s">
        <v>76</v>
      </c>
      <c r="E54" s="166" t="s">
        <v>40</v>
      </c>
      <c r="F54" s="13"/>
      <c r="G54" s="133">
        <v>6</v>
      </c>
      <c r="H54" s="133"/>
      <c r="I54" s="133">
        <f>6-J54/500</f>
        <v>5.88</v>
      </c>
      <c r="J54" s="133">
        <v>60</v>
      </c>
      <c r="K54" s="164">
        <f t="shared" si="0"/>
        <v>3275.3999999999996</v>
      </c>
      <c r="L54" s="164">
        <f t="shared" si="1"/>
        <v>3209.8919999999998</v>
      </c>
      <c r="M54" s="164">
        <v>545.9</v>
      </c>
      <c r="N54" s="164">
        <f>+M54*1000/(41.5*10*16*60)*T54</f>
        <v>2.7404618473895583</v>
      </c>
      <c r="O54" s="164">
        <v>0.5</v>
      </c>
      <c r="P54" s="164">
        <f t="shared" si="2"/>
        <v>17.113915662650601</v>
      </c>
      <c r="Q54" s="164">
        <v>6</v>
      </c>
      <c r="R54" s="19">
        <f t="shared" si="3"/>
        <v>12</v>
      </c>
      <c r="S54" s="164">
        <f t="shared" si="4"/>
        <v>-5.1139156626506015</v>
      </c>
      <c r="T54" s="22">
        <v>2</v>
      </c>
      <c r="U54" s="20">
        <v>2</v>
      </c>
      <c r="V54" s="222">
        <f t="array" ref="V54">IF(ISERROR(L54/K54),"",L54/K54)</f>
        <v>0.98000000000000009</v>
      </c>
      <c r="W54" s="20"/>
      <c r="X54" s="232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222" t="str">
        <f t="array" ref="V55">IF(ISERROR(L55/K55),"",L55/K55)</f>
        <v/>
      </c>
      <c r="W55" s="20"/>
      <c r="X55" s="232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222" t="str">
        <f t="array" ref="V56">IF(ISERROR(L56/K56),"",L56/K56)</f>
        <v/>
      </c>
      <c r="W56" s="20"/>
      <c r="X56" s="232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222" t="str">
        <f t="array" ref="V57">IF(ISERROR(L57/K57),"",L57/K57)</f>
        <v/>
      </c>
      <c r="W57" s="130"/>
      <c r="X57" s="233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222" t="str">
        <f t="array" ref="V58">IF(ISERROR(L58/K58),"",L58/K58)</f>
        <v/>
      </c>
      <c r="W58" s="20"/>
      <c r="X58" s="232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222" t="str">
        <f t="array" ref="V59">IF(ISERROR(L59/K59),"",L59/K59)</f>
        <v/>
      </c>
      <c r="W59" s="20"/>
      <c r="X59" s="232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222" t="str">
        <f t="array" ref="V60">IF(ISERROR(L60/K60),"",L60/K60)</f>
        <v/>
      </c>
      <c r="W60" s="20"/>
      <c r="X60" s="232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222" t="str">
        <f t="array" ref="V61">IF(ISERROR(L61/K61),"",L61/K61)</f>
        <v/>
      </c>
      <c r="W61" s="20"/>
      <c r="X61" s="232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222" t="str">
        <f t="array" ref="V62">IF(ISERROR(L62/K62),"",L62/K62)</f>
        <v/>
      </c>
      <c r="W62" s="20"/>
      <c r="X62" s="232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222" t="str">
        <f t="array" ref="V63">IF(ISERROR(L63/K63),"",L63/K63)</f>
        <v/>
      </c>
      <c r="W63" s="20"/>
      <c r="X63" s="232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222" t="str">
        <f t="array" ref="V64">IF(ISERROR(L64/K64),"",L64/K64)</f>
        <v/>
      </c>
      <c r="W64" s="20"/>
      <c r="X64" s="232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222" t="str">
        <f t="array" ref="V65">IF(ISERROR(L65/K65),"",L65/K65)</f>
        <v/>
      </c>
      <c r="W65" s="20"/>
      <c r="X65" s="232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222" t="str">
        <f t="array" ref="V66">IF(ISERROR(L66/K66),"",L66/K66)</f>
        <v/>
      </c>
      <c r="W66" s="20"/>
      <c r="X66" s="232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222" t="str">
        <f t="array" ref="V67">IF(ISERROR(L67/K67),"",L67/K67)</f>
        <v/>
      </c>
      <c r="W67" s="20"/>
      <c r="X67" s="232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222" t="str">
        <f t="array" ref="V68">IF(ISERROR(L68/K68),"",L68/K68)</f>
        <v/>
      </c>
      <c r="W68" s="20"/>
      <c r="X68" s="232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222" t="str">
        <f t="array" ref="V69">IF(ISERROR(L69/K69),"",L69/K69)</f>
        <v/>
      </c>
      <c r="W69" s="20"/>
      <c r="X69" s="232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222" t="str">
        <f t="array" ref="V70">IF(ISERROR(L70/K70),"",L70/K70)</f>
        <v/>
      </c>
      <c r="W70" s="20"/>
      <c r="X70" s="232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222" t="str">
        <f t="array" ref="V71">IF(ISERROR(L71/K71),"",L71/K71)</f>
        <v/>
      </c>
      <c r="W71" s="20"/>
      <c r="X71" s="232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222" t="str">
        <f t="array" ref="V72">IF(ISERROR(L72/K72),"",L72/K72)</f>
        <v/>
      </c>
      <c r="W72" s="20"/>
      <c r="X72" s="232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222" t="str">
        <f t="array" ref="V73">IF(ISERROR(L73/K73),"",L73/K73)</f>
        <v/>
      </c>
      <c r="W73" s="20"/>
      <c r="X73" s="232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222" t="str">
        <f t="array" ref="V74">IF(ISERROR(L74/K74),"",L74/K74)</f>
        <v/>
      </c>
      <c r="W74" s="30"/>
      <c r="X74" s="234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222" t="str">
        <f t="array" ref="V75">IF(ISERROR(L75/K75),"",L75/K75)</f>
        <v/>
      </c>
      <c r="W75" s="20"/>
      <c r="X75" s="232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222" t="str">
        <f t="array" ref="V76">IF(ISERROR(L76/K76),"",L76/K76)</f>
        <v/>
      </c>
      <c r="W76" s="20"/>
      <c r="X76" s="232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222" t="str">
        <f t="array" ref="V77">IF(ISERROR(L77/K77),"",L77/K77)</f>
        <v/>
      </c>
      <c r="W77" s="20"/>
      <c r="X77" s="232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222" t="str">
        <f t="array" ref="V78">IF(ISERROR(L78/K78),"",L78/K78)</f>
        <v/>
      </c>
      <c r="W78" s="20"/>
      <c r="X78" s="232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222" t="str">
        <f t="array" ref="V79">IF(ISERROR(L79/K79),"",L79/K79)</f>
        <v/>
      </c>
      <c r="W79" s="20"/>
      <c r="X79" s="232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222" t="str">
        <f t="array" ref="V80">IF(ISERROR(L80/K80),"",L80/K80)</f>
        <v/>
      </c>
      <c r="W80" s="20"/>
      <c r="X80" s="232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222" t="str">
        <f t="array" ref="V81">IF(ISERROR(L81/K81),"",L81/K81)</f>
        <v/>
      </c>
      <c r="W81" s="20"/>
      <c r="X81" s="232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222" t="str">
        <f t="array" ref="V82">IF(ISERROR(L82/K82),"",L82/K82)</f>
        <v/>
      </c>
      <c r="W82" s="20"/>
      <c r="X82" s="232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222" t="str">
        <f t="array" ref="V83">IF(ISERROR(L83/K83),"",L83/K83)</f>
        <v/>
      </c>
      <c r="W83" s="130"/>
      <c r="X83" s="233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222" t="str">
        <f t="array" ref="V84">IF(ISERROR(L84/K84),"",L84/K84)</f>
        <v/>
      </c>
      <c r="W84" s="20"/>
      <c r="X84" s="232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222" t="str">
        <f t="array" ref="V85">IF(ISERROR(L85/K85),"",L85/K85)</f>
        <v/>
      </c>
      <c r="W85" s="20"/>
      <c r="X85" s="232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222" t="str">
        <f t="array" ref="V86">IF(ISERROR(L86/K86),"",L86/K86)</f>
        <v/>
      </c>
      <c r="W86" s="20"/>
      <c r="X86" s="232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222" t="str">
        <f t="array" ref="V87">IF(ISERROR(L87/K87),"",L87/K87)</f>
        <v/>
      </c>
      <c r="W87" s="20"/>
      <c r="X87" s="232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222" t="str">
        <f t="array" ref="V88">IF(ISERROR(L88/K88),"",L88/K88)</f>
        <v/>
      </c>
      <c r="W88" s="20"/>
      <c r="X88" s="232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222" t="str">
        <f t="array" ref="V89">IF(ISERROR(L89/K89),"",L89/K89)</f>
        <v/>
      </c>
      <c r="W89" s="20"/>
      <c r="X89" s="232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222" t="str">
        <f t="array" ref="V90">IF(ISERROR(L90/K90),"",L90/K90)</f>
        <v/>
      </c>
      <c r="W90" s="20"/>
      <c r="X90" s="232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222" t="str">
        <f t="array" ref="V91">IF(ISERROR(L91/K91),"",L91/K91)</f>
        <v/>
      </c>
      <c r="W91" s="20"/>
      <c r="X91" s="232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222" t="str">
        <f t="array" ref="V92">IF(ISERROR(L92/K92),"",L92/K92)</f>
        <v/>
      </c>
      <c r="W92" s="20"/>
      <c r="X92" s="232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222" t="str">
        <f t="array" ref="V93">IF(ISERROR(L93/K93),"",L93/K93)</f>
        <v/>
      </c>
      <c r="W93" s="20"/>
      <c r="X93" s="232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222" t="str">
        <f t="array" ref="V94">IF(ISERROR(L94/K94),"",L94/K94)</f>
        <v/>
      </c>
      <c r="W94" s="20"/>
      <c r="X94" s="232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222" t="str">
        <f t="array" ref="V95">IF(ISERROR(L95/K95),"",L95/K95)</f>
        <v/>
      </c>
      <c r="W95" s="20"/>
      <c r="X95" s="232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222" t="str">
        <f t="array" ref="V96">IF(ISERROR(L96/K96),"",L96/K96)</f>
        <v/>
      </c>
      <c r="W96" s="20"/>
      <c r="X96" s="232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222" t="str">
        <f t="array" ref="V97">IF(ISERROR(L97/K97),"",L97/K97)</f>
        <v/>
      </c>
      <c r="W97" s="30"/>
      <c r="X97" s="234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>
        <v>5001</v>
      </c>
      <c r="C98" s="248" t="s">
        <v>318</v>
      </c>
      <c r="D98" s="248" t="s">
        <v>96</v>
      </c>
      <c r="E98" s="166" t="s">
        <v>39</v>
      </c>
      <c r="F98" s="13"/>
      <c r="G98" s="133">
        <v>1.5</v>
      </c>
      <c r="H98" s="133"/>
      <c r="I98" s="133">
        <f>2-J98/600</f>
        <v>1.5</v>
      </c>
      <c r="J98" s="133">
        <v>300</v>
      </c>
      <c r="K98" s="164">
        <f t="shared" si="7"/>
        <v>926.69999999999993</v>
      </c>
      <c r="L98" s="164">
        <f t="shared" si="8"/>
        <v>926.69999999999993</v>
      </c>
      <c r="M98" s="164">
        <v>617.79999999999995</v>
      </c>
      <c r="N98" s="164">
        <f>+M98*1000/(123*1*80*60)*T98</f>
        <v>3.1392276422764223</v>
      </c>
      <c r="O98" s="164">
        <v>0.5</v>
      </c>
      <c r="P98" s="164">
        <f t="shared" si="9"/>
        <v>7.2088414634146334</v>
      </c>
      <c r="Q98" s="164">
        <v>1.5</v>
      </c>
      <c r="R98" s="19">
        <f t="shared" si="10"/>
        <v>7.5</v>
      </c>
      <c r="S98" s="164">
        <f t="shared" si="11"/>
        <v>0.29115853658536661</v>
      </c>
      <c r="T98" s="20">
        <v>3</v>
      </c>
      <c r="U98" s="20">
        <v>5</v>
      </c>
      <c r="V98" s="222">
        <f t="array" ref="V98">IF(ISERROR(L98/K98),"",L98/K98)</f>
        <v>1</v>
      </c>
      <c r="W98" s="20"/>
      <c r="X98" s="232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>
        <v>5001</v>
      </c>
      <c r="C99" s="248" t="s">
        <v>318</v>
      </c>
      <c r="D99" s="248" t="s">
        <v>96</v>
      </c>
      <c r="E99" s="166" t="s">
        <v>42</v>
      </c>
      <c r="F99" s="13"/>
      <c r="G99" s="133">
        <v>10</v>
      </c>
      <c r="H99" s="133"/>
      <c r="I99" s="133">
        <v>10</v>
      </c>
      <c r="J99" s="133"/>
      <c r="K99" s="164">
        <f t="shared" si="7"/>
        <v>6186</v>
      </c>
      <c r="L99" s="164">
        <f t="shared" si="8"/>
        <v>6186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31.179435483870968</v>
      </c>
      <c r="Q99" s="164">
        <v>9.5</v>
      </c>
      <c r="R99" s="19">
        <f t="shared" si="10"/>
        <v>47.5</v>
      </c>
      <c r="S99" s="164">
        <f t="shared" si="11"/>
        <v>16.320564516129032</v>
      </c>
      <c r="T99" s="20">
        <v>3</v>
      </c>
      <c r="U99" s="20">
        <v>5</v>
      </c>
      <c r="V99" s="161">
        <f t="array" ref="V99">IF(ISERROR(L99/K99),"",L99/K99)</f>
        <v>1</v>
      </c>
      <c r="W99" s="20"/>
      <c r="X99" s="232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32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32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32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32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32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32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234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234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234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234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234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32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32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>
        <v>6502</v>
      </c>
      <c r="C113" s="248" t="s">
        <v>121</v>
      </c>
      <c r="D113" s="248" t="s">
        <v>122</v>
      </c>
      <c r="E113" s="166" t="s">
        <v>37</v>
      </c>
      <c r="F113" s="13"/>
      <c r="G113" s="133">
        <v>3.6</v>
      </c>
      <c r="H113" s="133">
        <v>0.6</v>
      </c>
      <c r="I113" s="133">
        <f>3+H113</f>
        <v>3.6</v>
      </c>
      <c r="J113" s="133"/>
      <c r="K113" s="164">
        <f t="shared" si="7"/>
        <v>1728.4680000000001</v>
      </c>
      <c r="L113" s="164">
        <f t="shared" si="8"/>
        <v>1728.4680000000001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9.4887351778656139</v>
      </c>
      <c r="Q113" s="164">
        <v>4</v>
      </c>
      <c r="R113" s="19">
        <f t="shared" si="10"/>
        <v>8</v>
      </c>
      <c r="S113" s="164">
        <f t="shared" si="11"/>
        <v>-1.4887351778656139</v>
      </c>
      <c r="T113" s="20">
        <v>2</v>
      </c>
      <c r="U113" s="20">
        <v>2</v>
      </c>
      <c r="V113" s="161">
        <f t="array" ref="V113">IF(ISERROR(L113/K113),"",L113/K113)</f>
        <v>1</v>
      </c>
      <c r="W113" s="20"/>
      <c r="X113" s="232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32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>
        <v>6502</v>
      </c>
      <c r="C115" s="248" t="s">
        <v>121</v>
      </c>
      <c r="D115" s="248" t="s">
        <v>122</v>
      </c>
      <c r="E115" s="166" t="s">
        <v>63</v>
      </c>
      <c r="F115" s="13"/>
      <c r="G115" s="133">
        <v>7</v>
      </c>
      <c r="H115" s="133"/>
      <c r="I115" s="133">
        <f>7-J115/300</f>
        <v>6.0666666666666664</v>
      </c>
      <c r="J115" s="133">
        <v>280</v>
      </c>
      <c r="K115" s="164">
        <f t="shared" si="7"/>
        <v>3360.91</v>
      </c>
      <c r="L115" s="164">
        <f t="shared" si="8"/>
        <v>2912.7886666666664</v>
      </c>
      <c r="M115" s="164">
        <v>480.13</v>
      </c>
      <c r="N115" s="164">
        <f>+M115*1000/(126.5*4*12*60)*T115</f>
        <v>2.6357597716293371</v>
      </c>
      <c r="O115" s="164">
        <v>0.5</v>
      </c>
      <c r="P115" s="164">
        <f t="shared" si="9"/>
        <v>16.990275947884644</v>
      </c>
      <c r="Q115" s="164">
        <v>6</v>
      </c>
      <c r="R115" s="19">
        <f t="shared" si="10"/>
        <v>12</v>
      </c>
      <c r="S115" s="164">
        <f t="shared" si="11"/>
        <v>-4.9902759478846441</v>
      </c>
      <c r="T115" s="20">
        <v>2</v>
      </c>
      <c r="U115" s="20">
        <v>2</v>
      </c>
      <c r="V115" s="161">
        <f t="array" ref="V115">IF(ISERROR(L115/K115),"",L115/K115)</f>
        <v>0.86666666666666659</v>
      </c>
      <c r="W115" s="20"/>
      <c r="X115" s="232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33"/>
      <c r="H139" s="133"/>
      <c r="I139" s="133"/>
      <c r="J139" s="133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33"/>
      <c r="H140" s="133"/>
      <c r="I140" s="133"/>
      <c r="J140" s="133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33"/>
      <c r="H141" s="133"/>
      <c r="I141" s="133"/>
      <c r="J141" s="133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33"/>
      <c r="H142" s="133"/>
      <c r="I142" s="133"/>
      <c r="J142" s="133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33"/>
      <c r="H143" s="133"/>
      <c r="I143" s="133"/>
      <c r="J143" s="133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33"/>
      <c r="H144" s="133"/>
      <c r="I144" s="133"/>
      <c r="J144" s="133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33"/>
      <c r="H145" s="133"/>
      <c r="I145" s="133"/>
      <c r="J145" s="133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33"/>
      <c r="H146" s="133"/>
      <c r="I146" s="133"/>
      <c r="J146" s="133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33"/>
      <c r="H147" s="133"/>
      <c r="I147" s="133"/>
      <c r="J147" s="133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33"/>
      <c r="H148" s="133"/>
      <c r="I148" s="133"/>
      <c r="J148" s="133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33"/>
      <c r="H149" s="133"/>
      <c r="I149" s="133"/>
      <c r="J149" s="133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33"/>
      <c r="H150" s="133"/>
      <c r="I150" s="133"/>
      <c r="J150" s="133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33"/>
      <c r="H151" s="133"/>
      <c r="I151" s="133"/>
      <c r="J151" s="133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33"/>
      <c r="H152" s="133"/>
      <c r="I152" s="133"/>
      <c r="J152" s="133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33"/>
      <c r="H153" s="133"/>
      <c r="I153" s="133"/>
      <c r="J153" s="133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33"/>
      <c r="H154" s="133"/>
      <c r="I154" s="133"/>
      <c r="J154" s="133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33"/>
      <c r="H155" s="133"/>
      <c r="I155" s="133"/>
      <c r="J155" s="133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33"/>
      <c r="H156" s="133"/>
      <c r="I156" s="133"/>
      <c r="J156" s="133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33"/>
      <c r="H157" s="133"/>
      <c r="I157" s="133"/>
      <c r="J157" s="133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33"/>
      <c r="H158" s="133"/>
      <c r="I158" s="133"/>
      <c r="J158" s="133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33"/>
      <c r="H159" s="133"/>
      <c r="I159" s="133"/>
      <c r="J159" s="133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33"/>
      <c r="H160" s="133"/>
      <c r="I160" s="133"/>
      <c r="J160" s="133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33"/>
      <c r="H161" s="133"/>
      <c r="I161" s="133"/>
      <c r="J161" s="133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33"/>
      <c r="H162" s="133"/>
      <c r="I162" s="133"/>
      <c r="J162" s="133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33"/>
      <c r="H163" s="133"/>
      <c r="I163" s="133"/>
      <c r="J163" s="133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33"/>
      <c r="H164" s="133"/>
      <c r="I164" s="133"/>
      <c r="J164" s="133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33"/>
      <c r="H165" s="133"/>
      <c r="I165" s="133"/>
      <c r="J165" s="133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33"/>
      <c r="H166" s="133"/>
      <c r="I166" s="133"/>
      <c r="J166" s="133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33"/>
      <c r="H167" s="133"/>
      <c r="I167" s="133"/>
      <c r="J167" s="133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33"/>
      <c r="H168" s="133"/>
      <c r="I168" s="133"/>
      <c r="J168" s="133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33">
        <v>1</v>
      </c>
      <c r="H169" s="133"/>
      <c r="I169" s="133">
        <v>1</v>
      </c>
      <c r="J169" s="133"/>
      <c r="K169" s="164">
        <f t="shared" si="15"/>
        <v>520.79999999999995</v>
      </c>
      <c r="L169" s="164">
        <f t="shared" si="16"/>
        <v>520.79999999999995</v>
      </c>
      <c r="M169" s="15">
        <v>520.79999999999995</v>
      </c>
      <c r="N169" s="164">
        <f>+M169*1000/(188*4*13*60)*T169</f>
        <v>5.3273322422258591</v>
      </c>
      <c r="O169" s="164">
        <v>0.5</v>
      </c>
      <c r="P169" s="164">
        <f t="shared" si="17"/>
        <v>8.8273322422258591</v>
      </c>
      <c r="Q169" s="164">
        <v>2</v>
      </c>
      <c r="R169" s="19">
        <f t="shared" si="18"/>
        <v>14</v>
      </c>
      <c r="S169" s="164">
        <f t="shared" si="19"/>
        <v>5.1726677577741409</v>
      </c>
      <c r="T169" s="20">
        <v>6</v>
      </c>
      <c r="U169" s="20">
        <v>7</v>
      </c>
      <c r="V169" s="161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33">
        <v>9.4499999999999993</v>
      </c>
      <c r="H170" s="133">
        <v>0.45</v>
      </c>
      <c r="I170" s="133">
        <f>9+H170</f>
        <v>9.4499999999999993</v>
      </c>
      <c r="J170" s="133"/>
      <c r="K170" s="164">
        <f t="shared" si="15"/>
        <v>5017.0049999999992</v>
      </c>
      <c r="L170" s="164">
        <f t="shared" si="16"/>
        <v>5017.0049999999992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42.766341039279872</v>
      </c>
      <c r="Q170" s="164">
        <v>9</v>
      </c>
      <c r="R170" s="19">
        <f t="shared" si="18"/>
        <v>63</v>
      </c>
      <c r="S170" s="164">
        <f t="shared" si="19"/>
        <v>20.233658960720128</v>
      </c>
      <c r="T170" s="20">
        <v>5</v>
      </c>
      <c r="U170" s="20">
        <v>7</v>
      </c>
      <c r="V170" s="161">
        <f t="array" ref="V170">IF(ISERROR(L170/K170),"",L170/K170)</f>
        <v>1</v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33"/>
      <c r="H171" s="133"/>
      <c r="I171" s="133"/>
      <c r="J171" s="13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222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33"/>
      <c r="H172" s="133"/>
      <c r="I172" s="133"/>
      <c r="J172" s="133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222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33"/>
      <c r="H173" s="133"/>
      <c r="I173" s="133"/>
      <c r="J173" s="133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222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33"/>
      <c r="H174" s="133"/>
      <c r="I174" s="133"/>
      <c r="J174" s="133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222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33"/>
      <c r="H175" s="133"/>
      <c r="I175" s="133"/>
      <c r="J175" s="133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222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33"/>
      <c r="H176" s="133"/>
      <c r="I176" s="133"/>
      <c r="J176" s="133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222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33"/>
      <c r="H177" s="133"/>
      <c r="I177" s="133"/>
      <c r="J177" s="133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222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33"/>
      <c r="H178" s="133"/>
      <c r="I178" s="133"/>
      <c r="J178" s="133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222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33"/>
      <c r="H179" s="133"/>
      <c r="I179" s="133"/>
      <c r="J179" s="133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222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33"/>
      <c r="H180" s="133"/>
      <c r="I180" s="133"/>
      <c r="J180" s="133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222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33"/>
      <c r="H181" s="133"/>
      <c r="I181" s="133"/>
      <c r="J181" s="133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222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33"/>
      <c r="H182" s="133"/>
      <c r="I182" s="133"/>
      <c r="J182" s="133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222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33"/>
      <c r="H183" s="133"/>
      <c r="I183" s="133"/>
      <c r="J183" s="133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222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33"/>
      <c r="H184" s="133"/>
      <c r="I184" s="133"/>
      <c r="J184" s="133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222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133"/>
      <c r="H185" s="133"/>
      <c r="I185" s="133"/>
      <c r="J185" s="133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222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33"/>
      <c r="H186" s="133"/>
      <c r="I186" s="133"/>
      <c r="J186" s="133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222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33"/>
      <c r="H187" s="133"/>
      <c r="I187" s="133"/>
      <c r="J187" s="133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222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33"/>
      <c r="H188" s="133"/>
      <c r="I188" s="133"/>
      <c r="J188" s="133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222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33"/>
      <c r="H189" s="133"/>
      <c r="I189" s="133"/>
      <c r="J189" s="133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222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33"/>
      <c r="H190" s="133"/>
      <c r="I190" s="133"/>
      <c r="J190" s="133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222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>
        <v>13001</v>
      </c>
      <c r="C191" s="248" t="s">
        <v>312</v>
      </c>
      <c r="D191" s="248" t="s">
        <v>89</v>
      </c>
      <c r="E191" s="166" t="s">
        <v>35</v>
      </c>
      <c r="F191" s="13"/>
      <c r="G191" s="133">
        <v>6</v>
      </c>
      <c r="H191" s="133"/>
      <c r="I191" s="133">
        <f>6-J191/300</f>
        <v>5.666666666666667</v>
      </c>
      <c r="J191" s="133">
        <v>100</v>
      </c>
      <c r="K191" s="164">
        <f>G191*M191</f>
        <v>2019.6000000000001</v>
      </c>
      <c r="L191" s="164">
        <f>I191*M191</f>
        <v>1907.4000000000003</v>
      </c>
      <c r="M191" s="164">
        <v>336.6</v>
      </c>
      <c r="N191" s="164">
        <f>+M191*1000/(45*10*18*60)*T191</f>
        <v>1.3851851851851851</v>
      </c>
      <c r="O191" s="164">
        <v>0.5</v>
      </c>
      <c r="P191" s="164">
        <f>N191*I191+O191*U191</f>
        <v>10.349382716049384</v>
      </c>
      <c r="Q191" s="164">
        <v>6</v>
      </c>
      <c r="R191" s="19">
        <f>Q191*U191</f>
        <v>30</v>
      </c>
      <c r="S191" s="164">
        <f>R191-P191</f>
        <v>19.650617283950616</v>
      </c>
      <c r="T191" s="20">
        <v>2</v>
      </c>
      <c r="U191" s="20">
        <v>5</v>
      </c>
      <c r="V191" s="222">
        <f t="array" ref="V191">IF(ISERROR(L191/K191),"",L191/K191)</f>
        <v>0.94444444444444453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22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>
        <v>13001</v>
      </c>
      <c r="C193" s="248" t="s">
        <v>312</v>
      </c>
      <c r="D193" s="248" t="s">
        <v>89</v>
      </c>
      <c r="E193" s="166" t="s">
        <v>41</v>
      </c>
      <c r="F193" s="13"/>
      <c r="G193" s="133">
        <v>3.33</v>
      </c>
      <c r="H193" s="133">
        <v>0.33333333333333331</v>
      </c>
      <c r="I193" s="133">
        <f>3+H193</f>
        <v>3.3333333333333335</v>
      </c>
      <c r="J193" s="133"/>
      <c r="K193" s="164">
        <f>G193*M193</f>
        <v>1120.8780000000002</v>
      </c>
      <c r="L193" s="164">
        <f>I193*M193</f>
        <v>1122.0000000000002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4.617283950617284</v>
      </c>
      <c r="Q193" s="164">
        <v>4</v>
      </c>
      <c r="R193" s="19">
        <f>Q193*U193</f>
        <v>20</v>
      </c>
      <c r="S193" s="164">
        <f>R193-P193</f>
        <v>15.382716049382715</v>
      </c>
      <c r="T193" s="20">
        <v>2</v>
      </c>
      <c r="U193" s="20">
        <v>5</v>
      </c>
      <c r="V193" s="222">
        <f t="array" ref="V193">IF(ISERROR(L193/K193),"",L193/K193)</f>
        <v>1.0010010010010011</v>
      </c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222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22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22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22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22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60.31</v>
      </c>
      <c r="H199" s="164">
        <f t="array" ref="H199">SUM(IF(ISERROR(H6:H198),“”,H6:H198))</f>
        <v>1.8119047619047617</v>
      </c>
      <c r="I199" s="164">
        <f t="array" ref="I199">SUM(IF(ISERROR(I6:I198),“”,I6:I198))</f>
        <v>58.445238095238096</v>
      </c>
      <c r="J199" s="164">
        <f t="array" ref="J199">SUM(IF(ISERROR(J6:J198),“”,J6:J198))</f>
        <v>980</v>
      </c>
      <c r="K199" s="164">
        <f t="array" ref="K199">SUM(IF(ISERROR(K6:K198),“”,K6:K198))</f>
        <v>30338.768999999997</v>
      </c>
      <c r="L199" s="56">
        <f>SUM(L6:L198)</f>
        <v>29461.702809523813</v>
      </c>
      <c r="M199" s="164"/>
      <c r="N199" s="164"/>
      <c r="O199" s="164">
        <f>SUM(O6:O190)</f>
        <v>2.5</v>
      </c>
      <c r="P199" s="56">
        <f>SUM((P6:P190),(W204:X209))</f>
        <v>294.98989763961436</v>
      </c>
      <c r="Q199" s="164"/>
      <c r="R199" s="56">
        <f>SUM((R6:R190),(Y204:Z209))</f>
        <v>425</v>
      </c>
      <c r="S199" s="164">
        <f t="array" ref="S199">SUM(IF(ISERROR(S6:S198),“”,S6:S198))</f>
        <v>66.043435693718948</v>
      </c>
      <c r="T199" s="164"/>
      <c r="U199" s="164"/>
      <c r="V199" s="222">
        <f t="array" ref="V199">IF(ISERROR(L199/K199),"",L199/K199)</f>
        <v>0.97109091042961615</v>
      </c>
      <c r="W199" s="164">
        <f t="array" ref="W199">SUM(IF(ISERROR(W6:W198),“”,W6:W198))</f>
        <v>1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0.69409387679909262</v>
      </c>
      <c r="P200" s="274"/>
      <c r="Q200" s="274"/>
      <c r="R200" s="275"/>
      <c r="S200" s="44"/>
      <c r="T200" s="45"/>
      <c r="U200" s="45"/>
      <c r="V200" s="45"/>
      <c r="W200" s="276">
        <f>SUM(W199:AC199)</f>
        <v>1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163</v>
      </c>
      <c r="F202" s="279"/>
      <c r="G202" s="279">
        <v>163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5479.7</v>
      </c>
      <c r="F203" s="279"/>
      <c r="G203" s="279">
        <v>5849.2</v>
      </c>
      <c r="H203" s="279"/>
      <c r="I203" s="279">
        <f>G203-E203</f>
        <v>369.5</v>
      </c>
      <c r="J203" s="279"/>
      <c r="K203" s="281">
        <f t="array" ref="K203">IF(ISERROR(I203/E203),"",I203/E203)</f>
        <v>6.7430698760881078E-2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17</v>
      </c>
      <c r="T203" s="284"/>
      <c r="U203" s="284">
        <v>24</v>
      </c>
      <c r="V203" s="284"/>
      <c r="W203" s="283">
        <f t="shared" ref="W203:W210" si="28">S203*11</f>
        <v>187</v>
      </c>
      <c r="X203" s="283"/>
      <c r="Y203" s="283">
        <f t="shared" ref="Y203:Y210" si="29">U203*11</f>
        <v>264</v>
      </c>
      <c r="Z203" s="283"/>
      <c r="AA203" s="283">
        <f t="shared" ref="AA203:AA210" si="30">Y203-W203</f>
        <v>77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948</v>
      </c>
      <c r="F204" s="279"/>
      <c r="G204" s="279">
        <v>948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4</v>
      </c>
      <c r="T204" s="284"/>
      <c r="U204" s="284">
        <v>7</v>
      </c>
      <c r="V204" s="284"/>
      <c r="W204" s="283">
        <f t="shared" si="28"/>
        <v>44</v>
      </c>
      <c r="X204" s="283"/>
      <c r="Y204" s="283">
        <f t="shared" si="29"/>
        <v>77</v>
      </c>
      <c r="Z204" s="283"/>
      <c r="AA204" s="283">
        <f t="shared" si="30"/>
        <v>33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5</v>
      </c>
      <c r="V205" s="284"/>
      <c r="W205" s="283">
        <f t="shared" si="28"/>
        <v>8.25</v>
      </c>
      <c r="X205" s="283"/>
      <c r="Y205" s="283">
        <f t="shared" si="29"/>
        <v>55</v>
      </c>
      <c r="Z205" s="283"/>
      <c r="AA205" s="283">
        <f t="shared" si="30"/>
        <v>46.75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150758</v>
      </c>
      <c r="H206" s="286"/>
      <c r="I206" s="325">
        <v>150618</v>
      </c>
      <c r="J206" s="326"/>
      <c r="K206" s="289">
        <f>G206-I206</f>
        <v>140</v>
      </c>
      <c r="L206" s="289"/>
      <c r="M206" s="290">
        <f t="array" ref="M206">IF(ISERROR(K206/L199),"",K206/(L199/1000))</f>
        <v>4.7519317164092598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1</v>
      </c>
      <c r="V206" s="284"/>
      <c r="W206" s="283">
        <f t="shared" si="28"/>
        <v>8.25</v>
      </c>
      <c r="X206" s="283"/>
      <c r="Y206" s="283">
        <f t="shared" si="29"/>
        <v>11</v>
      </c>
      <c r="Z206" s="283"/>
      <c r="AA206" s="283">
        <f t="shared" si="30"/>
        <v>2.75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28664.3*120+44972.9*60</f>
        <v>6138090</v>
      </c>
      <c r="H207" s="286"/>
      <c r="I207" s="325">
        <v>6136338</v>
      </c>
      <c r="J207" s="326"/>
      <c r="K207" s="289">
        <f>G207-I207</f>
        <v>1752</v>
      </c>
      <c r="L207" s="289"/>
      <c r="M207" s="290">
        <f t="array" ref="M207">IF(ISERROR(K207/L199),"",K207/(L199/1000))</f>
        <v>59.467031193921592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8"/>
        <v>16.5</v>
      </c>
      <c r="X207" s="283"/>
      <c r="Y207" s="283">
        <f t="shared" si="29"/>
        <v>11</v>
      </c>
      <c r="Z207" s="283"/>
      <c r="AA207" s="283">
        <f t="shared" si="30"/>
        <v>-5.5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+I208+19</f>
        <v>27015</v>
      </c>
      <c r="H208" s="286"/>
      <c r="I208" s="285">
        <v>26996</v>
      </c>
      <c r="J208" s="286"/>
      <c r="K208" s="289">
        <f>G208-I208</f>
        <v>19</v>
      </c>
      <c r="L208" s="289"/>
      <c r="M208" s="293">
        <f t="array" ref="M208">IF(ISERROR(K208/L199),"",K208/(L199/1000))</f>
        <v>0.64490501865554239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2.72+2.56/2</f>
        <v>4</v>
      </c>
      <c r="L209" s="292"/>
      <c r="M209" s="294">
        <f t="array" ref="M209">IF(ISERROR((K209+K210)/L199),"",((K209+K210)*1000)/(L199/1000))</f>
        <v>135.76947761169313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5</v>
      </c>
      <c r="V209" s="284"/>
      <c r="W209" s="283">
        <f t="shared" si="28"/>
        <v>33</v>
      </c>
      <c r="X209" s="283"/>
      <c r="Y209" s="283">
        <f t="shared" si="29"/>
        <v>55</v>
      </c>
      <c r="Z209" s="283"/>
      <c r="AA209" s="283">
        <f t="shared" si="30"/>
        <v>22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28</v>
      </c>
      <c r="T210" s="284"/>
      <c r="U210" s="284">
        <f>SUM(U203:V209)</f>
        <v>44</v>
      </c>
      <c r="V210" s="284"/>
      <c r="W210" s="283">
        <f t="shared" si="28"/>
        <v>308</v>
      </c>
      <c r="X210" s="283"/>
      <c r="Y210" s="283">
        <f t="shared" si="29"/>
        <v>484</v>
      </c>
      <c r="Z210" s="283"/>
      <c r="AA210" s="283">
        <f t="shared" si="30"/>
        <v>176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4.75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60.871286796536801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212">
        <v>300013</v>
      </c>
      <c r="B236" s="208">
        <v>3004</v>
      </c>
      <c r="C236" s="248" t="s">
        <v>51</v>
      </c>
      <c r="D236" s="248"/>
      <c r="E236" s="216" t="s">
        <v>42</v>
      </c>
      <c r="F236" s="215">
        <v>1530</v>
      </c>
      <c r="G236" s="214">
        <v>2.48</v>
      </c>
      <c r="H236" s="214">
        <v>0.48</v>
      </c>
      <c r="I236" s="214">
        <f>2+H236</f>
        <v>2.48</v>
      </c>
      <c r="J236" s="214"/>
      <c r="K236" s="214">
        <f t="shared" si="31"/>
        <v>1301.008</v>
      </c>
      <c r="L236" s="214">
        <f t="shared" si="32"/>
        <v>1301.008</v>
      </c>
      <c r="M236" s="214">
        <v>524.6</v>
      </c>
      <c r="N236" s="214">
        <f>+M236*1000/(25.4*20*15*60)*T236</f>
        <v>3.4422572178477688</v>
      </c>
      <c r="O236" s="214"/>
      <c r="P236" s="214">
        <f t="shared" si="34"/>
        <v>8.5367979002624672</v>
      </c>
      <c r="Q236" s="214">
        <v>3</v>
      </c>
      <c r="R236" s="19">
        <f t="shared" si="35"/>
        <v>6</v>
      </c>
      <c r="S236" s="214">
        <f t="shared" si="36"/>
        <v>-2.5367979002624672</v>
      </c>
      <c r="T236" s="20">
        <v>3</v>
      </c>
      <c r="U236" s="20">
        <v>2</v>
      </c>
      <c r="V236" s="213">
        <f t="array" ref="V236">IF(ISERROR(L236/K236),"",L236/K236)</f>
        <v>1</v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12">
        <v>300016</v>
      </c>
      <c r="B237" s="208">
        <v>3004</v>
      </c>
      <c r="C237" s="248" t="s">
        <v>51</v>
      </c>
      <c r="D237" s="248"/>
      <c r="E237" s="216" t="s">
        <v>38</v>
      </c>
      <c r="F237" s="215">
        <v>1529</v>
      </c>
      <c r="G237" s="214">
        <v>8</v>
      </c>
      <c r="H237" s="214"/>
      <c r="I237" s="214">
        <v>8</v>
      </c>
      <c r="J237" s="214"/>
      <c r="K237" s="214">
        <f t="shared" si="31"/>
        <v>4196.8</v>
      </c>
      <c r="L237" s="214">
        <f t="shared" si="32"/>
        <v>4196.8</v>
      </c>
      <c r="M237" s="214">
        <v>524.6</v>
      </c>
      <c r="N237" s="214">
        <f>+M237*1000/(25.4*20*15*60)*T237</f>
        <v>3.4422572178477688</v>
      </c>
      <c r="O237" s="214">
        <v>0.5</v>
      </c>
      <c r="P237" s="214">
        <f t="shared" si="34"/>
        <v>28.538057742782151</v>
      </c>
      <c r="Q237" s="221">
        <v>8.5</v>
      </c>
      <c r="R237" s="19">
        <f t="shared" si="35"/>
        <v>17</v>
      </c>
      <c r="S237" s="214">
        <f t="shared" si="36"/>
        <v>-11.538057742782151</v>
      </c>
      <c r="T237" s="20">
        <v>3</v>
      </c>
      <c r="U237" s="20">
        <v>2</v>
      </c>
      <c r="V237" s="213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hidden="1" customHeight="1">
      <c r="A238" s="212">
        <v>3000435</v>
      </c>
      <c r="B238" s="208" t="s">
        <v>43</v>
      </c>
      <c r="C238" s="248" t="s">
        <v>51</v>
      </c>
      <c r="D238" s="248"/>
      <c r="E238" s="216" t="s">
        <v>309</v>
      </c>
      <c r="F238" s="27"/>
      <c r="G238" s="110"/>
      <c r="H238" s="110"/>
      <c r="I238" s="110"/>
      <c r="J238" s="110"/>
      <c r="K238" s="214">
        <f t="shared" si="31"/>
        <v>0</v>
      </c>
      <c r="L238" s="214">
        <f t="shared" si="32"/>
        <v>0</v>
      </c>
      <c r="M238" s="214">
        <v>524.6</v>
      </c>
      <c r="N238" s="214">
        <f>+M238*1000/(25.4*20*15*60)*T238</f>
        <v>3.4422572178477688</v>
      </c>
      <c r="O238" s="214"/>
      <c r="P238" s="214">
        <f t="shared" si="34"/>
        <v>0</v>
      </c>
      <c r="Q238" s="214"/>
      <c r="R238" s="19">
        <f t="shared" si="35"/>
        <v>0</v>
      </c>
      <c r="S238" s="214">
        <f t="shared" si="36"/>
        <v>0</v>
      </c>
      <c r="T238" s="20">
        <v>3</v>
      </c>
      <c r="U238" s="20"/>
      <c r="V238" s="213"/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12">
        <v>300276</v>
      </c>
      <c r="B239" s="208" t="s">
        <v>43</v>
      </c>
      <c r="C239" s="248" t="s">
        <v>53</v>
      </c>
      <c r="D239" s="248"/>
      <c r="E239" s="216" t="s">
        <v>41</v>
      </c>
      <c r="F239" s="27"/>
      <c r="G239" s="110"/>
      <c r="H239" s="110"/>
      <c r="I239" s="110"/>
      <c r="J239" s="110"/>
      <c r="K239" s="214">
        <f t="shared" si="31"/>
        <v>0</v>
      </c>
      <c r="L239" s="214">
        <f t="shared" si="32"/>
        <v>0</v>
      </c>
      <c r="M239" s="214">
        <v>266</v>
      </c>
      <c r="N239" s="214">
        <f>+M239*1000/(29.8*10*13*60)*T239</f>
        <v>3.4331440371708828</v>
      </c>
      <c r="O239" s="214"/>
      <c r="P239" s="214">
        <f t="shared" si="34"/>
        <v>0</v>
      </c>
      <c r="Q239" s="214"/>
      <c r="R239" s="19">
        <f t="shared" si="35"/>
        <v>0</v>
      </c>
      <c r="S239" s="214">
        <f t="shared" si="36"/>
        <v>0</v>
      </c>
      <c r="T239" s="20">
        <v>3</v>
      </c>
      <c r="U239" s="20"/>
      <c r="V239" s="21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12">
        <v>300277</v>
      </c>
      <c r="B240" s="208" t="s">
        <v>43</v>
      </c>
      <c r="C240" s="248" t="s">
        <v>53</v>
      </c>
      <c r="D240" s="248"/>
      <c r="E240" s="216" t="s">
        <v>39</v>
      </c>
      <c r="F240" s="27"/>
      <c r="G240" s="110"/>
      <c r="H240" s="110"/>
      <c r="I240" s="110"/>
      <c r="J240" s="110"/>
      <c r="K240" s="214">
        <f t="shared" si="31"/>
        <v>0</v>
      </c>
      <c r="L240" s="214">
        <f t="shared" si="32"/>
        <v>0</v>
      </c>
      <c r="M240" s="214">
        <v>266</v>
      </c>
      <c r="N240" s="214">
        <f>+M240*1000/(29.8*10*13*60)*T240</f>
        <v>3.4331440371708828</v>
      </c>
      <c r="O240" s="214"/>
      <c r="P240" s="214">
        <f t="shared" si="34"/>
        <v>0</v>
      </c>
      <c r="Q240" s="214"/>
      <c r="R240" s="19">
        <f t="shared" si="35"/>
        <v>0</v>
      </c>
      <c r="S240" s="214">
        <f t="shared" si="36"/>
        <v>0</v>
      </c>
      <c r="T240" s="20">
        <v>3</v>
      </c>
      <c r="U240" s="20"/>
      <c r="V240" s="21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12">
        <v>300278</v>
      </c>
      <c r="B241" s="208" t="s">
        <v>43</v>
      </c>
      <c r="C241" s="248" t="s">
        <v>53</v>
      </c>
      <c r="D241" s="248"/>
      <c r="E241" s="216" t="s">
        <v>54</v>
      </c>
      <c r="F241" s="27"/>
      <c r="G241" s="110"/>
      <c r="H241" s="110"/>
      <c r="I241" s="110"/>
      <c r="J241" s="110"/>
      <c r="K241" s="214">
        <f t="shared" si="31"/>
        <v>0</v>
      </c>
      <c r="L241" s="214">
        <f t="shared" si="32"/>
        <v>0</v>
      </c>
      <c r="M241" s="214">
        <v>266</v>
      </c>
      <c r="N241" s="214">
        <f>+M241*1000/(29.8*10*13*60)*T241</f>
        <v>3.4331440371708828</v>
      </c>
      <c r="O241" s="214"/>
      <c r="P241" s="214">
        <f t="shared" si="34"/>
        <v>0</v>
      </c>
      <c r="Q241" s="214"/>
      <c r="R241" s="19">
        <f t="shared" si="35"/>
        <v>0</v>
      </c>
      <c r="S241" s="214">
        <f t="shared" si="36"/>
        <v>0</v>
      </c>
      <c r="T241" s="20">
        <v>3</v>
      </c>
      <c r="U241" s="20"/>
      <c r="V241" s="21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12">
        <v>300027</v>
      </c>
      <c r="B242" s="208" t="s">
        <v>55</v>
      </c>
      <c r="C242" s="248" t="s">
        <v>56</v>
      </c>
      <c r="D242" s="248"/>
      <c r="E242" s="216" t="s">
        <v>54</v>
      </c>
      <c r="F242" s="215"/>
      <c r="G242" s="214"/>
      <c r="H242" s="214"/>
      <c r="I242" s="214"/>
      <c r="J242" s="214"/>
      <c r="K242" s="214">
        <f t="shared" si="31"/>
        <v>0</v>
      </c>
      <c r="L242" s="214">
        <f t="shared" si="32"/>
        <v>0</v>
      </c>
      <c r="M242" s="214">
        <v>550.4</v>
      </c>
      <c r="N242" s="214">
        <f>+M242*1000/(31*20*15*60)*T242</f>
        <v>2.9591397849462364</v>
      </c>
      <c r="O242" s="214"/>
      <c r="P242" s="214">
        <f t="shared" si="34"/>
        <v>0</v>
      </c>
      <c r="Q242" s="214"/>
      <c r="R242" s="19">
        <f t="shared" si="35"/>
        <v>0</v>
      </c>
      <c r="S242" s="214">
        <f t="shared" si="36"/>
        <v>0</v>
      </c>
      <c r="T242" s="20">
        <v>3</v>
      </c>
      <c r="U242" s="20"/>
      <c r="V242" s="21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12">
        <v>300028</v>
      </c>
      <c r="B243" s="208" t="s">
        <v>55</v>
      </c>
      <c r="C243" s="248" t="s">
        <v>56</v>
      </c>
      <c r="D243" s="248"/>
      <c r="E243" s="216" t="s">
        <v>35</v>
      </c>
      <c r="F243" s="215"/>
      <c r="G243" s="214"/>
      <c r="H243" s="214"/>
      <c r="I243" s="214"/>
      <c r="J243" s="214"/>
      <c r="K243" s="214">
        <f t="shared" si="31"/>
        <v>0</v>
      </c>
      <c r="L243" s="214">
        <f t="shared" si="32"/>
        <v>0</v>
      </c>
      <c r="M243" s="214">
        <v>550.4</v>
      </c>
      <c r="N243" s="214">
        <f>+M243*1000/(31*20*15*60)*T243</f>
        <v>2.9591397849462364</v>
      </c>
      <c r="O243" s="214"/>
      <c r="P243" s="214">
        <f t="shared" si="34"/>
        <v>0</v>
      </c>
      <c r="Q243" s="214"/>
      <c r="R243" s="19">
        <f t="shared" si="35"/>
        <v>0</v>
      </c>
      <c r="S243" s="214">
        <f t="shared" si="36"/>
        <v>0</v>
      </c>
      <c r="T243" s="20">
        <v>3</v>
      </c>
      <c r="U243" s="20"/>
      <c r="V243" s="21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12">
        <v>300029</v>
      </c>
      <c r="B244" s="208" t="s">
        <v>55</v>
      </c>
      <c r="C244" s="248" t="s">
        <v>56</v>
      </c>
      <c r="D244" s="248"/>
      <c r="E244" s="216" t="s">
        <v>57</v>
      </c>
      <c r="F244" s="215"/>
      <c r="G244" s="214"/>
      <c r="H244" s="214"/>
      <c r="I244" s="214"/>
      <c r="J244" s="214"/>
      <c r="K244" s="214">
        <f t="shared" si="31"/>
        <v>0</v>
      </c>
      <c r="L244" s="214">
        <f t="shared" si="32"/>
        <v>0</v>
      </c>
      <c r="M244" s="214">
        <v>550.4</v>
      </c>
      <c r="N244" s="214">
        <f>+M244*1000/(31*20*15*60)*T244</f>
        <v>2.9591397849462364</v>
      </c>
      <c r="O244" s="214"/>
      <c r="P244" s="214">
        <f t="shared" si="34"/>
        <v>0</v>
      </c>
      <c r="Q244" s="214"/>
      <c r="R244" s="19">
        <f t="shared" si="35"/>
        <v>0</v>
      </c>
      <c r="S244" s="214">
        <f t="shared" si="36"/>
        <v>0</v>
      </c>
      <c r="T244" s="20">
        <v>3</v>
      </c>
      <c r="U244" s="20"/>
      <c r="V244" s="21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12">
        <v>300026</v>
      </c>
      <c r="B245" s="208" t="s">
        <v>55</v>
      </c>
      <c r="C245" s="248" t="s">
        <v>56</v>
      </c>
      <c r="D245" s="248"/>
      <c r="E245" s="216" t="s">
        <v>37</v>
      </c>
      <c r="F245" s="215"/>
      <c r="G245" s="214"/>
      <c r="H245" s="214"/>
      <c r="I245" s="214"/>
      <c r="J245" s="214"/>
      <c r="K245" s="214">
        <f t="shared" si="31"/>
        <v>0</v>
      </c>
      <c r="L245" s="214">
        <f t="shared" si="32"/>
        <v>0</v>
      </c>
      <c r="M245" s="214">
        <v>550.4</v>
      </c>
      <c r="N245" s="214">
        <f>+M245*1000/(31*20*15*60)*T245</f>
        <v>2.9591397849462364</v>
      </c>
      <c r="O245" s="214"/>
      <c r="P245" s="214">
        <f t="shared" si="34"/>
        <v>0</v>
      </c>
      <c r="Q245" s="214"/>
      <c r="R245" s="19">
        <f t="shared" si="35"/>
        <v>0</v>
      </c>
      <c r="S245" s="214">
        <f t="shared" si="36"/>
        <v>0</v>
      </c>
      <c r="T245" s="20">
        <v>3</v>
      </c>
      <c r="U245" s="20"/>
      <c r="V245" s="21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12">
        <v>300032</v>
      </c>
      <c r="B246" s="208">
        <v>3002</v>
      </c>
      <c r="C246" s="248" t="s">
        <v>58</v>
      </c>
      <c r="D246" s="248" t="s">
        <v>59</v>
      </c>
      <c r="E246" s="216" t="s">
        <v>35</v>
      </c>
      <c r="F246" s="215"/>
      <c r="G246" s="214"/>
      <c r="H246" s="214"/>
      <c r="I246" s="214"/>
      <c r="J246" s="214"/>
      <c r="K246" s="214">
        <f t="shared" si="31"/>
        <v>0</v>
      </c>
      <c r="L246" s="214">
        <f t="shared" si="32"/>
        <v>0</v>
      </c>
      <c r="M246" s="214">
        <v>285.7</v>
      </c>
      <c r="N246" s="214">
        <f>+M246*1000/(31*10*13*60)*T246</f>
        <v>7.0893300248138953</v>
      </c>
      <c r="O246" s="214"/>
      <c r="P246" s="214">
        <f t="shared" si="34"/>
        <v>0</v>
      </c>
      <c r="Q246" s="214"/>
      <c r="R246" s="19">
        <f t="shared" si="35"/>
        <v>0</v>
      </c>
      <c r="S246" s="214">
        <f t="shared" si="36"/>
        <v>0</v>
      </c>
      <c r="T246" s="20">
        <v>6</v>
      </c>
      <c r="U246" s="20"/>
      <c r="V246" s="21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12">
        <v>300413</v>
      </c>
      <c r="B247" s="208">
        <v>3002</v>
      </c>
      <c r="C247" s="259" t="s">
        <v>304</v>
      </c>
      <c r="D247" s="260"/>
      <c r="E247" s="216" t="s">
        <v>302</v>
      </c>
      <c r="F247" s="27"/>
      <c r="G247" s="110"/>
      <c r="H247" s="110"/>
      <c r="I247" s="110"/>
      <c r="J247" s="110"/>
      <c r="K247" s="214">
        <f t="shared" si="31"/>
        <v>0</v>
      </c>
      <c r="L247" s="214">
        <f t="shared" si="32"/>
        <v>0</v>
      </c>
      <c r="M247" s="214">
        <v>528.79999999999995</v>
      </c>
      <c r="N247" s="214">
        <f>+M247*1000/(31*10*13*60)*T247</f>
        <v>6.5607940446650126</v>
      </c>
      <c r="O247" s="214"/>
      <c r="P247" s="214">
        <f t="shared" si="34"/>
        <v>0</v>
      </c>
      <c r="Q247" s="214"/>
      <c r="R247" s="19">
        <f t="shared" si="35"/>
        <v>0</v>
      </c>
      <c r="S247" s="214">
        <f t="shared" si="36"/>
        <v>0</v>
      </c>
      <c r="T247" s="20">
        <v>3</v>
      </c>
      <c r="U247" s="20"/>
      <c r="V247" s="213"/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12">
        <v>300414</v>
      </c>
      <c r="B248" s="208">
        <v>3002</v>
      </c>
      <c r="C248" s="259" t="s">
        <v>304</v>
      </c>
      <c r="D248" s="260"/>
      <c r="E248" s="216" t="s">
        <v>299</v>
      </c>
      <c r="F248" s="27"/>
      <c r="G248" s="110"/>
      <c r="H248" s="110"/>
      <c r="I248" s="110"/>
      <c r="J248" s="110"/>
      <c r="K248" s="214">
        <f t="shared" si="31"/>
        <v>0</v>
      </c>
      <c r="L248" s="214">
        <f t="shared" si="32"/>
        <v>0</v>
      </c>
      <c r="M248" s="214">
        <v>528.79999999999995</v>
      </c>
      <c r="N248" s="214">
        <f>+M248*1000/(31*10*13*60)*T248</f>
        <v>6.5607940446650126</v>
      </c>
      <c r="O248" s="214"/>
      <c r="P248" s="214">
        <f t="shared" si="34"/>
        <v>0</v>
      </c>
      <c r="Q248" s="214"/>
      <c r="R248" s="19">
        <f t="shared" si="35"/>
        <v>0</v>
      </c>
      <c r="S248" s="214">
        <f t="shared" si="36"/>
        <v>0</v>
      </c>
      <c r="T248" s="20">
        <v>3</v>
      </c>
      <c r="U248" s="20"/>
      <c r="V248" s="213"/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12">
        <v>300415</v>
      </c>
      <c r="B249" s="208">
        <v>3002</v>
      </c>
      <c r="C249" s="259" t="s">
        <v>304</v>
      </c>
      <c r="D249" s="260"/>
      <c r="E249" s="216" t="s">
        <v>303</v>
      </c>
      <c r="F249" s="27"/>
      <c r="G249" s="110"/>
      <c r="H249" s="110"/>
      <c r="I249" s="110"/>
      <c r="J249" s="110"/>
      <c r="K249" s="214">
        <f t="shared" si="31"/>
        <v>0</v>
      </c>
      <c r="L249" s="214">
        <f t="shared" si="32"/>
        <v>0</v>
      </c>
      <c r="M249" s="214">
        <v>528.79999999999995</v>
      </c>
      <c r="N249" s="214">
        <f>+M249*1000/(31*10*13*60)*T249</f>
        <v>6.5607940446650126</v>
      </c>
      <c r="O249" s="214"/>
      <c r="P249" s="214">
        <f t="shared" si="34"/>
        <v>0</v>
      </c>
      <c r="Q249" s="214"/>
      <c r="R249" s="19">
        <f t="shared" si="35"/>
        <v>0</v>
      </c>
      <c r="S249" s="214">
        <f t="shared" si="36"/>
        <v>0</v>
      </c>
      <c r="T249" s="20">
        <v>3</v>
      </c>
      <c r="U249" s="20"/>
      <c r="V249" s="21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12">
        <v>300035</v>
      </c>
      <c r="B250" s="208" t="s">
        <v>60</v>
      </c>
      <c r="C250" s="248" t="s">
        <v>61</v>
      </c>
      <c r="D250" s="248" t="s">
        <v>62</v>
      </c>
      <c r="E250" s="216" t="s">
        <v>35</v>
      </c>
      <c r="F250" s="215"/>
      <c r="G250" s="214"/>
      <c r="H250" s="214"/>
      <c r="I250" s="214"/>
      <c r="J250" s="214"/>
      <c r="K250" s="214">
        <f t="shared" si="31"/>
        <v>0</v>
      </c>
      <c r="L250" s="214">
        <f t="shared" si="32"/>
        <v>0</v>
      </c>
      <c r="M250" s="214">
        <v>366.93</v>
      </c>
      <c r="N250" s="214">
        <f>+M250*1000/(35.8*10*13*60)*T250</f>
        <v>2.6280618822518265</v>
      </c>
      <c r="O250" s="214"/>
      <c r="P250" s="214">
        <f t="shared" si="34"/>
        <v>0</v>
      </c>
      <c r="Q250" s="214"/>
      <c r="R250" s="19">
        <f t="shared" si="35"/>
        <v>0</v>
      </c>
      <c r="S250" s="214">
        <f t="shared" si="36"/>
        <v>0</v>
      </c>
      <c r="T250" s="20">
        <v>2</v>
      </c>
      <c r="U250" s="20"/>
      <c r="V250" s="21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12">
        <v>300036</v>
      </c>
      <c r="B251" s="208" t="s">
        <v>60</v>
      </c>
      <c r="C251" s="248" t="s">
        <v>61</v>
      </c>
      <c r="D251" s="248" t="s">
        <v>62</v>
      </c>
      <c r="E251" s="216" t="s">
        <v>63</v>
      </c>
      <c r="F251" s="215"/>
      <c r="G251" s="214"/>
      <c r="H251" s="214"/>
      <c r="I251" s="214"/>
      <c r="J251" s="214"/>
      <c r="K251" s="214">
        <f t="shared" si="31"/>
        <v>0</v>
      </c>
      <c r="L251" s="214">
        <f t="shared" si="32"/>
        <v>0</v>
      </c>
      <c r="M251" s="214">
        <v>366.93</v>
      </c>
      <c r="N251" s="214">
        <f>+M251*1000/(35.8*10*13*60)*T251</f>
        <v>2.6280618822518265</v>
      </c>
      <c r="O251" s="214"/>
      <c r="P251" s="214">
        <f t="shared" si="34"/>
        <v>0</v>
      </c>
      <c r="Q251" s="214"/>
      <c r="R251" s="19">
        <f t="shared" si="35"/>
        <v>0</v>
      </c>
      <c r="S251" s="214">
        <f t="shared" si="36"/>
        <v>0</v>
      </c>
      <c r="T251" s="20">
        <v>2</v>
      </c>
      <c r="U251" s="20"/>
      <c r="V251" s="21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212">
        <v>300037</v>
      </c>
      <c r="B252" s="208" t="s">
        <v>60</v>
      </c>
      <c r="C252" s="248" t="s">
        <v>61</v>
      </c>
      <c r="D252" s="248" t="s">
        <v>62</v>
      </c>
      <c r="E252" s="216" t="s">
        <v>37</v>
      </c>
      <c r="F252" s="215"/>
      <c r="G252" s="214"/>
      <c r="H252" s="214"/>
      <c r="I252" s="214"/>
      <c r="J252" s="214"/>
      <c r="K252" s="214">
        <f t="shared" si="31"/>
        <v>0</v>
      </c>
      <c r="L252" s="214">
        <f t="shared" si="32"/>
        <v>0</v>
      </c>
      <c r="M252" s="214">
        <v>366.93</v>
      </c>
      <c r="N252" s="214">
        <f>+M252*1000/(35.8*10*13*60)*T252</f>
        <v>2.6280618822518265</v>
      </c>
      <c r="O252" s="214"/>
      <c r="P252" s="214">
        <f t="shared" si="34"/>
        <v>0</v>
      </c>
      <c r="Q252" s="214"/>
      <c r="R252" s="19">
        <f t="shared" si="35"/>
        <v>0</v>
      </c>
      <c r="S252" s="214">
        <f t="shared" si="36"/>
        <v>0</v>
      </c>
      <c r="T252" s="20">
        <v>2</v>
      </c>
      <c r="U252" s="20"/>
      <c r="V252" s="21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212">
        <v>300038</v>
      </c>
      <c r="B253" s="208" t="s">
        <v>60</v>
      </c>
      <c r="C253" s="248" t="s">
        <v>64</v>
      </c>
      <c r="D253" s="248" t="s">
        <v>65</v>
      </c>
      <c r="E253" s="216" t="s">
        <v>35</v>
      </c>
      <c r="F253" s="215"/>
      <c r="G253" s="214"/>
      <c r="H253" s="214"/>
      <c r="I253" s="214"/>
      <c r="J253" s="214"/>
      <c r="K253" s="214">
        <f t="shared" si="31"/>
        <v>0</v>
      </c>
      <c r="L253" s="214">
        <f t="shared" si="32"/>
        <v>0</v>
      </c>
      <c r="M253" s="214">
        <v>301.14</v>
      </c>
      <c r="N253" s="214">
        <f>+M253*1000/(35.8*10*13*60)*T253</f>
        <v>5.3921357971637294</v>
      </c>
      <c r="O253" s="214"/>
      <c r="P253" s="214">
        <f t="shared" si="34"/>
        <v>0</v>
      </c>
      <c r="Q253" s="214"/>
      <c r="R253" s="19">
        <f t="shared" si="35"/>
        <v>0</v>
      </c>
      <c r="S253" s="214">
        <f t="shared" si="36"/>
        <v>0</v>
      </c>
      <c r="T253" s="20">
        <v>5</v>
      </c>
      <c r="U253" s="20"/>
      <c r="V253" s="21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12">
        <v>300039</v>
      </c>
      <c r="B254" s="208" t="s">
        <v>60</v>
      </c>
      <c r="C254" s="248" t="s">
        <v>64</v>
      </c>
      <c r="D254" s="248" t="s">
        <v>65</v>
      </c>
      <c r="E254" s="216" t="s">
        <v>66</v>
      </c>
      <c r="F254" s="215"/>
      <c r="G254" s="214"/>
      <c r="H254" s="214"/>
      <c r="I254" s="214"/>
      <c r="J254" s="214"/>
      <c r="K254" s="214">
        <f t="shared" si="31"/>
        <v>0</v>
      </c>
      <c r="L254" s="214">
        <f t="shared" si="32"/>
        <v>0</v>
      </c>
      <c r="M254" s="214">
        <v>310.39999999999998</v>
      </c>
      <c r="N254" s="214">
        <f>+M254*1000/(35.8*10*13*60)*T254</f>
        <v>5.557942988110586</v>
      </c>
      <c r="O254" s="214"/>
      <c r="P254" s="214">
        <f t="shared" si="34"/>
        <v>0</v>
      </c>
      <c r="Q254" s="214"/>
      <c r="R254" s="19">
        <f t="shared" si="35"/>
        <v>0</v>
      </c>
      <c r="S254" s="214">
        <f t="shared" si="36"/>
        <v>0</v>
      </c>
      <c r="T254" s="20">
        <v>5</v>
      </c>
      <c r="U254" s="20"/>
      <c r="V254" s="21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12">
        <v>300416</v>
      </c>
      <c r="B255" s="208" t="s">
        <v>67</v>
      </c>
      <c r="C255" s="259" t="s">
        <v>68</v>
      </c>
      <c r="D255" s="260"/>
      <c r="E255" s="216" t="s">
        <v>69</v>
      </c>
      <c r="F255" s="215"/>
      <c r="G255" s="14"/>
      <c r="H255" s="14"/>
      <c r="I255" s="14"/>
      <c r="J255" s="14"/>
      <c r="K255" s="214">
        <f t="shared" si="31"/>
        <v>0</v>
      </c>
      <c r="L255" s="214">
        <f t="shared" si="32"/>
        <v>0</v>
      </c>
      <c r="M255" s="214">
        <v>385.6</v>
      </c>
      <c r="N255" s="214">
        <f>+M255*1000/(25.4*20*15*60)*T255</f>
        <v>2.5301837270341205</v>
      </c>
      <c r="O255" s="214"/>
      <c r="P255" s="214">
        <f t="shared" si="34"/>
        <v>0</v>
      </c>
      <c r="Q255" s="214"/>
      <c r="R255" s="19">
        <f t="shared" si="35"/>
        <v>0</v>
      </c>
      <c r="S255" s="214">
        <f t="shared" si="36"/>
        <v>0</v>
      </c>
      <c r="T255" s="20">
        <v>3</v>
      </c>
      <c r="U255" s="20"/>
      <c r="V255" s="21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12">
        <v>300417</v>
      </c>
      <c r="B256" s="208" t="s">
        <v>67</v>
      </c>
      <c r="C256" s="259" t="s">
        <v>68</v>
      </c>
      <c r="D256" s="260"/>
      <c r="E256" s="216" t="s">
        <v>70</v>
      </c>
      <c r="F256" s="215"/>
      <c r="G256" s="14"/>
      <c r="H256" s="14"/>
      <c r="I256" s="14"/>
      <c r="J256" s="14"/>
      <c r="K256" s="214">
        <f t="shared" si="31"/>
        <v>0</v>
      </c>
      <c r="L256" s="214">
        <f t="shared" si="32"/>
        <v>0</v>
      </c>
      <c r="M256" s="214">
        <v>385.6</v>
      </c>
      <c r="N256" s="214">
        <f>+M256*1000/(25.4*20*15*60)*T256</f>
        <v>2.5301837270341205</v>
      </c>
      <c r="O256" s="214"/>
      <c r="P256" s="214">
        <f t="shared" si="34"/>
        <v>0</v>
      </c>
      <c r="Q256" s="214"/>
      <c r="R256" s="19">
        <f t="shared" si="35"/>
        <v>0</v>
      </c>
      <c r="S256" s="214">
        <f t="shared" si="36"/>
        <v>0</v>
      </c>
      <c r="T256" s="20">
        <v>3</v>
      </c>
      <c r="U256" s="20"/>
      <c r="V256" s="21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12">
        <v>300418</v>
      </c>
      <c r="B257" s="208" t="s">
        <v>67</v>
      </c>
      <c r="C257" s="259" t="s">
        <v>68</v>
      </c>
      <c r="D257" s="260"/>
      <c r="E257" s="216" t="s">
        <v>71</v>
      </c>
      <c r="F257" s="215"/>
      <c r="G257" s="14"/>
      <c r="H257" s="14"/>
      <c r="I257" s="14"/>
      <c r="J257" s="14"/>
      <c r="K257" s="214">
        <f t="shared" si="31"/>
        <v>0</v>
      </c>
      <c r="L257" s="214">
        <f t="shared" si="32"/>
        <v>0</v>
      </c>
      <c r="M257" s="214">
        <v>385.6</v>
      </c>
      <c r="N257" s="214">
        <f>+M257*1000/(25.4*20*15*60)*T257</f>
        <v>2.5301837270341205</v>
      </c>
      <c r="O257" s="214"/>
      <c r="P257" s="214">
        <f t="shared" si="34"/>
        <v>0</v>
      </c>
      <c r="Q257" s="214"/>
      <c r="R257" s="19">
        <f t="shared" si="35"/>
        <v>0</v>
      </c>
      <c r="S257" s="214">
        <f t="shared" si="36"/>
        <v>0</v>
      </c>
      <c r="T257" s="20">
        <v>3</v>
      </c>
      <c r="U257" s="20"/>
      <c r="V257" s="21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12">
        <v>300419</v>
      </c>
      <c r="B258" s="208" t="s">
        <v>67</v>
      </c>
      <c r="C258" s="259" t="s">
        <v>68</v>
      </c>
      <c r="D258" s="260"/>
      <c r="E258" s="216" t="s">
        <v>72</v>
      </c>
      <c r="F258" s="215"/>
      <c r="G258" s="14"/>
      <c r="H258" s="14"/>
      <c r="I258" s="14"/>
      <c r="J258" s="14"/>
      <c r="K258" s="214">
        <f t="shared" si="31"/>
        <v>0</v>
      </c>
      <c r="L258" s="214">
        <f t="shared" si="32"/>
        <v>0</v>
      </c>
      <c r="M258" s="214">
        <v>385.6</v>
      </c>
      <c r="N258" s="214">
        <f>+M258*1000/(25.4*20*15*60)*T258</f>
        <v>2.5301837270341205</v>
      </c>
      <c r="O258" s="214"/>
      <c r="P258" s="214">
        <f t="shared" si="34"/>
        <v>0</v>
      </c>
      <c r="Q258" s="214"/>
      <c r="R258" s="19">
        <f t="shared" si="35"/>
        <v>0</v>
      </c>
      <c r="S258" s="214">
        <f t="shared" si="36"/>
        <v>0</v>
      </c>
      <c r="T258" s="20">
        <v>3</v>
      </c>
      <c r="U258" s="20"/>
      <c r="V258" s="21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12">
        <v>300260</v>
      </c>
      <c r="B259" s="208" t="s">
        <v>67</v>
      </c>
      <c r="C259" s="248" t="s">
        <v>73</v>
      </c>
      <c r="D259" s="248"/>
      <c r="E259" s="216" t="s">
        <v>74</v>
      </c>
      <c r="F259" s="215"/>
      <c r="G259" s="214"/>
      <c r="H259" s="214"/>
      <c r="I259" s="214"/>
      <c r="J259" s="214"/>
      <c r="K259" s="214">
        <f t="shared" si="31"/>
        <v>0</v>
      </c>
      <c r="L259" s="214">
        <f t="shared" si="32"/>
        <v>0</v>
      </c>
      <c r="M259" s="214">
        <v>434.33</v>
      </c>
      <c r="N259" s="214">
        <f>+M259*1000/(42.7*10*15*60)*T259</f>
        <v>2.2603695029924538</v>
      </c>
      <c r="O259" s="214"/>
      <c r="P259" s="214">
        <f t="shared" si="34"/>
        <v>0</v>
      </c>
      <c r="Q259" s="214"/>
      <c r="R259" s="19">
        <f t="shared" si="35"/>
        <v>0</v>
      </c>
      <c r="S259" s="214">
        <f t="shared" si="36"/>
        <v>0</v>
      </c>
      <c r="T259" s="20">
        <v>2</v>
      </c>
      <c r="U259" s="20"/>
      <c r="V259" s="21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12">
        <v>300261</v>
      </c>
      <c r="B260" s="208" t="s">
        <v>67</v>
      </c>
      <c r="C260" s="248" t="s">
        <v>73</v>
      </c>
      <c r="D260" s="248"/>
      <c r="E260" s="216" t="s">
        <v>41</v>
      </c>
      <c r="F260" s="215"/>
      <c r="G260" s="214"/>
      <c r="H260" s="214"/>
      <c r="I260" s="214"/>
      <c r="J260" s="214"/>
      <c r="K260" s="214">
        <f t="shared" si="31"/>
        <v>0</v>
      </c>
      <c r="L260" s="214">
        <f t="shared" si="32"/>
        <v>0</v>
      </c>
      <c r="M260" s="214">
        <v>434.33</v>
      </c>
      <c r="N260" s="214">
        <f>+M260*1000/(42.7*10*15*60)*T260</f>
        <v>2.2603695029924538</v>
      </c>
      <c r="O260" s="214"/>
      <c r="P260" s="214">
        <f t="shared" si="34"/>
        <v>0</v>
      </c>
      <c r="Q260" s="214"/>
      <c r="R260" s="19">
        <f t="shared" si="35"/>
        <v>0</v>
      </c>
      <c r="S260" s="214">
        <f t="shared" si="36"/>
        <v>0</v>
      </c>
      <c r="T260" s="20">
        <v>2</v>
      </c>
      <c r="U260" s="20"/>
      <c r="V260" s="21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12">
        <v>300262</v>
      </c>
      <c r="B261" s="208" t="s">
        <v>67</v>
      </c>
      <c r="C261" s="248" t="s">
        <v>73</v>
      </c>
      <c r="D261" s="248"/>
      <c r="E261" s="216" t="s">
        <v>39</v>
      </c>
      <c r="F261" s="215"/>
      <c r="G261" s="214"/>
      <c r="H261" s="214"/>
      <c r="I261" s="214"/>
      <c r="J261" s="214"/>
      <c r="K261" s="214">
        <f t="shared" si="31"/>
        <v>0</v>
      </c>
      <c r="L261" s="214">
        <f t="shared" si="32"/>
        <v>0</v>
      </c>
      <c r="M261" s="214">
        <v>434.33</v>
      </c>
      <c r="N261" s="214">
        <f>+M261*1000/(42.7*10*15*60)*T261</f>
        <v>2.2603695029924538</v>
      </c>
      <c r="O261" s="214"/>
      <c r="P261" s="214">
        <f t="shared" si="34"/>
        <v>0</v>
      </c>
      <c r="Q261" s="214"/>
      <c r="R261" s="19">
        <f t="shared" si="35"/>
        <v>0</v>
      </c>
      <c r="S261" s="214">
        <f t="shared" si="36"/>
        <v>0</v>
      </c>
      <c r="T261" s="20">
        <v>2</v>
      </c>
      <c r="U261" s="20"/>
      <c r="V261" s="21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12">
        <v>300263</v>
      </c>
      <c r="B262" s="208" t="s">
        <v>67</v>
      </c>
      <c r="C262" s="248" t="s">
        <v>73</v>
      </c>
      <c r="D262" s="248"/>
      <c r="E262" s="216" t="s">
        <v>54</v>
      </c>
      <c r="F262" s="215"/>
      <c r="G262" s="214"/>
      <c r="H262" s="214"/>
      <c r="I262" s="214"/>
      <c r="J262" s="214"/>
      <c r="K262" s="214">
        <f t="shared" si="31"/>
        <v>0</v>
      </c>
      <c r="L262" s="214">
        <f t="shared" si="32"/>
        <v>0</v>
      </c>
      <c r="M262" s="214">
        <v>434.33</v>
      </c>
      <c r="N262" s="214">
        <f>+M262*1000/(42.7*10*15*60)*T262</f>
        <v>2.2603695029924538</v>
      </c>
      <c r="O262" s="214"/>
      <c r="P262" s="214">
        <f t="shared" si="34"/>
        <v>0</v>
      </c>
      <c r="Q262" s="214"/>
      <c r="R262" s="19">
        <f t="shared" si="35"/>
        <v>0</v>
      </c>
      <c r="S262" s="214">
        <f t="shared" si="36"/>
        <v>0</v>
      </c>
      <c r="T262" s="20">
        <v>2</v>
      </c>
      <c r="U262" s="20"/>
      <c r="V262" s="21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212">
        <v>300051</v>
      </c>
      <c r="B263" s="208">
        <v>4503</v>
      </c>
      <c r="C263" s="248" t="s">
        <v>75</v>
      </c>
      <c r="D263" s="248" t="s">
        <v>76</v>
      </c>
      <c r="E263" s="216" t="s">
        <v>40</v>
      </c>
      <c r="F263" s="215">
        <v>1532</v>
      </c>
      <c r="G263" s="214">
        <v>2.12</v>
      </c>
      <c r="H263" s="214">
        <v>0.12</v>
      </c>
      <c r="I263" s="214">
        <f>2+H263</f>
        <v>2.12</v>
      </c>
      <c r="J263" s="214"/>
      <c r="K263" s="214">
        <f t="shared" si="31"/>
        <v>1157.308</v>
      </c>
      <c r="L263" s="214">
        <f t="shared" si="32"/>
        <v>1157.308</v>
      </c>
      <c r="M263" s="214">
        <v>545.9</v>
      </c>
      <c r="N263" s="214">
        <f>+M263*1000/(41.5*10*16*60)*T263</f>
        <v>2.7404618473895583</v>
      </c>
      <c r="O263" s="214"/>
      <c r="P263" s="214">
        <f t="shared" si="34"/>
        <v>5.8097791164658643</v>
      </c>
      <c r="Q263" s="214">
        <v>4.5</v>
      </c>
      <c r="R263" s="19">
        <f t="shared" si="35"/>
        <v>9</v>
      </c>
      <c r="S263" s="214">
        <f t="shared" si="36"/>
        <v>3.1902208835341357</v>
      </c>
      <c r="T263" s="22">
        <v>2</v>
      </c>
      <c r="U263" s="20">
        <v>2</v>
      </c>
      <c r="V263" s="213">
        <f t="array" ref="V263">IF(ISERROR(L263/K263),"",L263/K263)</f>
        <v>1</v>
      </c>
      <c r="W263" s="20"/>
      <c r="X263" s="20">
        <v>1.5</v>
      </c>
      <c r="Y263" s="20"/>
      <c r="Z263" s="20"/>
      <c r="AA263" s="20"/>
      <c r="AB263" s="20"/>
      <c r="AC263" s="20"/>
    </row>
    <row r="264" spans="1:29" s="2" customFormat="1" ht="21.95" customHeight="1">
      <c r="A264" s="212">
        <v>300052</v>
      </c>
      <c r="B264" s="208">
        <v>4503</v>
      </c>
      <c r="C264" s="248" t="s">
        <v>75</v>
      </c>
      <c r="D264" s="248" t="s">
        <v>76</v>
      </c>
      <c r="E264" s="216" t="s">
        <v>39</v>
      </c>
      <c r="F264" s="215">
        <v>1531</v>
      </c>
      <c r="G264" s="214">
        <v>6</v>
      </c>
      <c r="H264" s="214"/>
      <c r="I264" s="214">
        <f>6-J264/500</f>
        <v>5.9</v>
      </c>
      <c r="J264" s="214">
        <v>50</v>
      </c>
      <c r="K264" s="214">
        <f t="shared" si="31"/>
        <v>3275.3999999999996</v>
      </c>
      <c r="L264" s="214">
        <f t="shared" si="32"/>
        <v>3220.81</v>
      </c>
      <c r="M264" s="214">
        <v>545.9</v>
      </c>
      <c r="N264" s="214">
        <f>+M264*1000/(41.5*10*16*60)*T264</f>
        <v>2.7404618473895583</v>
      </c>
      <c r="O264" s="214">
        <v>0.5</v>
      </c>
      <c r="P264" s="214">
        <f t="shared" si="34"/>
        <v>17.168724899598395</v>
      </c>
      <c r="Q264" s="214">
        <v>6.5</v>
      </c>
      <c r="R264" s="19">
        <f t="shared" si="35"/>
        <v>13</v>
      </c>
      <c r="S264" s="214">
        <f t="shared" si="36"/>
        <v>-4.168724899598395</v>
      </c>
      <c r="T264" s="20">
        <v>2</v>
      </c>
      <c r="U264" s="20">
        <v>2</v>
      </c>
      <c r="V264" s="213">
        <f t="array" ref="V264">IF(ISERROR(L264/K264),"",L264/K264)</f>
        <v>0.98333333333333339</v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212">
        <v>300054</v>
      </c>
      <c r="B265" s="208" t="s">
        <v>67</v>
      </c>
      <c r="C265" s="248" t="s">
        <v>75</v>
      </c>
      <c r="D265" s="248" t="s">
        <v>76</v>
      </c>
      <c r="E265" s="216" t="s">
        <v>38</v>
      </c>
      <c r="F265" s="215"/>
      <c r="G265" s="214"/>
      <c r="H265" s="214"/>
      <c r="I265" s="214"/>
      <c r="J265" s="214"/>
      <c r="K265" s="214">
        <f t="shared" si="31"/>
        <v>0</v>
      </c>
      <c r="L265" s="214">
        <f t="shared" si="32"/>
        <v>0</v>
      </c>
      <c r="M265" s="214">
        <v>545.9</v>
      </c>
      <c r="N265" s="214">
        <f>+M265*1000/(41.5*10*16*60)*T265</f>
        <v>2.7404618473895583</v>
      </c>
      <c r="O265" s="214"/>
      <c r="P265" s="214">
        <f t="shared" si="34"/>
        <v>0</v>
      </c>
      <c r="Q265" s="214"/>
      <c r="R265" s="19">
        <f t="shared" si="35"/>
        <v>0</v>
      </c>
      <c r="S265" s="214">
        <f t="shared" si="36"/>
        <v>0</v>
      </c>
      <c r="T265" s="20">
        <v>2</v>
      </c>
      <c r="U265" s="20"/>
      <c r="V265" s="21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2" customFormat="1" ht="21.95" hidden="1" customHeight="1">
      <c r="A266" s="212">
        <v>300436</v>
      </c>
      <c r="B266" s="208" t="s">
        <v>67</v>
      </c>
      <c r="C266" s="248" t="s">
        <v>75</v>
      </c>
      <c r="D266" s="248" t="s">
        <v>76</v>
      </c>
      <c r="E266" s="216" t="s">
        <v>309</v>
      </c>
      <c r="F266" s="27"/>
      <c r="G266" s="110"/>
      <c r="H266" s="110"/>
      <c r="I266" s="110"/>
      <c r="J266" s="110"/>
      <c r="K266" s="214">
        <f t="shared" si="31"/>
        <v>0</v>
      </c>
      <c r="L266" s="214">
        <f t="shared" si="32"/>
        <v>0</v>
      </c>
      <c r="M266" s="214">
        <v>545.9</v>
      </c>
      <c r="N266" s="214">
        <f>+M266*1000/(41.5*10*16*60)*T266</f>
        <v>2.7404618473895583</v>
      </c>
      <c r="O266" s="214"/>
      <c r="P266" s="214">
        <f t="shared" si="34"/>
        <v>0</v>
      </c>
      <c r="Q266" s="214"/>
      <c r="R266" s="19">
        <f t="shared" si="35"/>
        <v>0</v>
      </c>
      <c r="S266" s="214">
        <f t="shared" si="36"/>
        <v>0</v>
      </c>
      <c r="T266" s="20">
        <v>2</v>
      </c>
      <c r="U266" s="20"/>
      <c r="V266" s="213"/>
      <c r="W266" s="20"/>
      <c r="X266" s="20"/>
      <c r="Y266" s="20"/>
      <c r="Z266" s="20"/>
      <c r="AA266" s="20"/>
      <c r="AB266" s="20"/>
      <c r="AC266" s="20"/>
    </row>
    <row r="267" spans="1:29" s="2" customFormat="1" ht="21.95" hidden="1" customHeight="1">
      <c r="A267" s="212">
        <v>300050</v>
      </c>
      <c r="B267" s="208" t="s">
        <v>67</v>
      </c>
      <c r="C267" s="248" t="s">
        <v>77</v>
      </c>
      <c r="D267" s="248" t="s">
        <v>78</v>
      </c>
      <c r="E267" s="216" t="s">
        <v>79</v>
      </c>
      <c r="F267" s="215"/>
      <c r="G267" s="214"/>
      <c r="H267" s="214"/>
      <c r="I267" s="214"/>
      <c r="J267" s="214"/>
      <c r="K267" s="214">
        <f t="shared" si="31"/>
        <v>0</v>
      </c>
      <c r="L267" s="214">
        <f t="shared" si="32"/>
        <v>0</v>
      </c>
      <c r="M267" s="214">
        <v>427.5</v>
      </c>
      <c r="N267" s="214">
        <f>+M267*1000/(45*10*14*60)*T267</f>
        <v>5.6547619047619051</v>
      </c>
      <c r="O267" s="214"/>
      <c r="P267" s="214">
        <f t="shared" si="34"/>
        <v>0</v>
      </c>
      <c r="Q267" s="214"/>
      <c r="R267" s="19">
        <f t="shared" si="35"/>
        <v>0</v>
      </c>
      <c r="S267" s="214">
        <f t="shared" si="36"/>
        <v>0</v>
      </c>
      <c r="T267" s="20">
        <v>5</v>
      </c>
      <c r="U267" s="20"/>
      <c r="V267" s="21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212">
        <v>300045</v>
      </c>
      <c r="B268" s="208" t="s">
        <v>67</v>
      </c>
      <c r="C268" s="248" t="s">
        <v>77</v>
      </c>
      <c r="D268" s="248" t="s">
        <v>78</v>
      </c>
      <c r="E268" s="216" t="s">
        <v>35</v>
      </c>
      <c r="F268" s="215"/>
      <c r="G268" s="214"/>
      <c r="H268" s="214"/>
      <c r="I268" s="214"/>
      <c r="J268" s="214"/>
      <c r="K268" s="214">
        <f t="shared" si="31"/>
        <v>0</v>
      </c>
      <c r="L268" s="214">
        <f t="shared" si="32"/>
        <v>0</v>
      </c>
      <c r="M268" s="214">
        <v>406.6</v>
      </c>
      <c r="N268" s="214">
        <f>+M268*1000/(45*10*13*60)*T268</f>
        <v>5.7920227920227916</v>
      </c>
      <c r="O268" s="214"/>
      <c r="P268" s="214">
        <f t="shared" si="34"/>
        <v>0</v>
      </c>
      <c r="Q268" s="214"/>
      <c r="R268" s="19">
        <f t="shared" si="35"/>
        <v>0</v>
      </c>
      <c r="S268" s="214">
        <f t="shared" si="36"/>
        <v>0</v>
      </c>
      <c r="T268" s="20">
        <v>5</v>
      </c>
      <c r="U268" s="20"/>
      <c r="V268" s="21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212">
        <v>300422</v>
      </c>
      <c r="B269" s="208" t="s">
        <v>67</v>
      </c>
      <c r="C269" s="259" t="s">
        <v>301</v>
      </c>
      <c r="D269" s="260"/>
      <c r="E269" s="216" t="s">
        <v>54</v>
      </c>
      <c r="F269" s="215"/>
      <c r="G269" s="110"/>
      <c r="H269" s="110"/>
      <c r="I269" s="110"/>
      <c r="J269" s="110"/>
      <c r="K269" s="214">
        <f t="shared" si="31"/>
        <v>0</v>
      </c>
      <c r="L269" s="214">
        <f t="shared" si="32"/>
        <v>0</v>
      </c>
      <c r="M269" s="214">
        <v>429.8</v>
      </c>
      <c r="N269" s="214">
        <f>+M269*1000/(45*10*13*60)*T269</f>
        <v>3.6735042735042738</v>
      </c>
      <c r="O269" s="214"/>
      <c r="P269" s="214">
        <f t="shared" si="34"/>
        <v>0</v>
      </c>
      <c r="Q269" s="214"/>
      <c r="R269" s="19">
        <f t="shared" si="35"/>
        <v>0</v>
      </c>
      <c r="S269" s="214">
        <f t="shared" si="36"/>
        <v>0</v>
      </c>
      <c r="T269" s="20">
        <v>3</v>
      </c>
      <c r="U269" s="20"/>
      <c r="V269" s="21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212">
        <v>300421</v>
      </c>
      <c r="B270" s="208" t="s">
        <v>67</v>
      </c>
      <c r="C270" s="259" t="s">
        <v>301</v>
      </c>
      <c r="D270" s="260"/>
      <c r="E270" s="216" t="s">
        <v>80</v>
      </c>
      <c r="F270" s="215"/>
      <c r="G270" s="110"/>
      <c r="H270" s="110"/>
      <c r="I270" s="110"/>
      <c r="J270" s="110"/>
      <c r="K270" s="214">
        <f t="shared" si="31"/>
        <v>0</v>
      </c>
      <c r="L270" s="214">
        <f t="shared" si="32"/>
        <v>0</v>
      </c>
      <c r="M270" s="214">
        <v>429.8</v>
      </c>
      <c r="N270" s="214">
        <f>+M270*1000/(45*10*13*60)*T270</f>
        <v>3.6735042735042738</v>
      </c>
      <c r="O270" s="214"/>
      <c r="P270" s="214">
        <f t="shared" si="34"/>
        <v>0</v>
      </c>
      <c r="Q270" s="214"/>
      <c r="R270" s="19">
        <f t="shared" si="35"/>
        <v>0</v>
      </c>
      <c r="S270" s="214">
        <f t="shared" si="36"/>
        <v>0</v>
      </c>
      <c r="T270" s="20">
        <v>3</v>
      </c>
      <c r="U270" s="20"/>
      <c r="V270" s="21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212">
        <v>300149</v>
      </c>
      <c r="B271" s="208" t="s">
        <v>67</v>
      </c>
      <c r="C271" s="248" t="s">
        <v>81</v>
      </c>
      <c r="D271" s="248" t="s">
        <v>82</v>
      </c>
      <c r="E271" s="216" t="s">
        <v>80</v>
      </c>
      <c r="F271" s="215"/>
      <c r="G271" s="214"/>
      <c r="H271" s="214"/>
      <c r="I271" s="214"/>
      <c r="J271" s="214"/>
      <c r="K271" s="214">
        <f t="shared" si="31"/>
        <v>0</v>
      </c>
      <c r="L271" s="214">
        <f t="shared" si="32"/>
        <v>0</v>
      </c>
      <c r="M271" s="214">
        <v>589.1</v>
      </c>
      <c r="N271" s="214">
        <f>+M271*1000/(67.1*10*13*60)*T271</f>
        <v>3.3767052619511633</v>
      </c>
      <c r="O271" s="214"/>
      <c r="P271" s="214">
        <f t="shared" si="34"/>
        <v>0</v>
      </c>
      <c r="Q271" s="214"/>
      <c r="R271" s="19">
        <f t="shared" si="35"/>
        <v>0</v>
      </c>
      <c r="S271" s="214">
        <f t="shared" si="36"/>
        <v>0</v>
      </c>
      <c r="T271" s="20">
        <v>3</v>
      </c>
      <c r="U271" s="20"/>
      <c r="V271" s="21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212">
        <v>300150</v>
      </c>
      <c r="B272" s="208" t="s">
        <v>67</v>
      </c>
      <c r="C272" s="248" t="s">
        <v>81</v>
      </c>
      <c r="D272" s="248" t="s">
        <v>82</v>
      </c>
      <c r="E272" s="216" t="s">
        <v>54</v>
      </c>
      <c r="F272" s="215"/>
      <c r="G272" s="214"/>
      <c r="H272" s="214"/>
      <c r="I272" s="214"/>
      <c r="J272" s="214"/>
      <c r="K272" s="214">
        <f t="shared" si="31"/>
        <v>0</v>
      </c>
      <c r="L272" s="214">
        <f t="shared" si="32"/>
        <v>0</v>
      </c>
      <c r="M272" s="214">
        <v>589.1</v>
      </c>
      <c r="N272" s="214">
        <f>+M272*1000/(67.1*10*13*60)*T272</f>
        <v>3.3767052619511633</v>
      </c>
      <c r="O272" s="214"/>
      <c r="P272" s="214">
        <f t="shared" si="34"/>
        <v>0</v>
      </c>
      <c r="Q272" s="214"/>
      <c r="R272" s="19">
        <f t="shared" si="35"/>
        <v>0</v>
      </c>
      <c r="S272" s="214">
        <f t="shared" si="36"/>
        <v>0</v>
      </c>
      <c r="T272" s="20">
        <v>3</v>
      </c>
      <c r="U272" s="20"/>
      <c r="V272" s="21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212">
        <v>300330</v>
      </c>
      <c r="B273" s="208" t="s">
        <v>67</v>
      </c>
      <c r="C273" s="259" t="s">
        <v>83</v>
      </c>
      <c r="D273" s="260"/>
      <c r="E273" s="216" t="s">
        <v>84</v>
      </c>
      <c r="F273" s="215"/>
      <c r="G273" s="214"/>
      <c r="H273" s="214"/>
      <c r="I273" s="214"/>
      <c r="J273" s="214"/>
      <c r="K273" s="214">
        <f t="shared" si="31"/>
        <v>0</v>
      </c>
      <c r="L273" s="214">
        <f t="shared" si="32"/>
        <v>0</v>
      </c>
      <c r="M273" s="214">
        <v>416.3</v>
      </c>
      <c r="N273" s="214">
        <f t="shared" ref="N273:N278" si="37">+M273*1000/(45*10*18*60)*T273</f>
        <v>1.7131687242798355</v>
      </c>
      <c r="O273" s="214"/>
      <c r="P273" s="214">
        <f t="shared" si="34"/>
        <v>0</v>
      </c>
      <c r="Q273" s="214"/>
      <c r="R273" s="19">
        <f t="shared" si="35"/>
        <v>0</v>
      </c>
      <c r="S273" s="214">
        <f t="shared" si="36"/>
        <v>0</v>
      </c>
      <c r="T273" s="20">
        <v>2</v>
      </c>
      <c r="U273" s="20"/>
      <c r="V273" s="21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212">
        <v>300331</v>
      </c>
      <c r="B274" s="208" t="s">
        <v>67</v>
      </c>
      <c r="C274" s="259" t="s">
        <v>83</v>
      </c>
      <c r="D274" s="260"/>
      <c r="E274" s="216" t="s">
        <v>49</v>
      </c>
      <c r="F274" s="215"/>
      <c r="G274" s="214"/>
      <c r="H274" s="214"/>
      <c r="I274" s="214"/>
      <c r="J274" s="214"/>
      <c r="K274" s="214">
        <f t="shared" si="31"/>
        <v>0</v>
      </c>
      <c r="L274" s="214">
        <f t="shared" si="32"/>
        <v>0</v>
      </c>
      <c r="M274" s="214">
        <v>416.3</v>
      </c>
      <c r="N274" s="214">
        <f t="shared" si="37"/>
        <v>1.7131687242798355</v>
      </c>
      <c r="O274" s="214"/>
      <c r="P274" s="214">
        <f t="shared" si="34"/>
        <v>0</v>
      </c>
      <c r="Q274" s="214"/>
      <c r="R274" s="19">
        <f t="shared" si="35"/>
        <v>0</v>
      </c>
      <c r="S274" s="214">
        <f t="shared" si="36"/>
        <v>0</v>
      </c>
      <c r="T274" s="20">
        <v>2</v>
      </c>
      <c r="U274" s="20"/>
      <c r="V274" s="21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212">
        <v>300332</v>
      </c>
      <c r="B275" s="208" t="s">
        <v>67</v>
      </c>
      <c r="C275" s="259" t="s">
        <v>83</v>
      </c>
      <c r="D275" s="260"/>
      <c r="E275" s="216" t="s">
        <v>85</v>
      </c>
      <c r="F275" s="215"/>
      <c r="G275" s="214"/>
      <c r="H275" s="214"/>
      <c r="I275" s="214"/>
      <c r="J275" s="214"/>
      <c r="K275" s="214">
        <f t="shared" si="31"/>
        <v>0</v>
      </c>
      <c r="L275" s="214">
        <f t="shared" si="32"/>
        <v>0</v>
      </c>
      <c r="M275" s="214">
        <v>416.3</v>
      </c>
      <c r="N275" s="214">
        <f t="shared" si="37"/>
        <v>1.7131687242798355</v>
      </c>
      <c r="O275" s="214"/>
      <c r="P275" s="214">
        <f t="shared" si="34"/>
        <v>0</v>
      </c>
      <c r="Q275" s="214"/>
      <c r="R275" s="19">
        <f t="shared" si="35"/>
        <v>0</v>
      </c>
      <c r="S275" s="214">
        <f t="shared" si="36"/>
        <v>0</v>
      </c>
      <c r="T275" s="20">
        <v>2</v>
      </c>
      <c r="U275" s="20"/>
      <c r="V275" s="21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212">
        <v>300333</v>
      </c>
      <c r="B276" s="208" t="s">
        <v>67</v>
      </c>
      <c r="C276" s="259" t="s">
        <v>86</v>
      </c>
      <c r="D276" s="260"/>
      <c r="E276" s="216" t="s">
        <v>84</v>
      </c>
      <c r="F276" s="215"/>
      <c r="G276" s="214"/>
      <c r="H276" s="214"/>
      <c r="I276" s="214"/>
      <c r="J276" s="214"/>
      <c r="K276" s="214">
        <f t="shared" si="31"/>
        <v>0</v>
      </c>
      <c r="L276" s="214">
        <f t="shared" si="32"/>
        <v>0</v>
      </c>
      <c r="M276" s="214">
        <v>416.3</v>
      </c>
      <c r="N276" s="214">
        <f t="shared" si="37"/>
        <v>1.7131687242798355</v>
      </c>
      <c r="O276" s="214"/>
      <c r="P276" s="214">
        <f t="shared" si="34"/>
        <v>0</v>
      </c>
      <c r="Q276" s="214"/>
      <c r="R276" s="19">
        <f t="shared" si="35"/>
        <v>0</v>
      </c>
      <c r="S276" s="214">
        <f t="shared" si="36"/>
        <v>0</v>
      </c>
      <c r="T276" s="20">
        <v>2</v>
      </c>
      <c r="U276" s="20"/>
      <c r="V276" s="21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212">
        <v>300334</v>
      </c>
      <c r="B277" s="208" t="s">
        <v>67</v>
      </c>
      <c r="C277" s="259" t="s">
        <v>86</v>
      </c>
      <c r="D277" s="260"/>
      <c r="E277" s="216" t="s">
        <v>85</v>
      </c>
      <c r="F277" s="215"/>
      <c r="G277" s="214"/>
      <c r="H277" s="214"/>
      <c r="I277" s="214"/>
      <c r="J277" s="214"/>
      <c r="K277" s="214">
        <f t="shared" si="31"/>
        <v>0</v>
      </c>
      <c r="L277" s="214">
        <f t="shared" si="32"/>
        <v>0</v>
      </c>
      <c r="M277" s="214">
        <v>416.3</v>
      </c>
      <c r="N277" s="214">
        <f t="shared" si="37"/>
        <v>1.7131687242798355</v>
      </c>
      <c r="O277" s="214"/>
      <c r="P277" s="214">
        <f t="shared" si="34"/>
        <v>0</v>
      </c>
      <c r="Q277" s="214"/>
      <c r="R277" s="19">
        <f t="shared" si="35"/>
        <v>0</v>
      </c>
      <c r="S277" s="214">
        <f t="shared" si="36"/>
        <v>0</v>
      </c>
      <c r="T277" s="20">
        <v>2</v>
      </c>
      <c r="U277" s="20"/>
      <c r="V277" s="21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212">
        <v>300335</v>
      </c>
      <c r="B278" s="208" t="s">
        <v>67</v>
      </c>
      <c r="C278" s="259" t="s">
        <v>86</v>
      </c>
      <c r="D278" s="260"/>
      <c r="E278" s="216" t="s">
        <v>49</v>
      </c>
      <c r="F278" s="215"/>
      <c r="G278" s="214"/>
      <c r="H278" s="214"/>
      <c r="I278" s="214"/>
      <c r="J278" s="214"/>
      <c r="K278" s="214">
        <f t="shared" si="31"/>
        <v>0</v>
      </c>
      <c r="L278" s="214">
        <f t="shared" si="32"/>
        <v>0</v>
      </c>
      <c r="M278" s="214">
        <v>416.3</v>
      </c>
      <c r="N278" s="214">
        <f t="shared" si="37"/>
        <v>1.7131687242798355</v>
      </c>
      <c r="O278" s="214"/>
      <c r="P278" s="214">
        <f t="shared" si="34"/>
        <v>0</v>
      </c>
      <c r="Q278" s="214"/>
      <c r="R278" s="19">
        <f t="shared" si="35"/>
        <v>0</v>
      </c>
      <c r="S278" s="214">
        <f t="shared" si="36"/>
        <v>0</v>
      </c>
      <c r="T278" s="20">
        <v>2</v>
      </c>
      <c r="U278" s="20"/>
      <c r="V278" s="21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212">
        <v>300291</v>
      </c>
      <c r="B279" s="208" t="s">
        <v>87</v>
      </c>
      <c r="C279" s="248" t="s">
        <v>88</v>
      </c>
      <c r="D279" s="248" t="s">
        <v>89</v>
      </c>
      <c r="E279" s="216" t="s">
        <v>42</v>
      </c>
      <c r="F279" s="215"/>
      <c r="G279" s="214"/>
      <c r="H279" s="214"/>
      <c r="I279" s="214"/>
      <c r="J279" s="214"/>
      <c r="K279" s="214">
        <f t="shared" si="31"/>
        <v>0</v>
      </c>
      <c r="L279" s="214">
        <f t="shared" si="32"/>
        <v>0</v>
      </c>
      <c r="M279" s="214">
        <v>517.79999999999995</v>
      </c>
      <c r="N279" s="214">
        <f>+M279*1000/(66.6*1*110*60)*T279</f>
        <v>4.7119847119847122</v>
      </c>
      <c r="O279" s="214"/>
      <c r="P279" s="214">
        <f t="shared" si="34"/>
        <v>0</v>
      </c>
      <c r="Q279" s="214"/>
      <c r="R279" s="19">
        <f t="shared" si="35"/>
        <v>0</v>
      </c>
      <c r="S279" s="214">
        <f t="shared" si="36"/>
        <v>0</v>
      </c>
      <c r="T279" s="20">
        <v>4</v>
      </c>
      <c r="U279" s="20"/>
      <c r="V279" s="21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212">
        <v>300292</v>
      </c>
      <c r="B280" s="208" t="s">
        <v>87</v>
      </c>
      <c r="C280" s="248" t="s">
        <v>88</v>
      </c>
      <c r="D280" s="248" t="s">
        <v>89</v>
      </c>
      <c r="E280" s="216" t="s">
        <v>41</v>
      </c>
      <c r="F280" s="215"/>
      <c r="G280" s="214"/>
      <c r="H280" s="214"/>
      <c r="I280" s="214"/>
      <c r="J280" s="214"/>
      <c r="K280" s="214">
        <f t="shared" si="31"/>
        <v>0</v>
      </c>
      <c r="L280" s="214">
        <f t="shared" si="32"/>
        <v>0</v>
      </c>
      <c r="M280" s="214">
        <v>517.79999999999995</v>
      </c>
      <c r="N280" s="214">
        <f>+M280*1000/(66.8*1*110*60)*T280</f>
        <v>4.6978769733260748</v>
      </c>
      <c r="O280" s="214"/>
      <c r="P280" s="214">
        <f t="shared" si="34"/>
        <v>0</v>
      </c>
      <c r="Q280" s="214"/>
      <c r="R280" s="19">
        <f t="shared" si="35"/>
        <v>0</v>
      </c>
      <c r="S280" s="214">
        <f t="shared" si="36"/>
        <v>0</v>
      </c>
      <c r="T280" s="20">
        <v>4</v>
      </c>
      <c r="U280" s="20"/>
      <c r="V280" s="21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212">
        <v>300293</v>
      </c>
      <c r="B281" s="208" t="s">
        <v>87</v>
      </c>
      <c r="C281" s="248" t="s">
        <v>88</v>
      </c>
      <c r="D281" s="248" t="s">
        <v>89</v>
      </c>
      <c r="E281" s="216" t="s">
        <v>57</v>
      </c>
      <c r="F281" s="215"/>
      <c r="G281" s="214"/>
      <c r="H281" s="214"/>
      <c r="I281" s="214"/>
      <c r="J281" s="214"/>
      <c r="K281" s="214">
        <f t="shared" si="31"/>
        <v>0</v>
      </c>
      <c r="L281" s="214">
        <f t="shared" si="32"/>
        <v>0</v>
      </c>
      <c r="M281" s="214">
        <v>517.9</v>
      </c>
      <c r="N281" s="214">
        <f>+M281*1000/(67.1*1*110*60)*T281</f>
        <v>4.6777762724111467</v>
      </c>
      <c r="O281" s="214"/>
      <c r="P281" s="214">
        <f t="shared" si="34"/>
        <v>0</v>
      </c>
      <c r="Q281" s="214"/>
      <c r="R281" s="19">
        <f t="shared" si="35"/>
        <v>0</v>
      </c>
      <c r="S281" s="214">
        <f t="shared" si="36"/>
        <v>0</v>
      </c>
      <c r="T281" s="20">
        <v>4</v>
      </c>
      <c r="U281" s="20"/>
      <c r="V281" s="21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212">
        <v>300290</v>
      </c>
      <c r="B282" s="208" t="s">
        <v>87</v>
      </c>
      <c r="C282" s="248" t="s">
        <v>88</v>
      </c>
      <c r="D282" s="248" t="s">
        <v>89</v>
      </c>
      <c r="E282" s="216" t="s">
        <v>35</v>
      </c>
      <c r="F282" s="215"/>
      <c r="G282" s="214"/>
      <c r="H282" s="214"/>
      <c r="I282" s="214"/>
      <c r="J282" s="214"/>
      <c r="K282" s="214">
        <f t="shared" si="31"/>
        <v>0</v>
      </c>
      <c r="L282" s="214">
        <f t="shared" si="32"/>
        <v>0</v>
      </c>
      <c r="M282" s="214">
        <v>520</v>
      </c>
      <c r="N282" s="214">
        <f>+M282*1000/(67.5*1*110*60)*T282</f>
        <v>4.6689113355780023</v>
      </c>
      <c r="O282" s="214"/>
      <c r="P282" s="214">
        <f t="shared" si="34"/>
        <v>0</v>
      </c>
      <c r="Q282" s="214"/>
      <c r="R282" s="19">
        <f t="shared" si="35"/>
        <v>0</v>
      </c>
      <c r="S282" s="214">
        <f t="shared" si="36"/>
        <v>0</v>
      </c>
      <c r="T282" s="20">
        <v>4</v>
      </c>
      <c r="U282" s="20"/>
      <c r="V282" s="21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212">
        <v>300389</v>
      </c>
      <c r="B283" s="208" t="s">
        <v>87</v>
      </c>
      <c r="C283" s="248" t="s">
        <v>316</v>
      </c>
      <c r="D283" s="248" t="s">
        <v>89</v>
      </c>
      <c r="E283" s="216" t="s">
        <v>35</v>
      </c>
      <c r="F283" s="215"/>
      <c r="G283" s="214"/>
      <c r="H283" s="214"/>
      <c r="I283" s="214"/>
      <c r="J283" s="214"/>
      <c r="K283" s="214">
        <f t="shared" si="31"/>
        <v>0</v>
      </c>
      <c r="L283" s="214">
        <f t="shared" si="32"/>
        <v>0</v>
      </c>
      <c r="M283" s="214">
        <v>429.4</v>
      </c>
      <c r="N283" s="214">
        <f>+M283*1000/(47*1*110*60)*T283</f>
        <v>5.5370728562217923</v>
      </c>
      <c r="O283" s="214"/>
      <c r="P283" s="214">
        <f t="shared" si="34"/>
        <v>0</v>
      </c>
      <c r="Q283" s="214"/>
      <c r="R283" s="19">
        <f t="shared" si="35"/>
        <v>0</v>
      </c>
      <c r="S283" s="214">
        <f t="shared" si="36"/>
        <v>0</v>
      </c>
      <c r="T283" s="20">
        <v>4</v>
      </c>
      <c r="U283" s="20"/>
      <c r="V283" s="21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212">
        <v>300058</v>
      </c>
      <c r="B284" s="208" t="s">
        <v>87</v>
      </c>
      <c r="C284" s="248" t="s">
        <v>316</v>
      </c>
      <c r="D284" s="248" t="s">
        <v>89</v>
      </c>
      <c r="E284" s="216" t="s">
        <v>42</v>
      </c>
      <c r="F284" s="215"/>
      <c r="G284" s="214"/>
      <c r="H284" s="214"/>
      <c r="I284" s="214"/>
      <c r="J284" s="214"/>
      <c r="K284" s="214">
        <f t="shared" si="31"/>
        <v>0</v>
      </c>
      <c r="L284" s="214">
        <f t="shared" si="32"/>
        <v>0</v>
      </c>
      <c r="M284" s="214">
        <v>419.2</v>
      </c>
      <c r="N284" s="214">
        <f>+M284*1000/(51.5*1*110*60)*T284</f>
        <v>4.9332156516622536</v>
      </c>
      <c r="O284" s="214"/>
      <c r="P284" s="214">
        <f t="shared" si="34"/>
        <v>0</v>
      </c>
      <c r="Q284" s="214"/>
      <c r="R284" s="19">
        <f t="shared" si="35"/>
        <v>0</v>
      </c>
      <c r="S284" s="214">
        <f t="shared" si="36"/>
        <v>0</v>
      </c>
      <c r="T284" s="20">
        <v>4</v>
      </c>
      <c r="U284" s="20"/>
      <c r="V284" s="21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212">
        <v>300061</v>
      </c>
      <c r="B285" s="208" t="s">
        <v>87</v>
      </c>
      <c r="C285" s="248" t="s">
        <v>317</v>
      </c>
      <c r="D285" s="248" t="s">
        <v>96</v>
      </c>
      <c r="E285" s="216" t="s">
        <v>41</v>
      </c>
      <c r="F285" s="215"/>
      <c r="G285" s="214"/>
      <c r="H285" s="214"/>
      <c r="I285" s="214"/>
      <c r="J285" s="214"/>
      <c r="K285" s="214">
        <f t="shared" si="31"/>
        <v>0</v>
      </c>
      <c r="L285" s="214">
        <f t="shared" si="32"/>
        <v>0</v>
      </c>
      <c r="M285" s="214">
        <v>418.4</v>
      </c>
      <c r="N285" s="214">
        <f>+M285*1000/(51*1*110*60)*T285</f>
        <v>4.9720736779560308</v>
      </c>
      <c r="O285" s="214"/>
      <c r="P285" s="214">
        <f t="shared" si="34"/>
        <v>0</v>
      </c>
      <c r="Q285" s="214"/>
      <c r="R285" s="19">
        <f t="shared" si="35"/>
        <v>0</v>
      </c>
      <c r="S285" s="214">
        <f t="shared" si="36"/>
        <v>0</v>
      </c>
      <c r="T285" s="20">
        <v>4</v>
      </c>
      <c r="U285" s="20"/>
      <c r="V285" s="21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212">
        <v>300064</v>
      </c>
      <c r="B286" s="208">
        <v>5002</v>
      </c>
      <c r="C286" s="248" t="s">
        <v>317</v>
      </c>
      <c r="D286" s="248" t="s">
        <v>96</v>
      </c>
      <c r="E286" s="216" t="s">
        <v>35</v>
      </c>
      <c r="F286" s="215"/>
      <c r="G286" s="214"/>
      <c r="H286" s="214"/>
      <c r="I286" s="214"/>
      <c r="J286" s="214"/>
      <c r="K286" s="214">
        <f t="shared" ref="K286:K362" si="38">G286*M286</f>
        <v>0</v>
      </c>
      <c r="L286" s="214">
        <f t="shared" ref="L286:L362" si="39">I286*M286</f>
        <v>0</v>
      </c>
      <c r="M286" s="214">
        <v>419.2</v>
      </c>
      <c r="N286" s="214">
        <f>+M286*1000/(51.9*1*110*60)*T286</f>
        <v>4.8951947217843168</v>
      </c>
      <c r="O286" s="214"/>
      <c r="P286" s="214">
        <f t="shared" ref="P286:P362" si="40">N286*I286+O286*U286</f>
        <v>0</v>
      </c>
      <c r="Q286" s="214"/>
      <c r="R286" s="19">
        <f t="shared" ref="R286:R362" si="41">Q286*U286</f>
        <v>0</v>
      </c>
      <c r="S286" s="214">
        <f t="shared" ref="S286:S362" si="42">R286-P286</f>
        <v>0</v>
      </c>
      <c r="T286" s="20">
        <v>4</v>
      </c>
      <c r="U286" s="20"/>
      <c r="V286" s="21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212">
        <v>300060</v>
      </c>
      <c r="B287" s="208" t="s">
        <v>87</v>
      </c>
      <c r="C287" s="248" t="s">
        <v>317</v>
      </c>
      <c r="D287" s="248" t="s">
        <v>96</v>
      </c>
      <c r="E287" s="216" t="s">
        <v>57</v>
      </c>
      <c r="F287" s="215"/>
      <c r="G287" s="214"/>
      <c r="H287" s="214"/>
      <c r="I287" s="214"/>
      <c r="J287" s="214"/>
      <c r="K287" s="214">
        <f t="shared" si="38"/>
        <v>0</v>
      </c>
      <c r="L287" s="214">
        <f t="shared" si="39"/>
        <v>0</v>
      </c>
      <c r="M287" s="214">
        <v>416.9</v>
      </c>
      <c r="N287" s="214">
        <f>+M287*1000/(51*1*110*60)*T287</f>
        <v>4.9542483660130721</v>
      </c>
      <c r="O287" s="214"/>
      <c r="P287" s="214">
        <f t="shared" si="40"/>
        <v>0</v>
      </c>
      <c r="Q287" s="214"/>
      <c r="R287" s="19">
        <f t="shared" si="41"/>
        <v>0</v>
      </c>
      <c r="S287" s="214">
        <f t="shared" si="42"/>
        <v>0</v>
      </c>
      <c r="T287" s="20">
        <v>4</v>
      </c>
      <c r="U287" s="20"/>
      <c r="V287" s="21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12">
        <v>300068</v>
      </c>
      <c r="B288" s="208" t="s">
        <v>87</v>
      </c>
      <c r="C288" s="248" t="s">
        <v>98</v>
      </c>
      <c r="D288" s="248" t="s">
        <v>99</v>
      </c>
      <c r="E288" s="216" t="s">
        <v>37</v>
      </c>
      <c r="F288" s="215"/>
      <c r="G288" s="214"/>
      <c r="H288" s="214"/>
      <c r="I288" s="214"/>
      <c r="J288" s="214"/>
      <c r="K288" s="214">
        <f t="shared" si="38"/>
        <v>0</v>
      </c>
      <c r="L288" s="214">
        <f t="shared" si="39"/>
        <v>0</v>
      </c>
      <c r="M288" s="214">
        <v>438.4</v>
      </c>
      <c r="N288" s="214">
        <f>+M288*1000/(50*1*120*60)*T288</f>
        <v>4.8711111111111114</v>
      </c>
      <c r="O288" s="214"/>
      <c r="P288" s="214">
        <f t="shared" si="40"/>
        <v>0</v>
      </c>
      <c r="Q288" s="214"/>
      <c r="R288" s="19">
        <f t="shared" si="41"/>
        <v>0</v>
      </c>
      <c r="S288" s="214">
        <f t="shared" si="42"/>
        <v>0</v>
      </c>
      <c r="T288" s="20">
        <v>4</v>
      </c>
      <c r="U288" s="20"/>
      <c r="V288" s="21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12">
        <v>300065</v>
      </c>
      <c r="B289" s="208" t="s">
        <v>87</v>
      </c>
      <c r="C289" s="248" t="s">
        <v>98</v>
      </c>
      <c r="D289" s="248" t="s">
        <v>99</v>
      </c>
      <c r="E289" s="216" t="s">
        <v>35</v>
      </c>
      <c r="F289" s="215"/>
      <c r="G289" s="214"/>
      <c r="H289" s="214"/>
      <c r="I289" s="214"/>
      <c r="J289" s="214"/>
      <c r="K289" s="214">
        <f t="shared" si="38"/>
        <v>0</v>
      </c>
      <c r="L289" s="214">
        <f t="shared" si="39"/>
        <v>0</v>
      </c>
      <c r="M289" s="214">
        <v>438.8</v>
      </c>
      <c r="N289" s="214">
        <f>+M289*1000/(50*1*120*60)*T289</f>
        <v>4.8755555555555556</v>
      </c>
      <c r="O289" s="214"/>
      <c r="P289" s="214">
        <f t="shared" si="40"/>
        <v>0</v>
      </c>
      <c r="Q289" s="214"/>
      <c r="R289" s="19">
        <f t="shared" si="41"/>
        <v>0</v>
      </c>
      <c r="S289" s="214">
        <f t="shared" si="42"/>
        <v>0</v>
      </c>
      <c r="T289" s="20">
        <v>4</v>
      </c>
      <c r="U289" s="212"/>
      <c r="V289" s="21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12">
        <v>300066</v>
      </c>
      <c r="B290" s="208" t="s">
        <v>87</v>
      </c>
      <c r="C290" s="248" t="s">
        <v>98</v>
      </c>
      <c r="D290" s="248" t="s">
        <v>99</v>
      </c>
      <c r="E290" s="216" t="s">
        <v>66</v>
      </c>
      <c r="F290" s="215"/>
      <c r="G290" s="214"/>
      <c r="H290" s="214"/>
      <c r="I290" s="214"/>
      <c r="J290" s="214"/>
      <c r="K290" s="214">
        <f t="shared" si="38"/>
        <v>0</v>
      </c>
      <c r="L290" s="214">
        <f t="shared" si="39"/>
        <v>0</v>
      </c>
      <c r="M290" s="214">
        <v>438.4</v>
      </c>
      <c r="N290" s="214">
        <f>+M290*1000/(50*1*120*60)*T290</f>
        <v>4.8711111111111114</v>
      </c>
      <c r="O290" s="214"/>
      <c r="P290" s="214">
        <f t="shared" si="40"/>
        <v>0</v>
      </c>
      <c r="Q290" s="214"/>
      <c r="R290" s="19">
        <f t="shared" si="41"/>
        <v>0</v>
      </c>
      <c r="S290" s="214">
        <f t="shared" si="42"/>
        <v>0</v>
      </c>
      <c r="T290" s="20">
        <v>4</v>
      </c>
      <c r="U290" s="212"/>
      <c r="V290" s="21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12">
        <v>300067</v>
      </c>
      <c r="B291" s="208" t="s">
        <v>87</v>
      </c>
      <c r="C291" s="248" t="s">
        <v>98</v>
      </c>
      <c r="D291" s="248" t="s">
        <v>99</v>
      </c>
      <c r="E291" s="216" t="s">
        <v>41</v>
      </c>
      <c r="F291" s="215"/>
      <c r="G291" s="214"/>
      <c r="H291" s="214"/>
      <c r="I291" s="214"/>
      <c r="J291" s="214"/>
      <c r="K291" s="214">
        <f t="shared" si="38"/>
        <v>0</v>
      </c>
      <c r="L291" s="214">
        <f t="shared" si="39"/>
        <v>0</v>
      </c>
      <c r="M291" s="214">
        <v>438.8</v>
      </c>
      <c r="N291" s="214">
        <f>+M291*1000/(50*1*120*60)*T291</f>
        <v>4.8755555555555556</v>
      </c>
      <c r="O291" s="214"/>
      <c r="P291" s="214">
        <f t="shared" si="40"/>
        <v>0</v>
      </c>
      <c r="Q291" s="214"/>
      <c r="R291" s="19">
        <f t="shared" si="41"/>
        <v>0</v>
      </c>
      <c r="S291" s="214">
        <f t="shared" si="42"/>
        <v>0</v>
      </c>
      <c r="T291" s="20">
        <v>4</v>
      </c>
      <c r="U291" s="20"/>
      <c r="V291" s="21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12">
        <v>300437</v>
      </c>
      <c r="B292" s="208" t="s">
        <v>87</v>
      </c>
      <c r="C292" s="248" t="s">
        <v>98</v>
      </c>
      <c r="D292" s="248" t="s">
        <v>99</v>
      </c>
      <c r="E292" s="216" t="s">
        <v>310</v>
      </c>
      <c r="F292" s="27"/>
      <c r="G292" s="110"/>
      <c r="H292" s="110"/>
      <c r="I292" s="110"/>
      <c r="J292" s="110"/>
      <c r="K292" s="214">
        <f t="shared" si="38"/>
        <v>0</v>
      </c>
      <c r="L292" s="214">
        <f t="shared" si="39"/>
        <v>0</v>
      </c>
      <c r="M292" s="214">
        <v>438.8</v>
      </c>
      <c r="N292" s="214">
        <f>+M292*1000/(50*1*120*60)*T292</f>
        <v>4.8755555555555556</v>
      </c>
      <c r="O292" s="214"/>
      <c r="P292" s="214">
        <f t="shared" si="40"/>
        <v>0</v>
      </c>
      <c r="Q292" s="214"/>
      <c r="R292" s="19">
        <f t="shared" si="41"/>
        <v>0</v>
      </c>
      <c r="S292" s="214">
        <f t="shared" si="42"/>
        <v>0</v>
      </c>
      <c r="T292" s="20">
        <v>4</v>
      </c>
      <c r="U292" s="20"/>
      <c r="V292" s="213"/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12">
        <v>300384</v>
      </c>
      <c r="B293" s="208" t="s">
        <v>87</v>
      </c>
      <c r="C293" s="248" t="s">
        <v>100</v>
      </c>
      <c r="D293" s="248" t="s">
        <v>101</v>
      </c>
      <c r="E293" s="216" t="s">
        <v>35</v>
      </c>
      <c r="F293" s="215"/>
      <c r="G293" s="214"/>
      <c r="H293" s="214"/>
      <c r="I293" s="214"/>
      <c r="J293" s="214"/>
      <c r="K293" s="214">
        <f t="shared" si="38"/>
        <v>0</v>
      </c>
      <c r="L293" s="214">
        <f t="shared" si="39"/>
        <v>0</v>
      </c>
      <c r="M293" s="214">
        <v>415.5</v>
      </c>
      <c r="N293" s="214">
        <f>+M293*1000/(51*1*110*60)*T293</f>
        <v>8.6408199643493759</v>
      </c>
      <c r="O293" s="214"/>
      <c r="P293" s="214">
        <f t="shared" si="40"/>
        <v>0</v>
      </c>
      <c r="Q293" s="214"/>
      <c r="R293" s="19">
        <f t="shared" si="41"/>
        <v>0</v>
      </c>
      <c r="S293" s="214">
        <f t="shared" si="42"/>
        <v>0</v>
      </c>
      <c r="T293" s="20">
        <v>7</v>
      </c>
      <c r="U293" s="20"/>
      <c r="V293" s="21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12">
        <v>300383</v>
      </c>
      <c r="B294" s="208" t="s">
        <v>87</v>
      </c>
      <c r="C294" s="248" t="s">
        <v>100</v>
      </c>
      <c r="D294" s="248" t="s">
        <v>102</v>
      </c>
      <c r="E294" s="216" t="s">
        <v>41</v>
      </c>
      <c r="F294" s="215"/>
      <c r="G294" s="214"/>
      <c r="H294" s="214"/>
      <c r="I294" s="214"/>
      <c r="J294" s="214"/>
      <c r="K294" s="214">
        <f t="shared" si="38"/>
        <v>0</v>
      </c>
      <c r="L294" s="214">
        <f t="shared" si="39"/>
        <v>0</v>
      </c>
      <c r="M294" s="214">
        <v>415.5</v>
      </c>
      <c r="N294" s="214">
        <f>+M294*1000/(51*1*110*60)*T294</f>
        <v>8.6408199643493759</v>
      </c>
      <c r="O294" s="214"/>
      <c r="P294" s="214">
        <f t="shared" si="40"/>
        <v>0</v>
      </c>
      <c r="Q294" s="214"/>
      <c r="R294" s="19">
        <f t="shared" si="41"/>
        <v>0</v>
      </c>
      <c r="S294" s="214">
        <f t="shared" si="42"/>
        <v>0</v>
      </c>
      <c r="T294" s="20">
        <v>7</v>
      </c>
      <c r="U294" s="20"/>
      <c r="V294" s="21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12">
        <v>300386</v>
      </c>
      <c r="B295" s="208" t="s">
        <v>87</v>
      </c>
      <c r="C295" s="248" t="s">
        <v>100</v>
      </c>
      <c r="D295" s="248" t="s">
        <v>103</v>
      </c>
      <c r="E295" s="216" t="s">
        <v>66</v>
      </c>
      <c r="F295" s="215"/>
      <c r="G295" s="214"/>
      <c r="H295" s="214"/>
      <c r="I295" s="214"/>
      <c r="J295" s="214"/>
      <c r="K295" s="214">
        <f t="shared" si="38"/>
        <v>0</v>
      </c>
      <c r="L295" s="214">
        <f t="shared" si="39"/>
        <v>0</v>
      </c>
      <c r="M295" s="214">
        <v>415.5</v>
      </c>
      <c r="N295" s="214">
        <f>+M295*1000/(51*1*110*60)*T295</f>
        <v>8.6408199643493759</v>
      </c>
      <c r="O295" s="214"/>
      <c r="P295" s="214">
        <f t="shared" si="40"/>
        <v>0</v>
      </c>
      <c r="Q295" s="214"/>
      <c r="R295" s="19">
        <f t="shared" si="41"/>
        <v>0</v>
      </c>
      <c r="S295" s="214">
        <f t="shared" si="42"/>
        <v>0</v>
      </c>
      <c r="T295" s="20">
        <v>7</v>
      </c>
      <c r="U295" s="20"/>
      <c r="V295" s="21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12">
        <v>300385</v>
      </c>
      <c r="B296" s="208" t="s">
        <v>87</v>
      </c>
      <c r="C296" s="248" t="s">
        <v>100</v>
      </c>
      <c r="D296" s="248" t="s">
        <v>104</v>
      </c>
      <c r="E296" s="216" t="s">
        <v>105</v>
      </c>
      <c r="F296" s="215"/>
      <c r="G296" s="214"/>
      <c r="H296" s="214"/>
      <c r="I296" s="214"/>
      <c r="J296" s="214"/>
      <c r="K296" s="214">
        <f t="shared" si="38"/>
        <v>0</v>
      </c>
      <c r="L296" s="214">
        <f t="shared" si="39"/>
        <v>0</v>
      </c>
      <c r="M296" s="214">
        <v>415.5</v>
      </c>
      <c r="N296" s="214">
        <f>+M296*1000/(51*1*110*60)*T296</f>
        <v>8.6408199643493759</v>
      </c>
      <c r="O296" s="214"/>
      <c r="P296" s="214">
        <f t="shared" si="40"/>
        <v>0</v>
      </c>
      <c r="Q296" s="214"/>
      <c r="R296" s="19">
        <f t="shared" si="41"/>
        <v>0</v>
      </c>
      <c r="S296" s="214">
        <f t="shared" si="42"/>
        <v>0</v>
      </c>
      <c r="T296" s="20">
        <v>7</v>
      </c>
      <c r="U296" s="20"/>
      <c r="V296" s="21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12">
        <v>300352</v>
      </c>
      <c r="B297" s="208" t="s">
        <v>87</v>
      </c>
      <c r="C297" s="248" t="s">
        <v>106</v>
      </c>
      <c r="D297" s="248" t="s">
        <v>101</v>
      </c>
      <c r="E297" s="216" t="s">
        <v>35</v>
      </c>
      <c r="F297" s="215"/>
      <c r="G297" s="214"/>
      <c r="H297" s="214"/>
      <c r="I297" s="214"/>
      <c r="J297" s="214"/>
      <c r="K297" s="214">
        <f t="shared" si="38"/>
        <v>0</v>
      </c>
      <c r="L297" s="214">
        <f t="shared" si="39"/>
        <v>0</v>
      </c>
      <c r="M297" s="214">
        <v>515.9</v>
      </c>
      <c r="N297" s="214">
        <f>+M297*1000/(80*1*110*60)*T297</f>
        <v>6.8395833333333336</v>
      </c>
      <c r="O297" s="214"/>
      <c r="P297" s="214">
        <f t="shared" si="40"/>
        <v>0</v>
      </c>
      <c r="Q297" s="214"/>
      <c r="R297" s="19">
        <f t="shared" si="41"/>
        <v>0</v>
      </c>
      <c r="S297" s="214">
        <f t="shared" si="42"/>
        <v>0</v>
      </c>
      <c r="T297" s="20">
        <v>7</v>
      </c>
      <c r="U297" s="20"/>
      <c r="V297" s="21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12">
        <v>300353</v>
      </c>
      <c r="B298" s="208" t="s">
        <v>87</v>
      </c>
      <c r="C298" s="248" t="s">
        <v>106</v>
      </c>
      <c r="D298" s="248" t="s">
        <v>101</v>
      </c>
      <c r="E298" s="216" t="s">
        <v>105</v>
      </c>
      <c r="F298" s="215"/>
      <c r="G298" s="214"/>
      <c r="H298" s="214"/>
      <c r="I298" s="214"/>
      <c r="J298" s="214"/>
      <c r="K298" s="214">
        <f t="shared" si="38"/>
        <v>0</v>
      </c>
      <c r="L298" s="214">
        <f t="shared" si="39"/>
        <v>0</v>
      </c>
      <c r="M298" s="214">
        <v>515.9</v>
      </c>
      <c r="N298" s="214">
        <f>+M298*1000/(80*1*110*60)*T298</f>
        <v>6.8395833333333336</v>
      </c>
      <c r="O298" s="214"/>
      <c r="P298" s="214">
        <f t="shared" si="40"/>
        <v>0</v>
      </c>
      <c r="Q298" s="214"/>
      <c r="R298" s="19">
        <f t="shared" si="41"/>
        <v>0</v>
      </c>
      <c r="S298" s="214">
        <f t="shared" si="42"/>
        <v>0</v>
      </c>
      <c r="T298" s="20">
        <v>7</v>
      </c>
      <c r="U298" s="20"/>
      <c r="V298" s="21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12">
        <v>300351</v>
      </c>
      <c r="B299" s="208" t="s">
        <v>87</v>
      </c>
      <c r="C299" s="248" t="s">
        <v>106</v>
      </c>
      <c r="D299" s="248" t="s">
        <v>101</v>
      </c>
      <c r="E299" s="216" t="s">
        <v>41</v>
      </c>
      <c r="F299" s="215"/>
      <c r="G299" s="214"/>
      <c r="H299" s="214"/>
      <c r="I299" s="214"/>
      <c r="J299" s="214"/>
      <c r="K299" s="214">
        <f t="shared" si="38"/>
        <v>0</v>
      </c>
      <c r="L299" s="214">
        <f t="shared" si="39"/>
        <v>0</v>
      </c>
      <c r="M299" s="214">
        <v>515.9</v>
      </c>
      <c r="N299" s="214">
        <f>+M299*1000/(80*1*110*60)*T299</f>
        <v>6.8395833333333336</v>
      </c>
      <c r="O299" s="214"/>
      <c r="P299" s="214">
        <f t="shared" si="40"/>
        <v>0</v>
      </c>
      <c r="Q299" s="214"/>
      <c r="R299" s="19">
        <f t="shared" si="41"/>
        <v>0</v>
      </c>
      <c r="S299" s="214">
        <f t="shared" si="42"/>
        <v>0</v>
      </c>
      <c r="T299" s="20">
        <v>7</v>
      </c>
      <c r="U299" s="20"/>
      <c r="V299" s="21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12">
        <v>300354</v>
      </c>
      <c r="B300" s="208" t="s">
        <v>87</v>
      </c>
      <c r="C300" s="248" t="s">
        <v>106</v>
      </c>
      <c r="D300" s="248" t="s">
        <v>101</v>
      </c>
      <c r="E300" s="216" t="s">
        <v>66</v>
      </c>
      <c r="F300" s="215"/>
      <c r="G300" s="214"/>
      <c r="H300" s="214"/>
      <c r="I300" s="214"/>
      <c r="J300" s="214"/>
      <c r="K300" s="214">
        <f t="shared" si="38"/>
        <v>0</v>
      </c>
      <c r="L300" s="214">
        <f t="shared" si="39"/>
        <v>0</v>
      </c>
      <c r="M300" s="214">
        <v>515.9</v>
      </c>
      <c r="N300" s="214">
        <f>+M300*1000/(80*1*110*60)*T300</f>
        <v>6.8395833333333336</v>
      </c>
      <c r="O300" s="214"/>
      <c r="P300" s="214">
        <f t="shared" si="40"/>
        <v>0</v>
      </c>
      <c r="Q300" s="214"/>
      <c r="R300" s="19">
        <f t="shared" si="41"/>
        <v>0</v>
      </c>
      <c r="S300" s="214">
        <f t="shared" si="42"/>
        <v>0</v>
      </c>
      <c r="T300" s="20">
        <v>7</v>
      </c>
      <c r="U300" s="20"/>
      <c r="V300" s="21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12">
        <v>300250</v>
      </c>
      <c r="B301" s="208" t="s">
        <v>87</v>
      </c>
      <c r="C301" s="248" t="s">
        <v>107</v>
      </c>
      <c r="D301" s="248" t="s">
        <v>101</v>
      </c>
      <c r="E301" s="216" t="s">
        <v>35</v>
      </c>
      <c r="F301" s="215"/>
      <c r="G301" s="214"/>
      <c r="H301" s="214"/>
      <c r="I301" s="214"/>
      <c r="J301" s="214"/>
      <c r="K301" s="214">
        <f t="shared" si="38"/>
        <v>0</v>
      </c>
      <c r="L301" s="214">
        <f t="shared" si="39"/>
        <v>0</v>
      </c>
      <c r="M301" s="214">
        <v>412.5</v>
      </c>
      <c r="N301" s="214">
        <f>+M301*1000/(84*1*110*60)*T301</f>
        <v>5.2083333333333339</v>
      </c>
      <c r="O301" s="214"/>
      <c r="P301" s="214">
        <f t="shared" si="40"/>
        <v>0</v>
      </c>
      <c r="Q301" s="214"/>
      <c r="R301" s="19">
        <f t="shared" si="41"/>
        <v>0</v>
      </c>
      <c r="S301" s="214">
        <f t="shared" si="42"/>
        <v>0</v>
      </c>
      <c r="T301" s="20">
        <v>7</v>
      </c>
      <c r="U301" s="20"/>
      <c r="V301" s="21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12">
        <v>300251</v>
      </c>
      <c r="B302" s="208" t="s">
        <v>87</v>
      </c>
      <c r="C302" s="248" t="s">
        <v>107</v>
      </c>
      <c r="D302" s="248" t="s">
        <v>101</v>
      </c>
      <c r="E302" s="216" t="s">
        <v>105</v>
      </c>
      <c r="F302" s="215"/>
      <c r="G302" s="214"/>
      <c r="H302" s="214"/>
      <c r="I302" s="214"/>
      <c r="J302" s="214"/>
      <c r="K302" s="214">
        <f t="shared" si="38"/>
        <v>0</v>
      </c>
      <c r="L302" s="214">
        <f t="shared" si="39"/>
        <v>0</v>
      </c>
      <c r="M302" s="214">
        <v>412.5</v>
      </c>
      <c r="N302" s="214">
        <f>+M302*1000/(84*1*110*60)*T302</f>
        <v>5.2083333333333339</v>
      </c>
      <c r="O302" s="214"/>
      <c r="P302" s="214">
        <f t="shared" si="40"/>
        <v>0</v>
      </c>
      <c r="Q302" s="214"/>
      <c r="R302" s="19">
        <f t="shared" si="41"/>
        <v>0</v>
      </c>
      <c r="S302" s="214">
        <f t="shared" si="42"/>
        <v>0</v>
      </c>
      <c r="T302" s="20">
        <v>7</v>
      </c>
      <c r="U302" s="20"/>
      <c r="V302" s="21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12">
        <v>300254</v>
      </c>
      <c r="B303" s="208" t="s">
        <v>87</v>
      </c>
      <c r="C303" s="248" t="s">
        <v>107</v>
      </c>
      <c r="D303" s="248" t="s">
        <v>101</v>
      </c>
      <c r="E303" s="216" t="s">
        <v>41</v>
      </c>
      <c r="F303" s="215"/>
      <c r="G303" s="214"/>
      <c r="H303" s="214"/>
      <c r="I303" s="214"/>
      <c r="J303" s="214"/>
      <c r="K303" s="214">
        <f t="shared" si="38"/>
        <v>0</v>
      </c>
      <c r="L303" s="214">
        <f t="shared" si="39"/>
        <v>0</v>
      </c>
      <c r="M303" s="214">
        <v>412.5</v>
      </c>
      <c r="N303" s="214">
        <f>+M303*1000/(84*1*110*60)*T303</f>
        <v>5.2083333333333339</v>
      </c>
      <c r="O303" s="214"/>
      <c r="P303" s="214">
        <f t="shared" si="40"/>
        <v>0</v>
      </c>
      <c r="Q303" s="214"/>
      <c r="R303" s="19">
        <f t="shared" si="41"/>
        <v>0</v>
      </c>
      <c r="S303" s="214">
        <f t="shared" si="42"/>
        <v>0</v>
      </c>
      <c r="T303" s="20">
        <v>7</v>
      </c>
      <c r="U303" s="20"/>
      <c r="V303" s="21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12">
        <v>300253</v>
      </c>
      <c r="B304" s="208" t="s">
        <v>87</v>
      </c>
      <c r="C304" s="248" t="s">
        <v>107</v>
      </c>
      <c r="D304" s="248" t="s">
        <v>101</v>
      </c>
      <c r="E304" s="216" t="s">
        <v>66</v>
      </c>
      <c r="F304" s="215"/>
      <c r="G304" s="214"/>
      <c r="H304" s="214"/>
      <c r="I304" s="214"/>
      <c r="J304" s="214"/>
      <c r="K304" s="214">
        <f t="shared" si="38"/>
        <v>0</v>
      </c>
      <c r="L304" s="214">
        <f t="shared" si="39"/>
        <v>0</v>
      </c>
      <c r="M304" s="214">
        <v>412.5</v>
      </c>
      <c r="N304" s="214">
        <f>+M304*1000/(84*1*110*60)*T304</f>
        <v>5.2083333333333339</v>
      </c>
      <c r="O304" s="214"/>
      <c r="P304" s="214">
        <f t="shared" si="40"/>
        <v>0</v>
      </c>
      <c r="Q304" s="214"/>
      <c r="R304" s="19">
        <f t="shared" si="41"/>
        <v>0</v>
      </c>
      <c r="S304" s="214">
        <f t="shared" si="42"/>
        <v>0</v>
      </c>
      <c r="T304" s="20">
        <v>7</v>
      </c>
      <c r="U304" s="20"/>
      <c r="V304" s="21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12">
        <v>300255</v>
      </c>
      <c r="B305" s="208" t="s">
        <v>87</v>
      </c>
      <c r="C305" s="248" t="s">
        <v>107</v>
      </c>
      <c r="D305" s="248" t="s">
        <v>101</v>
      </c>
      <c r="E305" s="216" t="s">
        <v>108</v>
      </c>
      <c r="F305" s="215"/>
      <c r="G305" s="214"/>
      <c r="H305" s="214"/>
      <c r="I305" s="214"/>
      <c r="J305" s="214"/>
      <c r="K305" s="214">
        <f t="shared" si="38"/>
        <v>0</v>
      </c>
      <c r="L305" s="214">
        <f t="shared" si="39"/>
        <v>0</v>
      </c>
      <c r="M305" s="214">
        <v>412.5</v>
      </c>
      <c r="N305" s="214">
        <f>+M305*1000/(84*1*110*60)*T305</f>
        <v>5.2083333333333339</v>
      </c>
      <c r="O305" s="214"/>
      <c r="P305" s="214">
        <f t="shared" si="40"/>
        <v>0</v>
      </c>
      <c r="Q305" s="214"/>
      <c r="R305" s="19">
        <f t="shared" si="41"/>
        <v>0</v>
      </c>
      <c r="S305" s="214">
        <f t="shared" si="42"/>
        <v>0</v>
      </c>
      <c r="T305" s="20">
        <v>7</v>
      </c>
      <c r="U305" s="20"/>
      <c r="V305" s="21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12">
        <v>300392</v>
      </c>
      <c r="B306" s="208" t="s">
        <v>87</v>
      </c>
      <c r="C306" s="259" t="s">
        <v>109</v>
      </c>
      <c r="D306" s="260"/>
      <c r="E306" s="216" t="s">
        <v>105</v>
      </c>
      <c r="F306" s="212"/>
      <c r="G306" s="214"/>
      <c r="H306" s="214"/>
      <c r="I306" s="214"/>
      <c r="J306" s="214"/>
      <c r="K306" s="214">
        <f t="shared" si="38"/>
        <v>0</v>
      </c>
      <c r="L306" s="214">
        <f t="shared" si="39"/>
        <v>0</v>
      </c>
      <c r="M306" s="214">
        <v>523</v>
      </c>
      <c r="N306" s="214">
        <f>+M306*1000/(98*1*80*60)*T306</f>
        <v>7.7827380952380958</v>
      </c>
      <c r="O306" s="214"/>
      <c r="P306" s="214">
        <f t="shared" si="40"/>
        <v>0</v>
      </c>
      <c r="Q306" s="214"/>
      <c r="R306" s="19">
        <f t="shared" si="41"/>
        <v>0</v>
      </c>
      <c r="S306" s="214">
        <f t="shared" si="42"/>
        <v>0</v>
      </c>
      <c r="T306" s="20">
        <v>7</v>
      </c>
      <c r="U306" s="20"/>
      <c r="V306" s="21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212">
        <v>300088</v>
      </c>
      <c r="B307" s="208">
        <v>5001</v>
      </c>
      <c r="C307" s="248" t="s">
        <v>318</v>
      </c>
      <c r="D307" s="248" t="s">
        <v>96</v>
      </c>
      <c r="E307" s="216" t="s">
        <v>39</v>
      </c>
      <c r="F307" s="215">
        <v>1573</v>
      </c>
      <c r="G307" s="214">
        <v>13.5</v>
      </c>
      <c r="H307" s="214">
        <v>0.5</v>
      </c>
      <c r="I307" s="214">
        <f>13+H307</f>
        <v>13.5</v>
      </c>
      <c r="J307" s="214"/>
      <c r="K307" s="214">
        <f t="shared" si="38"/>
        <v>8340.2999999999993</v>
      </c>
      <c r="L307" s="214">
        <f t="shared" si="39"/>
        <v>8340.2999999999993</v>
      </c>
      <c r="M307" s="214">
        <v>617.79999999999995</v>
      </c>
      <c r="N307" s="214">
        <f>+M307*1000/(123*1*80*60)*T307</f>
        <v>3.1392276422764223</v>
      </c>
      <c r="O307" s="214"/>
      <c r="P307" s="214">
        <f t="shared" si="40"/>
        <v>42.379573170731703</v>
      </c>
      <c r="Q307" s="214">
        <v>11.5</v>
      </c>
      <c r="R307" s="19">
        <f t="shared" si="41"/>
        <v>57.5</v>
      </c>
      <c r="S307" s="214">
        <f t="shared" si="42"/>
        <v>15.120426829268297</v>
      </c>
      <c r="T307" s="20">
        <v>3</v>
      </c>
      <c r="U307" s="20">
        <v>5</v>
      </c>
      <c r="V307" s="21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12">
        <v>300089</v>
      </c>
      <c r="B308" s="208" t="s">
        <v>87</v>
      </c>
      <c r="C308" s="248" t="s">
        <v>318</v>
      </c>
      <c r="D308" s="248" t="s">
        <v>96</v>
      </c>
      <c r="E308" s="216" t="s">
        <v>42</v>
      </c>
      <c r="F308" s="215"/>
      <c r="G308" s="214"/>
      <c r="H308" s="214"/>
      <c r="I308" s="214"/>
      <c r="J308" s="214"/>
      <c r="K308" s="214">
        <f t="shared" si="38"/>
        <v>0</v>
      </c>
      <c r="L308" s="214">
        <f t="shared" si="39"/>
        <v>0</v>
      </c>
      <c r="M308" s="214">
        <v>618.6</v>
      </c>
      <c r="N308" s="214">
        <f>+M308*1000/(124*1*80*60)*T308</f>
        <v>3.117943548387097</v>
      </c>
      <c r="O308" s="214"/>
      <c r="P308" s="214">
        <f t="shared" si="40"/>
        <v>0</v>
      </c>
      <c r="Q308" s="214"/>
      <c r="R308" s="19">
        <f t="shared" si="41"/>
        <v>0</v>
      </c>
      <c r="S308" s="214">
        <f t="shared" si="42"/>
        <v>0</v>
      </c>
      <c r="T308" s="20">
        <v>3</v>
      </c>
      <c r="U308" s="20"/>
      <c r="V308" s="21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12">
        <v>300128</v>
      </c>
      <c r="B309" s="208" t="s">
        <v>87</v>
      </c>
      <c r="C309" s="248" t="s">
        <v>112</v>
      </c>
      <c r="D309" s="248" t="s">
        <v>113</v>
      </c>
      <c r="E309" s="216" t="s">
        <v>35</v>
      </c>
      <c r="F309" s="215"/>
      <c r="G309" s="214"/>
      <c r="H309" s="214"/>
      <c r="I309" s="214"/>
      <c r="J309" s="214"/>
      <c r="K309" s="214">
        <f t="shared" si="38"/>
        <v>0</v>
      </c>
      <c r="L309" s="214">
        <f t="shared" si="39"/>
        <v>0</v>
      </c>
      <c r="M309" s="214">
        <v>621.29999999999995</v>
      </c>
      <c r="N309" s="214">
        <f t="shared" ref="N309:N314" si="43">+M309*1000/(130.5*1*80*60)*T309</f>
        <v>3.9674329501915708</v>
      </c>
      <c r="O309" s="214"/>
      <c r="P309" s="214">
        <f t="shared" si="40"/>
        <v>0</v>
      </c>
      <c r="Q309" s="214"/>
      <c r="R309" s="19">
        <f t="shared" si="41"/>
        <v>0</v>
      </c>
      <c r="S309" s="214">
        <f t="shared" si="42"/>
        <v>0</v>
      </c>
      <c r="T309" s="20">
        <v>4</v>
      </c>
      <c r="U309" s="20"/>
      <c r="V309" s="21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12">
        <v>300129</v>
      </c>
      <c r="B310" s="208" t="s">
        <v>87</v>
      </c>
      <c r="C310" s="248" t="s">
        <v>112</v>
      </c>
      <c r="D310" s="248" t="s">
        <v>113</v>
      </c>
      <c r="E310" s="216" t="s">
        <v>41</v>
      </c>
      <c r="F310" s="215"/>
      <c r="G310" s="214"/>
      <c r="H310" s="214"/>
      <c r="I310" s="214"/>
      <c r="J310" s="214"/>
      <c r="K310" s="214">
        <f t="shared" si="38"/>
        <v>0</v>
      </c>
      <c r="L310" s="214">
        <f t="shared" si="39"/>
        <v>0</v>
      </c>
      <c r="M310" s="214">
        <v>621.29999999999995</v>
      </c>
      <c r="N310" s="214">
        <f t="shared" si="43"/>
        <v>3.9674329501915708</v>
      </c>
      <c r="O310" s="214"/>
      <c r="P310" s="214">
        <f t="shared" si="40"/>
        <v>0</v>
      </c>
      <c r="Q310" s="214"/>
      <c r="R310" s="19">
        <f t="shared" si="41"/>
        <v>0</v>
      </c>
      <c r="S310" s="214">
        <f t="shared" si="42"/>
        <v>0</v>
      </c>
      <c r="T310" s="20">
        <v>4</v>
      </c>
      <c r="U310" s="20"/>
      <c r="V310" s="21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12">
        <v>300130</v>
      </c>
      <c r="B311" s="208" t="s">
        <v>87</v>
      </c>
      <c r="C311" s="248" t="s">
        <v>112</v>
      </c>
      <c r="D311" s="248" t="s">
        <v>113</v>
      </c>
      <c r="E311" s="216" t="s">
        <v>37</v>
      </c>
      <c r="F311" s="215"/>
      <c r="G311" s="214"/>
      <c r="H311" s="214"/>
      <c r="I311" s="214"/>
      <c r="J311" s="214"/>
      <c r="K311" s="214">
        <f t="shared" si="38"/>
        <v>0</v>
      </c>
      <c r="L311" s="214">
        <f t="shared" si="39"/>
        <v>0</v>
      </c>
      <c r="M311" s="214">
        <v>621.29999999999995</v>
      </c>
      <c r="N311" s="214">
        <f t="shared" si="43"/>
        <v>3.9674329501915708</v>
      </c>
      <c r="O311" s="214"/>
      <c r="P311" s="214">
        <f t="shared" si="40"/>
        <v>0</v>
      </c>
      <c r="Q311" s="214"/>
      <c r="R311" s="19">
        <f t="shared" si="41"/>
        <v>0</v>
      </c>
      <c r="S311" s="214">
        <f t="shared" si="42"/>
        <v>0</v>
      </c>
      <c r="T311" s="20">
        <v>4</v>
      </c>
      <c r="U311" s="20"/>
      <c r="V311" s="21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12">
        <v>300423</v>
      </c>
      <c r="B312" s="208" t="s">
        <v>300</v>
      </c>
      <c r="C312" s="259" t="s">
        <v>296</v>
      </c>
      <c r="D312" s="260"/>
      <c r="E312" s="216" t="s">
        <v>297</v>
      </c>
      <c r="F312" s="27"/>
      <c r="G312" s="110"/>
      <c r="H312" s="110"/>
      <c r="I312" s="110"/>
      <c r="J312" s="110"/>
      <c r="K312" s="214">
        <f t="shared" si="38"/>
        <v>0</v>
      </c>
      <c r="L312" s="214">
        <f t="shared" si="39"/>
        <v>0</v>
      </c>
      <c r="M312" s="214">
        <v>524.1</v>
      </c>
      <c r="N312" s="214">
        <f t="shared" si="43"/>
        <v>3.3467432950191571</v>
      </c>
      <c r="O312" s="214"/>
      <c r="P312" s="214">
        <f t="shared" si="40"/>
        <v>0</v>
      </c>
      <c r="Q312" s="214"/>
      <c r="R312" s="19">
        <f t="shared" si="41"/>
        <v>0</v>
      </c>
      <c r="S312" s="214">
        <f t="shared" si="42"/>
        <v>0</v>
      </c>
      <c r="T312" s="20">
        <v>4</v>
      </c>
      <c r="U312" s="20"/>
      <c r="V312" s="213"/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12">
        <v>300424</v>
      </c>
      <c r="B313" s="208" t="s">
        <v>300</v>
      </c>
      <c r="C313" s="259" t="s">
        <v>296</v>
      </c>
      <c r="D313" s="260"/>
      <c r="E313" s="216" t="s">
        <v>298</v>
      </c>
      <c r="F313" s="27"/>
      <c r="G313" s="110"/>
      <c r="H313" s="110"/>
      <c r="I313" s="110"/>
      <c r="J313" s="110"/>
      <c r="K313" s="214">
        <f t="shared" si="38"/>
        <v>0</v>
      </c>
      <c r="L313" s="214">
        <f t="shared" si="39"/>
        <v>0</v>
      </c>
      <c r="M313" s="214">
        <v>524.1</v>
      </c>
      <c r="N313" s="214">
        <f t="shared" si="43"/>
        <v>3.3467432950191571</v>
      </c>
      <c r="O313" s="214"/>
      <c r="P313" s="214">
        <f t="shared" si="40"/>
        <v>0</v>
      </c>
      <c r="Q313" s="214"/>
      <c r="R313" s="19">
        <f t="shared" si="41"/>
        <v>0</v>
      </c>
      <c r="S313" s="214">
        <f t="shared" si="42"/>
        <v>0</v>
      </c>
      <c r="T313" s="20">
        <v>4</v>
      </c>
      <c r="U313" s="20"/>
      <c r="V313" s="213"/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12">
        <v>300425</v>
      </c>
      <c r="B314" s="208" t="s">
        <v>300</v>
      </c>
      <c r="C314" s="259" t="s">
        <v>296</v>
      </c>
      <c r="D314" s="260"/>
      <c r="E314" s="216" t="s">
        <v>299</v>
      </c>
      <c r="F314" s="27"/>
      <c r="G314" s="110"/>
      <c r="H314" s="110"/>
      <c r="I314" s="110"/>
      <c r="J314" s="110"/>
      <c r="K314" s="214">
        <f t="shared" si="38"/>
        <v>0</v>
      </c>
      <c r="L314" s="214">
        <f t="shared" si="39"/>
        <v>0</v>
      </c>
      <c r="M314" s="214">
        <v>524.1</v>
      </c>
      <c r="N314" s="214">
        <f t="shared" si="43"/>
        <v>3.3467432950191571</v>
      </c>
      <c r="O314" s="214"/>
      <c r="P314" s="214">
        <f t="shared" si="40"/>
        <v>0</v>
      </c>
      <c r="Q314" s="214"/>
      <c r="R314" s="19">
        <f t="shared" si="41"/>
        <v>0</v>
      </c>
      <c r="S314" s="214">
        <f t="shared" si="42"/>
        <v>0</v>
      </c>
      <c r="T314" s="20">
        <v>4</v>
      </c>
      <c r="U314" s="20"/>
      <c r="V314" s="21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12">
        <v>300390</v>
      </c>
      <c r="B315" s="208" t="s">
        <v>295</v>
      </c>
      <c r="C315" s="259" t="s">
        <v>114</v>
      </c>
      <c r="D315" s="260"/>
      <c r="E315" s="216" t="s">
        <v>115</v>
      </c>
      <c r="F315" s="215"/>
      <c r="G315" s="214"/>
      <c r="H315" s="214"/>
      <c r="I315" s="214"/>
      <c r="J315" s="214"/>
      <c r="K315" s="214">
        <f t="shared" si="38"/>
        <v>0</v>
      </c>
      <c r="L315" s="214">
        <f t="shared" si="39"/>
        <v>0</v>
      </c>
      <c r="M315" s="214">
        <v>417.4</v>
      </c>
      <c r="N315" s="214">
        <f>+M315*1000/(87*1*80*60)*T315</f>
        <v>3.9980842911877397</v>
      </c>
      <c r="O315" s="214"/>
      <c r="P315" s="214">
        <f t="shared" si="40"/>
        <v>0</v>
      </c>
      <c r="Q315" s="214"/>
      <c r="R315" s="19">
        <f t="shared" si="41"/>
        <v>0</v>
      </c>
      <c r="S315" s="214">
        <f t="shared" si="42"/>
        <v>0</v>
      </c>
      <c r="T315" s="20">
        <v>4</v>
      </c>
      <c r="U315" s="20"/>
      <c r="V315" s="21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12">
        <v>300391</v>
      </c>
      <c r="B316" s="208" t="s">
        <v>116</v>
      </c>
      <c r="C316" s="259" t="s">
        <v>114</v>
      </c>
      <c r="D316" s="260"/>
      <c r="E316" s="216" t="s">
        <v>117</v>
      </c>
      <c r="F316" s="215"/>
      <c r="G316" s="214"/>
      <c r="H316" s="214"/>
      <c r="I316" s="214"/>
      <c r="J316" s="214"/>
      <c r="K316" s="214">
        <f t="shared" si="38"/>
        <v>0</v>
      </c>
      <c r="L316" s="214">
        <f t="shared" si="39"/>
        <v>0</v>
      </c>
      <c r="M316" s="214">
        <v>417.4</v>
      </c>
      <c r="N316" s="214">
        <f>+M316*1000/(87*1*80*60)*T316</f>
        <v>3.9980842911877397</v>
      </c>
      <c r="O316" s="214"/>
      <c r="P316" s="214">
        <f t="shared" si="40"/>
        <v>0</v>
      </c>
      <c r="Q316" s="214"/>
      <c r="R316" s="19">
        <f t="shared" si="41"/>
        <v>0</v>
      </c>
      <c r="S316" s="214">
        <f t="shared" si="42"/>
        <v>0</v>
      </c>
      <c r="T316" s="20">
        <v>4</v>
      </c>
      <c r="U316" s="20"/>
      <c r="V316" s="21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12">
        <v>300431</v>
      </c>
      <c r="B317" s="208" t="s">
        <v>300</v>
      </c>
      <c r="C317" s="259" t="s">
        <v>305</v>
      </c>
      <c r="D317" s="260"/>
      <c r="E317" s="216" t="s">
        <v>306</v>
      </c>
      <c r="F317" s="27"/>
      <c r="G317" s="110"/>
      <c r="H317" s="110"/>
      <c r="I317" s="110"/>
      <c r="J317" s="110"/>
      <c r="K317" s="214">
        <f t="shared" si="38"/>
        <v>0</v>
      </c>
      <c r="L317" s="214">
        <f t="shared" si="39"/>
        <v>0</v>
      </c>
      <c r="M317" s="214">
        <v>628.79999999999995</v>
      </c>
      <c r="N317" s="214">
        <f>+M317*1000/(87*1*80*60)*T317</f>
        <v>6.0229885057471266</v>
      </c>
      <c r="O317" s="214"/>
      <c r="P317" s="214">
        <f t="shared" si="40"/>
        <v>0</v>
      </c>
      <c r="Q317" s="214"/>
      <c r="R317" s="19">
        <f t="shared" si="41"/>
        <v>0</v>
      </c>
      <c r="S317" s="214">
        <f t="shared" si="42"/>
        <v>0</v>
      </c>
      <c r="T317" s="20">
        <v>4</v>
      </c>
      <c r="U317" s="20"/>
      <c r="V317" s="213"/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12">
        <v>300432</v>
      </c>
      <c r="B318" s="208" t="s">
        <v>300</v>
      </c>
      <c r="C318" s="259" t="s">
        <v>305</v>
      </c>
      <c r="D318" s="260"/>
      <c r="E318" s="216" t="s">
        <v>307</v>
      </c>
      <c r="F318" s="27"/>
      <c r="G318" s="110"/>
      <c r="H318" s="110"/>
      <c r="I318" s="110"/>
      <c r="J318" s="110"/>
      <c r="K318" s="214">
        <f t="shared" si="38"/>
        <v>0</v>
      </c>
      <c r="L318" s="214">
        <f t="shared" si="39"/>
        <v>0</v>
      </c>
      <c r="M318" s="214">
        <v>628.79999999999995</v>
      </c>
      <c r="N318" s="214">
        <f>+M318*1000/(87*1*80*60)*T318</f>
        <v>6.0229885057471266</v>
      </c>
      <c r="O318" s="214"/>
      <c r="P318" s="214">
        <f t="shared" si="40"/>
        <v>0</v>
      </c>
      <c r="Q318" s="214"/>
      <c r="R318" s="19">
        <f t="shared" si="41"/>
        <v>0</v>
      </c>
      <c r="S318" s="214">
        <f t="shared" si="42"/>
        <v>0</v>
      </c>
      <c r="T318" s="20">
        <v>4</v>
      </c>
      <c r="U318" s="20"/>
      <c r="V318" s="213"/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12">
        <v>300433</v>
      </c>
      <c r="B319" s="208" t="s">
        <v>300</v>
      </c>
      <c r="C319" s="259" t="s">
        <v>305</v>
      </c>
      <c r="D319" s="260"/>
      <c r="E319" s="134" t="s">
        <v>308</v>
      </c>
      <c r="F319" s="27"/>
      <c r="G319" s="110"/>
      <c r="H319" s="110"/>
      <c r="I319" s="110"/>
      <c r="J319" s="110"/>
      <c r="K319" s="214">
        <f t="shared" si="38"/>
        <v>0</v>
      </c>
      <c r="L319" s="214">
        <f t="shared" si="39"/>
        <v>0</v>
      </c>
      <c r="M319" s="214">
        <v>628.79999999999995</v>
      </c>
      <c r="N319" s="214">
        <f>+M319*1000/(87*1*80*60)*T319</f>
        <v>6.0229885057471266</v>
      </c>
      <c r="O319" s="214"/>
      <c r="P319" s="214">
        <f t="shared" si="40"/>
        <v>0</v>
      </c>
      <c r="Q319" s="214"/>
      <c r="R319" s="19">
        <f t="shared" si="41"/>
        <v>0</v>
      </c>
      <c r="S319" s="214">
        <f t="shared" si="42"/>
        <v>0</v>
      </c>
      <c r="T319" s="20">
        <v>4</v>
      </c>
      <c r="U319" s="20"/>
      <c r="V319" s="213"/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12">
        <v>300074</v>
      </c>
      <c r="B320" s="208" t="s">
        <v>118</v>
      </c>
      <c r="C320" s="248" t="s">
        <v>119</v>
      </c>
      <c r="D320" s="248" t="s">
        <v>120</v>
      </c>
      <c r="E320" s="216" t="s">
        <v>54</v>
      </c>
      <c r="F320" s="215"/>
      <c r="G320" s="214"/>
      <c r="H320" s="214"/>
      <c r="I320" s="214"/>
      <c r="J320" s="214"/>
      <c r="K320" s="214">
        <f t="shared" si="38"/>
        <v>0</v>
      </c>
      <c r="L320" s="214">
        <f t="shared" si="39"/>
        <v>0</v>
      </c>
      <c r="M320" s="214">
        <v>290.8</v>
      </c>
      <c r="N320" s="214">
        <f>+M320*1000/(88*4*13*60)*T320</f>
        <v>3.1774475524475525</v>
      </c>
      <c r="O320" s="214"/>
      <c r="P320" s="214">
        <f t="shared" si="40"/>
        <v>0</v>
      </c>
      <c r="Q320" s="214"/>
      <c r="R320" s="19">
        <f t="shared" si="41"/>
        <v>0</v>
      </c>
      <c r="S320" s="214">
        <f t="shared" si="42"/>
        <v>0</v>
      </c>
      <c r="T320" s="20">
        <v>3</v>
      </c>
      <c r="U320" s="20"/>
      <c r="V320" s="21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12">
        <v>300076</v>
      </c>
      <c r="B321" s="208" t="s">
        <v>118</v>
      </c>
      <c r="C321" s="248" t="s">
        <v>119</v>
      </c>
      <c r="D321" s="248" t="s">
        <v>120</v>
      </c>
      <c r="E321" s="216" t="s">
        <v>35</v>
      </c>
      <c r="F321" s="215"/>
      <c r="G321" s="214"/>
      <c r="H321" s="214"/>
      <c r="I321" s="214"/>
      <c r="J321" s="214"/>
      <c r="K321" s="214">
        <f t="shared" si="38"/>
        <v>0</v>
      </c>
      <c r="L321" s="214">
        <f t="shared" si="39"/>
        <v>0</v>
      </c>
      <c r="M321" s="214">
        <v>303.10000000000002</v>
      </c>
      <c r="N321" s="214">
        <f>+M321*1000/(88*4*12*60)*T321</f>
        <v>4.7837752525252526</v>
      </c>
      <c r="O321" s="214"/>
      <c r="P321" s="214">
        <f t="shared" si="40"/>
        <v>0</v>
      </c>
      <c r="Q321" s="214"/>
      <c r="R321" s="19">
        <f t="shared" si="41"/>
        <v>0</v>
      </c>
      <c r="S321" s="214">
        <f t="shared" si="42"/>
        <v>0</v>
      </c>
      <c r="T321" s="20">
        <v>4</v>
      </c>
      <c r="U321" s="20"/>
      <c r="V321" s="21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12">
        <v>300096</v>
      </c>
      <c r="B322" s="208">
        <v>6502</v>
      </c>
      <c r="C322" s="248" t="s">
        <v>121</v>
      </c>
      <c r="D322" s="248" t="s">
        <v>122</v>
      </c>
      <c r="E322" s="216" t="s">
        <v>37</v>
      </c>
      <c r="F322" s="215"/>
      <c r="G322" s="214"/>
      <c r="H322" s="214"/>
      <c r="I322" s="214"/>
      <c r="J322" s="214"/>
      <c r="K322" s="214">
        <f t="shared" si="38"/>
        <v>0</v>
      </c>
      <c r="L322" s="214">
        <f t="shared" si="39"/>
        <v>0</v>
      </c>
      <c r="M322" s="214">
        <v>480.13</v>
      </c>
      <c r="N322" s="214">
        <f>+M322*1000/(126.5*4*12*60)*T322</f>
        <v>2.6357597716293371</v>
      </c>
      <c r="O322" s="214"/>
      <c r="P322" s="214">
        <f t="shared" si="40"/>
        <v>0</v>
      </c>
      <c r="Q322" s="214"/>
      <c r="R322" s="19">
        <f t="shared" si="41"/>
        <v>0</v>
      </c>
      <c r="S322" s="214">
        <f t="shared" si="42"/>
        <v>0</v>
      </c>
      <c r="T322" s="20">
        <v>2</v>
      </c>
      <c r="U322" s="20"/>
      <c r="V322" s="21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12"/>
      <c r="B323" s="208" t="s">
        <v>118</v>
      </c>
      <c r="C323" s="248" t="s">
        <v>121</v>
      </c>
      <c r="D323" s="248" t="s">
        <v>122</v>
      </c>
      <c r="E323" s="216" t="s">
        <v>35</v>
      </c>
      <c r="F323" s="215"/>
      <c r="G323" s="214"/>
      <c r="H323" s="214"/>
      <c r="I323" s="214"/>
      <c r="J323" s="214"/>
      <c r="K323" s="214">
        <f t="shared" si="38"/>
        <v>0</v>
      </c>
      <c r="L323" s="214">
        <f t="shared" si="39"/>
        <v>0</v>
      </c>
      <c r="M323" s="214">
        <v>480.13</v>
      </c>
      <c r="N323" s="214">
        <f>+M323*1000/(126.5*4*12*60)*T323</f>
        <v>2.6357597716293371</v>
      </c>
      <c r="O323" s="214"/>
      <c r="P323" s="214">
        <f t="shared" si="40"/>
        <v>0</v>
      </c>
      <c r="Q323" s="214"/>
      <c r="R323" s="19">
        <f t="shared" si="41"/>
        <v>0</v>
      </c>
      <c r="S323" s="214">
        <f t="shared" si="42"/>
        <v>0</v>
      </c>
      <c r="T323" s="20">
        <v>2</v>
      </c>
      <c r="U323" s="20"/>
      <c r="V323" s="21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212">
        <v>300097</v>
      </c>
      <c r="B324" s="208">
        <v>6502</v>
      </c>
      <c r="C324" s="248" t="s">
        <v>121</v>
      </c>
      <c r="D324" s="248" t="s">
        <v>122</v>
      </c>
      <c r="E324" s="216" t="s">
        <v>63</v>
      </c>
      <c r="F324" s="215" t="s">
        <v>327</v>
      </c>
      <c r="G324" s="214">
        <v>9.67</v>
      </c>
      <c r="H324" s="214">
        <v>0.93333333333333335</v>
      </c>
      <c r="I324" s="214">
        <f>9+H324-J324/300</f>
        <v>9.6666666666666661</v>
      </c>
      <c r="J324" s="214">
        <v>80</v>
      </c>
      <c r="K324" s="214">
        <f t="shared" si="38"/>
        <v>4642.8571000000002</v>
      </c>
      <c r="L324" s="214">
        <f t="shared" si="39"/>
        <v>4641.2566666666662</v>
      </c>
      <c r="M324" s="214">
        <v>480.13</v>
      </c>
      <c r="N324" s="214">
        <f>+M324*1000/(126.5*4*12*60)*T324</f>
        <v>2.6357597716293371</v>
      </c>
      <c r="O324" s="214"/>
      <c r="P324" s="214">
        <f t="shared" si="40"/>
        <v>25.479011125750258</v>
      </c>
      <c r="Q324" s="214">
        <v>11.5</v>
      </c>
      <c r="R324" s="19">
        <f t="shared" si="41"/>
        <v>23</v>
      </c>
      <c r="S324" s="214">
        <f t="shared" si="42"/>
        <v>-2.4790111257502581</v>
      </c>
      <c r="T324" s="20">
        <v>2</v>
      </c>
      <c r="U324" s="20">
        <v>2</v>
      </c>
      <c r="V324" s="213">
        <f t="array" ref="V324">IF(ISERROR(L324/K324),"",L324/K324)</f>
        <v>0.99965529127886921</v>
      </c>
      <c r="W324" s="20"/>
      <c r="X324" s="20">
        <v>1.2</v>
      </c>
      <c r="Y324" s="20"/>
      <c r="Z324" s="20"/>
      <c r="AA324" s="20"/>
      <c r="AB324" s="20"/>
      <c r="AC324" s="20"/>
    </row>
    <row r="325" spans="1:29" s="2" customFormat="1" ht="21.95" hidden="1" customHeight="1">
      <c r="A325" s="208">
        <v>300294</v>
      </c>
      <c r="B325" s="208" t="s">
        <v>118</v>
      </c>
      <c r="C325" s="248" t="s">
        <v>123</v>
      </c>
      <c r="D325" s="248"/>
      <c r="E325" s="216" t="s">
        <v>41</v>
      </c>
      <c r="F325" s="215"/>
      <c r="G325" s="214"/>
      <c r="H325" s="214"/>
      <c r="I325" s="214"/>
      <c r="J325" s="214"/>
      <c r="K325" s="214">
        <f t="shared" si="38"/>
        <v>0</v>
      </c>
      <c r="L325" s="214">
        <f t="shared" si="39"/>
        <v>0</v>
      </c>
      <c r="M325" s="214">
        <v>373.14</v>
      </c>
      <c r="N325" s="214">
        <f t="shared" ref="N325:N334" si="44">+M325*1000/(90*4*14*60)*T325</f>
        <v>3.7017857142857142</v>
      </c>
      <c r="O325" s="214"/>
      <c r="P325" s="214">
        <f t="shared" si="40"/>
        <v>0</v>
      </c>
      <c r="Q325" s="214"/>
      <c r="R325" s="19">
        <f t="shared" si="41"/>
        <v>0</v>
      </c>
      <c r="S325" s="214">
        <f t="shared" si="42"/>
        <v>0</v>
      </c>
      <c r="T325" s="20">
        <v>3</v>
      </c>
      <c r="U325" s="20"/>
      <c r="V325" s="21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08">
        <v>300295</v>
      </c>
      <c r="B326" s="208" t="s">
        <v>124</v>
      </c>
      <c r="C326" s="248" t="s">
        <v>125</v>
      </c>
      <c r="D326" s="248"/>
      <c r="E326" s="216" t="s">
        <v>126</v>
      </c>
      <c r="F326" s="215"/>
      <c r="G326" s="214"/>
      <c r="H326" s="214"/>
      <c r="I326" s="214"/>
      <c r="J326" s="214"/>
      <c r="K326" s="214">
        <f t="shared" si="38"/>
        <v>0</v>
      </c>
      <c r="L326" s="214">
        <f t="shared" si="39"/>
        <v>0</v>
      </c>
      <c r="M326" s="214">
        <v>373.14</v>
      </c>
      <c r="N326" s="214">
        <f t="shared" si="44"/>
        <v>3.7017857142857142</v>
      </c>
      <c r="O326" s="214"/>
      <c r="P326" s="214">
        <f t="shared" si="40"/>
        <v>0</v>
      </c>
      <c r="Q326" s="214"/>
      <c r="R326" s="19">
        <f t="shared" si="41"/>
        <v>0</v>
      </c>
      <c r="S326" s="214">
        <f t="shared" si="42"/>
        <v>0</v>
      </c>
      <c r="T326" s="20">
        <v>3</v>
      </c>
      <c r="U326" s="20"/>
      <c r="V326" s="21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08">
        <v>300258</v>
      </c>
      <c r="B327" s="208" t="s">
        <v>118</v>
      </c>
      <c r="C327" s="248" t="s">
        <v>123</v>
      </c>
      <c r="D327" s="248"/>
      <c r="E327" s="216" t="s">
        <v>42</v>
      </c>
      <c r="F327" s="215"/>
      <c r="G327" s="214"/>
      <c r="H327" s="214"/>
      <c r="I327" s="214"/>
      <c r="J327" s="214"/>
      <c r="K327" s="214">
        <f t="shared" si="38"/>
        <v>0</v>
      </c>
      <c r="L327" s="214">
        <f t="shared" si="39"/>
        <v>0</v>
      </c>
      <c r="M327" s="214">
        <v>373.14</v>
      </c>
      <c r="N327" s="214">
        <f t="shared" si="44"/>
        <v>3.7017857142857142</v>
      </c>
      <c r="O327" s="214"/>
      <c r="P327" s="214">
        <f t="shared" si="40"/>
        <v>0</v>
      </c>
      <c r="Q327" s="214"/>
      <c r="R327" s="19">
        <f t="shared" si="41"/>
        <v>0</v>
      </c>
      <c r="S327" s="214">
        <f t="shared" si="42"/>
        <v>0</v>
      </c>
      <c r="T327" s="20">
        <v>3</v>
      </c>
      <c r="U327" s="20"/>
      <c r="V327" s="21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08">
        <v>300256</v>
      </c>
      <c r="B328" s="208" t="s">
        <v>118</v>
      </c>
      <c r="C328" s="248" t="s">
        <v>123</v>
      </c>
      <c r="D328" s="248"/>
      <c r="E328" s="216" t="s">
        <v>74</v>
      </c>
      <c r="F328" s="215"/>
      <c r="G328" s="214"/>
      <c r="H328" s="214"/>
      <c r="I328" s="214"/>
      <c r="J328" s="214"/>
      <c r="K328" s="214">
        <f t="shared" si="38"/>
        <v>0</v>
      </c>
      <c r="L328" s="214">
        <f t="shared" si="39"/>
        <v>0</v>
      </c>
      <c r="M328" s="214">
        <v>373.14</v>
      </c>
      <c r="N328" s="214">
        <f t="shared" si="44"/>
        <v>3.7017857142857142</v>
      </c>
      <c r="O328" s="214"/>
      <c r="P328" s="214">
        <f t="shared" si="40"/>
        <v>0</v>
      </c>
      <c r="Q328" s="214"/>
      <c r="R328" s="19">
        <f t="shared" si="41"/>
        <v>0</v>
      </c>
      <c r="S328" s="214">
        <f t="shared" si="42"/>
        <v>0</v>
      </c>
      <c r="T328" s="20">
        <v>3</v>
      </c>
      <c r="U328" s="20"/>
      <c r="V328" s="21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08">
        <v>300259</v>
      </c>
      <c r="B329" s="208" t="s">
        <v>118</v>
      </c>
      <c r="C329" s="248" t="s">
        <v>123</v>
      </c>
      <c r="D329" s="248"/>
      <c r="E329" s="216" t="s">
        <v>40</v>
      </c>
      <c r="F329" s="215"/>
      <c r="G329" s="214"/>
      <c r="H329" s="214"/>
      <c r="I329" s="214"/>
      <c r="J329" s="214"/>
      <c r="K329" s="214">
        <f t="shared" si="38"/>
        <v>0</v>
      </c>
      <c r="L329" s="214">
        <f t="shared" si="39"/>
        <v>0</v>
      </c>
      <c r="M329" s="214">
        <v>373.14</v>
      </c>
      <c r="N329" s="214">
        <f t="shared" si="44"/>
        <v>3.7017857142857142</v>
      </c>
      <c r="O329" s="214"/>
      <c r="P329" s="214">
        <f t="shared" si="40"/>
        <v>0</v>
      </c>
      <c r="Q329" s="214"/>
      <c r="R329" s="19">
        <f t="shared" si="41"/>
        <v>0</v>
      </c>
      <c r="S329" s="214">
        <f t="shared" si="42"/>
        <v>0</v>
      </c>
      <c r="T329" s="20">
        <v>3</v>
      </c>
      <c r="U329" s="20"/>
      <c r="V329" s="21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08">
        <v>300345</v>
      </c>
      <c r="B330" s="208" t="s">
        <v>118</v>
      </c>
      <c r="C330" s="248" t="s">
        <v>127</v>
      </c>
      <c r="D330" s="248"/>
      <c r="E330" s="216" t="s">
        <v>74</v>
      </c>
      <c r="F330" s="215"/>
      <c r="G330" s="41"/>
      <c r="H330" s="41"/>
      <c r="I330" s="41"/>
      <c r="J330" s="41"/>
      <c r="K330" s="214">
        <f t="shared" si="38"/>
        <v>0</v>
      </c>
      <c r="L330" s="214">
        <f t="shared" si="39"/>
        <v>0</v>
      </c>
      <c r="M330" s="214">
        <v>373.14</v>
      </c>
      <c r="N330" s="214">
        <f t="shared" si="44"/>
        <v>3.7017857142857142</v>
      </c>
      <c r="O330" s="41"/>
      <c r="P330" s="214">
        <f t="shared" si="40"/>
        <v>0</v>
      </c>
      <c r="Q330" s="41"/>
      <c r="R330" s="19">
        <f t="shared" si="41"/>
        <v>0</v>
      </c>
      <c r="S330" s="214">
        <f t="shared" si="42"/>
        <v>0</v>
      </c>
      <c r="T330" s="20">
        <v>3</v>
      </c>
      <c r="U330" s="41"/>
      <c r="V330" s="21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08">
        <v>300346</v>
      </c>
      <c r="B331" s="208" t="s">
        <v>118</v>
      </c>
      <c r="C331" s="248" t="s">
        <v>127</v>
      </c>
      <c r="D331" s="248"/>
      <c r="E331" s="216" t="s">
        <v>42</v>
      </c>
      <c r="F331" s="215"/>
      <c r="G331" s="41"/>
      <c r="H331" s="41"/>
      <c r="I331" s="41"/>
      <c r="J331" s="41"/>
      <c r="K331" s="214">
        <f t="shared" si="38"/>
        <v>0</v>
      </c>
      <c r="L331" s="214">
        <f t="shared" si="39"/>
        <v>0</v>
      </c>
      <c r="M331" s="214">
        <v>373.14</v>
      </c>
      <c r="N331" s="214">
        <f t="shared" si="44"/>
        <v>3.7017857142857142</v>
      </c>
      <c r="O331" s="41"/>
      <c r="P331" s="214">
        <f t="shared" si="40"/>
        <v>0</v>
      </c>
      <c r="Q331" s="41"/>
      <c r="R331" s="19">
        <f t="shared" si="41"/>
        <v>0</v>
      </c>
      <c r="S331" s="214">
        <f t="shared" si="42"/>
        <v>0</v>
      </c>
      <c r="T331" s="20">
        <v>3</v>
      </c>
      <c r="U331" s="41"/>
      <c r="V331" s="21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08">
        <v>300347</v>
      </c>
      <c r="B332" s="208" t="s">
        <v>118</v>
      </c>
      <c r="C332" s="248" t="s">
        <v>127</v>
      </c>
      <c r="D332" s="248"/>
      <c r="E332" s="216" t="s">
        <v>41</v>
      </c>
      <c r="F332" s="215"/>
      <c r="G332" s="41"/>
      <c r="H332" s="41"/>
      <c r="I332" s="41"/>
      <c r="J332" s="41"/>
      <c r="K332" s="214">
        <f t="shared" si="38"/>
        <v>0</v>
      </c>
      <c r="L332" s="214">
        <f t="shared" si="39"/>
        <v>0</v>
      </c>
      <c r="M332" s="214">
        <v>373.14</v>
      </c>
      <c r="N332" s="214">
        <f t="shared" si="44"/>
        <v>3.7017857142857142</v>
      </c>
      <c r="O332" s="41"/>
      <c r="P332" s="214">
        <f t="shared" si="40"/>
        <v>0</v>
      </c>
      <c r="Q332" s="41"/>
      <c r="R332" s="19">
        <f t="shared" si="41"/>
        <v>0</v>
      </c>
      <c r="S332" s="214">
        <f t="shared" si="42"/>
        <v>0</v>
      </c>
      <c r="T332" s="20">
        <v>3</v>
      </c>
      <c r="U332" s="41"/>
      <c r="V332" s="21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08">
        <v>300348</v>
      </c>
      <c r="B333" s="208" t="s">
        <v>118</v>
      </c>
      <c r="C333" s="248" t="s">
        <v>127</v>
      </c>
      <c r="D333" s="248"/>
      <c r="E333" s="216" t="s">
        <v>126</v>
      </c>
      <c r="F333" s="215"/>
      <c r="G333" s="41"/>
      <c r="H333" s="41"/>
      <c r="I333" s="41"/>
      <c r="J333" s="41"/>
      <c r="K333" s="214">
        <f t="shared" si="38"/>
        <v>0</v>
      </c>
      <c r="L333" s="214">
        <f t="shared" si="39"/>
        <v>0</v>
      </c>
      <c r="M333" s="214">
        <v>373.14</v>
      </c>
      <c r="N333" s="214">
        <f t="shared" si="44"/>
        <v>3.7017857142857142</v>
      </c>
      <c r="O333" s="41"/>
      <c r="P333" s="214">
        <f t="shared" si="40"/>
        <v>0</v>
      </c>
      <c r="Q333" s="41"/>
      <c r="R333" s="19">
        <f t="shared" si="41"/>
        <v>0</v>
      </c>
      <c r="S333" s="214">
        <f t="shared" si="42"/>
        <v>0</v>
      </c>
      <c r="T333" s="20">
        <v>3</v>
      </c>
      <c r="U333" s="41"/>
      <c r="V333" s="21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08">
        <v>300349</v>
      </c>
      <c r="B334" s="208" t="s">
        <v>118</v>
      </c>
      <c r="C334" s="248" t="s">
        <v>127</v>
      </c>
      <c r="D334" s="248"/>
      <c r="E334" s="216" t="s">
        <v>40</v>
      </c>
      <c r="F334" s="215"/>
      <c r="G334" s="41"/>
      <c r="H334" s="41"/>
      <c r="I334" s="41"/>
      <c r="J334" s="41"/>
      <c r="K334" s="214">
        <f t="shared" si="38"/>
        <v>0</v>
      </c>
      <c r="L334" s="214">
        <f t="shared" si="39"/>
        <v>0</v>
      </c>
      <c r="M334" s="214">
        <v>373.14</v>
      </c>
      <c r="N334" s="214">
        <f t="shared" si="44"/>
        <v>3.7017857142857142</v>
      </c>
      <c r="O334" s="41"/>
      <c r="P334" s="214">
        <f t="shared" si="40"/>
        <v>0</v>
      </c>
      <c r="Q334" s="41"/>
      <c r="R334" s="19">
        <f t="shared" si="41"/>
        <v>0</v>
      </c>
      <c r="S334" s="214">
        <f t="shared" si="42"/>
        <v>0</v>
      </c>
      <c r="T334" s="20">
        <v>3</v>
      </c>
      <c r="U334" s="41"/>
      <c r="V334" s="21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08">
        <v>300298</v>
      </c>
      <c r="B335" s="208" t="s">
        <v>118</v>
      </c>
      <c r="C335" s="248" t="s">
        <v>128</v>
      </c>
      <c r="D335" s="248"/>
      <c r="E335" s="216" t="s">
        <v>54</v>
      </c>
      <c r="F335" s="215"/>
      <c r="G335" s="214"/>
      <c r="H335" s="214"/>
      <c r="I335" s="214"/>
      <c r="J335" s="214"/>
      <c r="K335" s="214">
        <f t="shared" si="38"/>
        <v>0</v>
      </c>
      <c r="L335" s="214">
        <f t="shared" si="39"/>
        <v>0</v>
      </c>
      <c r="M335" s="214">
        <v>380.63</v>
      </c>
      <c r="N335" s="214">
        <f t="shared" ref="N335:N340" si="45">+M335*1000/(94.7*4*15*60)*T335</f>
        <v>4.4659157573624313</v>
      </c>
      <c r="O335" s="214"/>
      <c r="P335" s="214">
        <f t="shared" si="40"/>
        <v>0</v>
      </c>
      <c r="Q335" s="214"/>
      <c r="R335" s="19">
        <f t="shared" si="41"/>
        <v>0</v>
      </c>
      <c r="S335" s="214">
        <f t="shared" si="42"/>
        <v>0</v>
      </c>
      <c r="T335" s="20">
        <v>4</v>
      </c>
      <c r="U335" s="20"/>
      <c r="V335" s="21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08">
        <v>300299</v>
      </c>
      <c r="B336" s="208" t="s">
        <v>118</v>
      </c>
      <c r="C336" s="248" t="s">
        <v>128</v>
      </c>
      <c r="D336" s="248"/>
      <c r="E336" s="216" t="s">
        <v>39</v>
      </c>
      <c r="F336" s="215"/>
      <c r="G336" s="214"/>
      <c r="H336" s="214"/>
      <c r="I336" s="214"/>
      <c r="J336" s="214"/>
      <c r="K336" s="214">
        <f t="shared" si="38"/>
        <v>0</v>
      </c>
      <c r="L336" s="214">
        <f t="shared" si="39"/>
        <v>0</v>
      </c>
      <c r="M336" s="214">
        <v>380.63</v>
      </c>
      <c r="N336" s="214">
        <f t="shared" si="45"/>
        <v>4.4659157573624313</v>
      </c>
      <c r="O336" s="214"/>
      <c r="P336" s="214">
        <f t="shared" si="40"/>
        <v>0</v>
      </c>
      <c r="Q336" s="214"/>
      <c r="R336" s="19">
        <f t="shared" si="41"/>
        <v>0</v>
      </c>
      <c r="S336" s="214">
        <f t="shared" si="42"/>
        <v>0</v>
      </c>
      <c r="T336" s="20">
        <v>4</v>
      </c>
      <c r="U336" s="20"/>
      <c r="V336" s="21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08">
        <v>300296</v>
      </c>
      <c r="B337" s="208" t="s">
        <v>118</v>
      </c>
      <c r="C337" s="248" t="s">
        <v>128</v>
      </c>
      <c r="D337" s="248"/>
      <c r="E337" s="216" t="s">
        <v>41</v>
      </c>
      <c r="F337" s="215"/>
      <c r="G337" s="214"/>
      <c r="H337" s="214"/>
      <c r="I337" s="214"/>
      <c r="J337" s="214"/>
      <c r="K337" s="214">
        <f t="shared" si="38"/>
        <v>0</v>
      </c>
      <c r="L337" s="214">
        <f t="shared" si="39"/>
        <v>0</v>
      </c>
      <c r="M337" s="214">
        <v>380.63</v>
      </c>
      <c r="N337" s="214">
        <f t="shared" si="45"/>
        <v>4.4659157573624313</v>
      </c>
      <c r="O337" s="214"/>
      <c r="P337" s="214">
        <f t="shared" si="40"/>
        <v>0</v>
      </c>
      <c r="Q337" s="214"/>
      <c r="R337" s="19">
        <f t="shared" si="41"/>
        <v>0</v>
      </c>
      <c r="S337" s="214">
        <f t="shared" si="42"/>
        <v>0</v>
      </c>
      <c r="T337" s="20">
        <v>4</v>
      </c>
      <c r="U337" s="20"/>
      <c r="V337" s="21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08">
        <v>300297</v>
      </c>
      <c r="B338" s="208" t="s">
        <v>118</v>
      </c>
      <c r="C338" s="248" t="s">
        <v>128</v>
      </c>
      <c r="D338" s="248"/>
      <c r="E338" s="216" t="s">
        <v>37</v>
      </c>
      <c r="F338" s="215"/>
      <c r="G338" s="214"/>
      <c r="H338" s="214"/>
      <c r="I338" s="214"/>
      <c r="J338" s="214"/>
      <c r="K338" s="214">
        <f t="shared" si="38"/>
        <v>0</v>
      </c>
      <c r="L338" s="214">
        <f t="shared" si="39"/>
        <v>0</v>
      </c>
      <c r="M338" s="214">
        <v>380.63</v>
      </c>
      <c r="N338" s="214">
        <f t="shared" si="45"/>
        <v>4.4659157573624313</v>
      </c>
      <c r="O338" s="214"/>
      <c r="P338" s="214">
        <f t="shared" si="40"/>
        <v>0</v>
      </c>
      <c r="Q338" s="214"/>
      <c r="R338" s="19">
        <f t="shared" si="41"/>
        <v>0</v>
      </c>
      <c r="S338" s="214">
        <f t="shared" si="42"/>
        <v>0</v>
      </c>
      <c r="T338" s="20">
        <v>4</v>
      </c>
      <c r="U338" s="20"/>
      <c r="V338" s="21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08">
        <v>300340</v>
      </c>
      <c r="B339" s="208" t="s">
        <v>118</v>
      </c>
      <c r="C339" s="259" t="s">
        <v>129</v>
      </c>
      <c r="D339" s="260"/>
      <c r="E339" s="216" t="s">
        <v>41</v>
      </c>
      <c r="F339" s="215"/>
      <c r="G339" s="214"/>
      <c r="H339" s="214"/>
      <c r="I339" s="214"/>
      <c r="J339" s="214"/>
      <c r="K339" s="214">
        <f t="shared" si="38"/>
        <v>0</v>
      </c>
      <c r="L339" s="214">
        <f t="shared" si="39"/>
        <v>0</v>
      </c>
      <c r="M339" s="214">
        <v>325.60000000000002</v>
      </c>
      <c r="N339" s="214">
        <f t="shared" si="45"/>
        <v>3.8202510852986036</v>
      </c>
      <c r="O339" s="214"/>
      <c r="P339" s="214">
        <f t="shared" si="40"/>
        <v>0</v>
      </c>
      <c r="Q339" s="214"/>
      <c r="R339" s="19">
        <f t="shared" si="41"/>
        <v>0</v>
      </c>
      <c r="S339" s="214">
        <f t="shared" si="42"/>
        <v>0</v>
      </c>
      <c r="T339" s="20">
        <v>4</v>
      </c>
      <c r="U339" s="20"/>
      <c r="V339" s="21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08">
        <v>300339</v>
      </c>
      <c r="B340" s="208" t="s">
        <v>118</v>
      </c>
      <c r="C340" s="259" t="s">
        <v>129</v>
      </c>
      <c r="D340" s="260"/>
      <c r="E340" s="216" t="s">
        <v>39</v>
      </c>
      <c r="F340" s="215"/>
      <c r="G340" s="214"/>
      <c r="H340" s="214"/>
      <c r="I340" s="214"/>
      <c r="J340" s="214"/>
      <c r="K340" s="214">
        <f t="shared" si="38"/>
        <v>0</v>
      </c>
      <c r="L340" s="214">
        <f t="shared" si="39"/>
        <v>0</v>
      </c>
      <c r="M340" s="214">
        <v>325.60000000000002</v>
      </c>
      <c r="N340" s="214">
        <f t="shared" si="45"/>
        <v>3.8202510852986036</v>
      </c>
      <c r="O340" s="214"/>
      <c r="P340" s="214">
        <f t="shared" si="40"/>
        <v>0</v>
      </c>
      <c r="Q340" s="214"/>
      <c r="R340" s="19">
        <f t="shared" si="41"/>
        <v>0</v>
      </c>
      <c r="S340" s="214">
        <f t="shared" si="42"/>
        <v>0</v>
      </c>
      <c r="T340" s="20">
        <v>4</v>
      </c>
      <c r="U340" s="20"/>
      <c r="V340" s="21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08">
        <v>300303</v>
      </c>
      <c r="B341" s="208" t="s">
        <v>118</v>
      </c>
      <c r="C341" s="248" t="s">
        <v>130</v>
      </c>
      <c r="D341" s="248" t="s">
        <v>131</v>
      </c>
      <c r="E341" s="216" t="s">
        <v>57</v>
      </c>
      <c r="F341" s="215"/>
      <c r="G341" s="214"/>
      <c r="H341" s="214"/>
      <c r="I341" s="214"/>
      <c r="J341" s="214"/>
      <c r="K341" s="214">
        <f t="shared" si="38"/>
        <v>0</v>
      </c>
      <c r="L341" s="214">
        <f t="shared" si="39"/>
        <v>0</v>
      </c>
      <c r="M341" s="214">
        <v>396.92</v>
      </c>
      <c r="N341" s="214">
        <f>+M341*1000/(113.8*4*15*60)*T341</f>
        <v>4.8442686975200155</v>
      </c>
      <c r="O341" s="214"/>
      <c r="P341" s="214">
        <f t="shared" si="40"/>
        <v>0</v>
      </c>
      <c r="Q341" s="214"/>
      <c r="R341" s="19">
        <f t="shared" si="41"/>
        <v>0</v>
      </c>
      <c r="S341" s="214">
        <f t="shared" si="42"/>
        <v>0</v>
      </c>
      <c r="T341" s="20">
        <v>5</v>
      </c>
      <c r="U341" s="20"/>
      <c r="V341" s="21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08">
        <v>300302</v>
      </c>
      <c r="B342" s="208" t="s">
        <v>118</v>
      </c>
      <c r="C342" s="248" t="s">
        <v>130</v>
      </c>
      <c r="D342" s="248" t="s">
        <v>131</v>
      </c>
      <c r="E342" s="216" t="s">
        <v>117</v>
      </c>
      <c r="F342" s="215"/>
      <c r="G342" s="214"/>
      <c r="H342" s="214"/>
      <c r="I342" s="214"/>
      <c r="J342" s="214"/>
      <c r="K342" s="214">
        <f t="shared" si="38"/>
        <v>0</v>
      </c>
      <c r="L342" s="214">
        <f t="shared" si="39"/>
        <v>0</v>
      </c>
      <c r="M342" s="214">
        <v>396.06</v>
      </c>
      <c r="N342" s="214">
        <f>+M342*1000/(113.8*4*15*60)*T342</f>
        <v>4.8337727006444053</v>
      </c>
      <c r="O342" s="214"/>
      <c r="P342" s="214">
        <f t="shared" si="40"/>
        <v>0</v>
      </c>
      <c r="Q342" s="214"/>
      <c r="R342" s="19">
        <f t="shared" si="41"/>
        <v>0</v>
      </c>
      <c r="S342" s="214">
        <f t="shared" si="42"/>
        <v>0</v>
      </c>
      <c r="T342" s="20">
        <v>5</v>
      </c>
      <c r="U342" s="20"/>
      <c r="V342" s="21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08">
        <v>300301</v>
      </c>
      <c r="B343" s="208" t="s">
        <v>118</v>
      </c>
      <c r="C343" s="248" t="s">
        <v>130</v>
      </c>
      <c r="D343" s="248" t="s">
        <v>131</v>
      </c>
      <c r="E343" s="216" t="s">
        <v>132</v>
      </c>
      <c r="F343" s="215"/>
      <c r="G343" s="214"/>
      <c r="H343" s="214"/>
      <c r="I343" s="214"/>
      <c r="J343" s="214"/>
      <c r="K343" s="214">
        <f t="shared" si="38"/>
        <v>0</v>
      </c>
      <c r="L343" s="214">
        <f t="shared" si="39"/>
        <v>0</v>
      </c>
      <c r="M343" s="214">
        <v>401.25</v>
      </c>
      <c r="N343" s="214">
        <f>+M343*1000/(113.8*4*15*60)*T343</f>
        <v>4.8971148213239601</v>
      </c>
      <c r="O343" s="214"/>
      <c r="P343" s="214">
        <f t="shared" si="40"/>
        <v>0</v>
      </c>
      <c r="Q343" s="214"/>
      <c r="R343" s="19">
        <f t="shared" si="41"/>
        <v>0</v>
      </c>
      <c r="S343" s="214">
        <f t="shared" si="42"/>
        <v>0</v>
      </c>
      <c r="T343" s="20">
        <v>5</v>
      </c>
      <c r="U343" s="20"/>
      <c r="V343" s="21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12">
        <v>300304</v>
      </c>
      <c r="B344" s="208" t="s">
        <v>118</v>
      </c>
      <c r="C344" s="248" t="s">
        <v>130</v>
      </c>
      <c r="D344" s="248"/>
      <c r="E344" s="216" t="s">
        <v>133</v>
      </c>
      <c r="F344" s="215"/>
      <c r="G344" s="214"/>
      <c r="H344" s="214"/>
      <c r="I344" s="214"/>
      <c r="J344" s="214"/>
      <c r="K344" s="214">
        <f t="shared" si="38"/>
        <v>0</v>
      </c>
      <c r="L344" s="214">
        <f t="shared" si="39"/>
        <v>0</v>
      </c>
      <c r="M344" s="214">
        <v>401.25</v>
      </c>
      <c r="N344" s="214">
        <f>+M344*1000/(113.8*4*15*60)*T344</f>
        <v>4.8971148213239601</v>
      </c>
      <c r="O344" s="214"/>
      <c r="P344" s="214">
        <f t="shared" si="40"/>
        <v>0</v>
      </c>
      <c r="Q344" s="214"/>
      <c r="R344" s="19">
        <f t="shared" si="41"/>
        <v>0</v>
      </c>
      <c r="S344" s="214">
        <f t="shared" si="42"/>
        <v>0</v>
      </c>
      <c r="T344" s="20">
        <v>5</v>
      </c>
      <c r="U344" s="20"/>
      <c r="V344" s="21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12">
        <v>300300</v>
      </c>
      <c r="B345" s="208" t="s">
        <v>118</v>
      </c>
      <c r="C345" s="248" t="s">
        <v>130</v>
      </c>
      <c r="D345" s="248" t="s">
        <v>131</v>
      </c>
      <c r="E345" s="216" t="s">
        <v>54</v>
      </c>
      <c r="F345" s="215"/>
      <c r="G345" s="214"/>
      <c r="H345" s="214"/>
      <c r="I345" s="214"/>
      <c r="J345" s="214"/>
      <c r="K345" s="214">
        <f t="shared" si="38"/>
        <v>0</v>
      </c>
      <c r="L345" s="214">
        <f t="shared" si="39"/>
        <v>0</v>
      </c>
      <c r="M345" s="214">
        <v>399.07</v>
      </c>
      <c r="N345" s="214">
        <f>+M345*1000/(113.8*4*15*60)*T345</f>
        <v>4.8705086897090411</v>
      </c>
      <c r="O345" s="214"/>
      <c r="P345" s="214">
        <f t="shared" si="40"/>
        <v>0</v>
      </c>
      <c r="Q345" s="214"/>
      <c r="R345" s="19">
        <f t="shared" si="41"/>
        <v>0</v>
      </c>
      <c r="S345" s="214">
        <f t="shared" si="42"/>
        <v>0</v>
      </c>
      <c r="T345" s="20">
        <v>5</v>
      </c>
      <c r="U345" s="20"/>
      <c r="V345" s="21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12">
        <v>300085</v>
      </c>
      <c r="B346" s="208" t="s">
        <v>118</v>
      </c>
      <c r="C346" s="248" t="s">
        <v>134</v>
      </c>
      <c r="D346" s="248" t="s">
        <v>131</v>
      </c>
      <c r="E346" s="216" t="s">
        <v>135</v>
      </c>
      <c r="F346" s="215"/>
      <c r="G346" s="214"/>
      <c r="H346" s="214"/>
      <c r="I346" s="214"/>
      <c r="J346" s="214"/>
      <c r="K346" s="214">
        <f t="shared" si="38"/>
        <v>0</v>
      </c>
      <c r="L346" s="214">
        <f t="shared" si="39"/>
        <v>0</v>
      </c>
      <c r="M346" s="214">
        <v>394.3</v>
      </c>
      <c r="N346" s="214">
        <f>+M346*1000/(104.2*4*15*60)*T346</f>
        <v>6.3067818298144598</v>
      </c>
      <c r="O346" s="214"/>
      <c r="P346" s="214">
        <f t="shared" si="40"/>
        <v>0</v>
      </c>
      <c r="Q346" s="214"/>
      <c r="R346" s="19">
        <f t="shared" si="41"/>
        <v>0</v>
      </c>
      <c r="S346" s="214">
        <f t="shared" si="42"/>
        <v>0</v>
      </c>
      <c r="T346" s="20">
        <v>6</v>
      </c>
      <c r="U346" s="20"/>
      <c r="V346" s="21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12">
        <v>300087</v>
      </c>
      <c r="B347" s="208" t="s">
        <v>118</v>
      </c>
      <c r="C347" s="248" t="s">
        <v>134</v>
      </c>
      <c r="D347" s="248" t="s">
        <v>131</v>
      </c>
      <c r="E347" s="216" t="s">
        <v>80</v>
      </c>
      <c r="F347" s="215"/>
      <c r="G347" s="214"/>
      <c r="H347" s="214"/>
      <c r="I347" s="214"/>
      <c r="J347" s="214"/>
      <c r="K347" s="214">
        <f t="shared" si="38"/>
        <v>0</v>
      </c>
      <c r="L347" s="214">
        <f t="shared" si="39"/>
        <v>0</v>
      </c>
      <c r="M347" s="214">
        <v>380.1</v>
      </c>
      <c r="N347" s="214">
        <f>+M347*1000/(104.2*4*16*60)*T347</f>
        <v>4.7497300863723604</v>
      </c>
      <c r="O347" s="214"/>
      <c r="P347" s="214">
        <f t="shared" si="40"/>
        <v>0</v>
      </c>
      <c r="Q347" s="214"/>
      <c r="R347" s="19">
        <f t="shared" si="41"/>
        <v>0</v>
      </c>
      <c r="S347" s="214">
        <f t="shared" si="42"/>
        <v>0</v>
      </c>
      <c r="T347" s="20">
        <v>5</v>
      </c>
      <c r="U347" s="20"/>
      <c r="V347" s="21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12">
        <v>300387</v>
      </c>
      <c r="B348" s="208" t="s">
        <v>136</v>
      </c>
      <c r="C348" s="259" t="s">
        <v>137</v>
      </c>
      <c r="D348" s="260"/>
      <c r="E348" s="216" t="s">
        <v>57</v>
      </c>
      <c r="F348" s="215"/>
      <c r="G348" s="214"/>
      <c r="H348" s="214"/>
      <c r="I348" s="214"/>
      <c r="J348" s="214"/>
      <c r="K348" s="214">
        <f t="shared" si="38"/>
        <v>0</v>
      </c>
      <c r="L348" s="214">
        <f t="shared" si="39"/>
        <v>0</v>
      </c>
      <c r="M348" s="214">
        <v>352.29</v>
      </c>
      <c r="N348" s="214">
        <f>+M348*1000/(104.2*4*16*60)*T348</f>
        <v>4.4022162907869484</v>
      </c>
      <c r="O348" s="214"/>
      <c r="P348" s="214">
        <f t="shared" si="40"/>
        <v>0</v>
      </c>
      <c r="Q348" s="214"/>
      <c r="R348" s="19">
        <f t="shared" si="41"/>
        <v>0</v>
      </c>
      <c r="S348" s="214">
        <f t="shared" si="42"/>
        <v>0</v>
      </c>
      <c r="T348" s="20">
        <v>5</v>
      </c>
      <c r="U348" s="20"/>
      <c r="V348" s="21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12">
        <v>300388</v>
      </c>
      <c r="B349" s="208" t="s">
        <v>138</v>
      </c>
      <c r="C349" s="259" t="s">
        <v>137</v>
      </c>
      <c r="D349" s="260"/>
      <c r="E349" s="216" t="s">
        <v>117</v>
      </c>
      <c r="F349" s="215"/>
      <c r="G349" s="214"/>
      <c r="H349" s="214"/>
      <c r="I349" s="214"/>
      <c r="J349" s="214"/>
      <c r="K349" s="214">
        <f t="shared" si="38"/>
        <v>0</v>
      </c>
      <c r="L349" s="214">
        <f t="shared" si="39"/>
        <v>0</v>
      </c>
      <c r="M349" s="214">
        <v>352.29</v>
      </c>
      <c r="N349" s="214">
        <f>+M349*1000/(104.2*4*16*60)*T349</f>
        <v>4.4022162907869484</v>
      </c>
      <c r="O349" s="214"/>
      <c r="P349" s="214">
        <f t="shared" si="40"/>
        <v>0</v>
      </c>
      <c r="Q349" s="214"/>
      <c r="R349" s="19">
        <f t="shared" si="41"/>
        <v>0</v>
      </c>
      <c r="S349" s="214">
        <f t="shared" si="42"/>
        <v>0</v>
      </c>
      <c r="T349" s="20">
        <v>5</v>
      </c>
      <c r="U349" s="20"/>
      <c r="V349" s="21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12">
        <v>300123</v>
      </c>
      <c r="B350" s="208" t="s">
        <v>118</v>
      </c>
      <c r="C350" s="248" t="s">
        <v>139</v>
      </c>
      <c r="D350" s="248" t="s">
        <v>140</v>
      </c>
      <c r="E350" s="216" t="s">
        <v>135</v>
      </c>
      <c r="F350" s="215"/>
      <c r="G350" s="214"/>
      <c r="H350" s="214"/>
      <c r="I350" s="214"/>
      <c r="J350" s="214"/>
      <c r="K350" s="214">
        <f t="shared" si="38"/>
        <v>0</v>
      </c>
      <c r="L350" s="214">
        <f t="shared" si="39"/>
        <v>0</v>
      </c>
      <c r="M350" s="214">
        <v>557</v>
      </c>
      <c r="N350" s="214">
        <f>+M350*1000/(126.5*4*15*60)*T350</f>
        <v>6.1155028546332888</v>
      </c>
      <c r="O350" s="214"/>
      <c r="P350" s="214">
        <f t="shared" si="40"/>
        <v>0</v>
      </c>
      <c r="Q350" s="214"/>
      <c r="R350" s="19">
        <f t="shared" si="41"/>
        <v>0</v>
      </c>
      <c r="S350" s="214">
        <f t="shared" si="42"/>
        <v>0</v>
      </c>
      <c r="T350" s="20">
        <v>5</v>
      </c>
      <c r="U350" s="20"/>
      <c r="V350" s="21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12">
        <v>300270</v>
      </c>
      <c r="B351" s="208" t="s">
        <v>118</v>
      </c>
      <c r="C351" s="248" t="s">
        <v>141</v>
      </c>
      <c r="D351" s="248"/>
      <c r="E351" s="216" t="s">
        <v>142</v>
      </c>
      <c r="F351" s="215"/>
      <c r="G351" s="214"/>
      <c r="H351" s="214"/>
      <c r="I351" s="214"/>
      <c r="J351" s="214"/>
      <c r="K351" s="214">
        <f t="shared" si="38"/>
        <v>0</v>
      </c>
      <c r="L351" s="214">
        <f t="shared" si="39"/>
        <v>0</v>
      </c>
      <c r="M351" s="214">
        <v>485.7</v>
      </c>
      <c r="N351" s="214">
        <f>+M351*1000/(126.5*4*15*60)*T351</f>
        <v>4.2661396574440049</v>
      </c>
      <c r="O351" s="214"/>
      <c r="P351" s="214">
        <f t="shared" si="40"/>
        <v>0</v>
      </c>
      <c r="Q351" s="214"/>
      <c r="R351" s="19">
        <f t="shared" si="41"/>
        <v>0</v>
      </c>
      <c r="S351" s="214">
        <f t="shared" si="42"/>
        <v>0</v>
      </c>
      <c r="T351" s="20">
        <v>4</v>
      </c>
      <c r="U351" s="20"/>
      <c r="V351" s="21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12">
        <v>300336</v>
      </c>
      <c r="B352" s="208" t="s">
        <v>118</v>
      </c>
      <c r="C352" s="248" t="s">
        <v>143</v>
      </c>
      <c r="D352" s="248"/>
      <c r="E352" s="216" t="s">
        <v>84</v>
      </c>
      <c r="F352" s="215"/>
      <c r="G352" s="214"/>
      <c r="H352" s="214"/>
      <c r="I352" s="214"/>
      <c r="J352" s="214"/>
      <c r="K352" s="214">
        <f t="shared" si="38"/>
        <v>0</v>
      </c>
      <c r="L352" s="214">
        <f t="shared" si="39"/>
        <v>0</v>
      </c>
      <c r="M352" s="214">
        <v>411.4</v>
      </c>
      <c r="N352" s="214">
        <f>+M352*1000/(104.2*4*16*60)*T352</f>
        <v>2.0563419705694179</v>
      </c>
      <c r="O352" s="214"/>
      <c r="P352" s="214">
        <f t="shared" si="40"/>
        <v>0</v>
      </c>
      <c r="Q352" s="214"/>
      <c r="R352" s="19">
        <f t="shared" si="41"/>
        <v>0</v>
      </c>
      <c r="S352" s="214">
        <f t="shared" si="42"/>
        <v>0</v>
      </c>
      <c r="T352" s="20">
        <v>2</v>
      </c>
      <c r="U352" s="20"/>
      <c r="V352" s="21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12">
        <v>300337</v>
      </c>
      <c r="B353" s="208" t="s">
        <v>118</v>
      </c>
      <c r="C353" s="248" t="s">
        <v>143</v>
      </c>
      <c r="D353" s="248"/>
      <c r="E353" s="216" t="s">
        <v>49</v>
      </c>
      <c r="F353" s="215"/>
      <c r="G353" s="214"/>
      <c r="H353" s="214"/>
      <c r="I353" s="214"/>
      <c r="J353" s="214"/>
      <c r="K353" s="214">
        <f t="shared" si="38"/>
        <v>0</v>
      </c>
      <c r="L353" s="214">
        <f t="shared" si="39"/>
        <v>0</v>
      </c>
      <c r="M353" s="214">
        <v>411.4</v>
      </c>
      <c r="N353" s="214">
        <f>+M353*1000/(104.2*4*16*60)*T353</f>
        <v>2.0563419705694179</v>
      </c>
      <c r="O353" s="214"/>
      <c r="P353" s="214">
        <f t="shared" si="40"/>
        <v>0</v>
      </c>
      <c r="Q353" s="214"/>
      <c r="R353" s="19">
        <f t="shared" si="41"/>
        <v>0</v>
      </c>
      <c r="S353" s="214">
        <f t="shared" si="42"/>
        <v>0</v>
      </c>
      <c r="T353" s="20">
        <v>2</v>
      </c>
      <c r="U353" s="20"/>
      <c r="V353" s="21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12">
        <v>300338</v>
      </c>
      <c r="B354" s="208" t="s">
        <v>118</v>
      </c>
      <c r="C354" s="248" t="s">
        <v>143</v>
      </c>
      <c r="D354" s="248"/>
      <c r="E354" s="216" t="s">
        <v>85</v>
      </c>
      <c r="F354" s="215"/>
      <c r="G354" s="214"/>
      <c r="H354" s="214"/>
      <c r="I354" s="214"/>
      <c r="J354" s="214"/>
      <c r="K354" s="214">
        <f t="shared" si="38"/>
        <v>0</v>
      </c>
      <c r="L354" s="214">
        <f t="shared" si="39"/>
        <v>0</v>
      </c>
      <c r="M354" s="214">
        <v>411.4</v>
      </c>
      <c r="N354" s="214">
        <f>+M354*1000/(104.2*4*16*60)*T354</f>
        <v>2.0563419705694179</v>
      </c>
      <c r="O354" s="214"/>
      <c r="P354" s="214">
        <f t="shared" si="40"/>
        <v>0</v>
      </c>
      <c r="Q354" s="214"/>
      <c r="R354" s="19">
        <f t="shared" si="41"/>
        <v>0</v>
      </c>
      <c r="S354" s="214">
        <f t="shared" si="42"/>
        <v>0</v>
      </c>
      <c r="T354" s="20">
        <v>2</v>
      </c>
      <c r="U354" s="20"/>
      <c r="V354" s="21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12">
        <v>300309</v>
      </c>
      <c r="B355" s="208">
        <v>6504</v>
      </c>
      <c r="C355" s="248" t="s">
        <v>145</v>
      </c>
      <c r="D355" s="248"/>
      <c r="E355" s="216" t="s">
        <v>47</v>
      </c>
      <c r="F355" s="215"/>
      <c r="G355" s="214"/>
      <c r="H355" s="214"/>
      <c r="I355" s="214"/>
      <c r="J355" s="214"/>
      <c r="K355" s="214">
        <f t="shared" si="38"/>
        <v>0</v>
      </c>
      <c r="L355" s="214">
        <f t="shared" si="39"/>
        <v>0</v>
      </c>
      <c r="M355" s="214">
        <v>316.88</v>
      </c>
      <c r="N355" s="214">
        <f>+M355*1000/(75.2*4*16*60)*T355</f>
        <v>6.5841090425531918</v>
      </c>
      <c r="O355" s="214"/>
      <c r="P355" s="214">
        <f t="shared" si="40"/>
        <v>0</v>
      </c>
      <c r="Q355" s="214"/>
      <c r="R355" s="19">
        <f t="shared" si="41"/>
        <v>0</v>
      </c>
      <c r="S355" s="214">
        <f t="shared" si="42"/>
        <v>0</v>
      </c>
      <c r="T355" s="20">
        <v>6</v>
      </c>
      <c r="U355" s="20"/>
      <c r="V355" s="21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12">
        <v>300310</v>
      </c>
      <c r="B356" s="208">
        <v>6504</v>
      </c>
      <c r="C356" s="248" t="s">
        <v>145</v>
      </c>
      <c r="D356" s="248"/>
      <c r="E356" s="216" t="s">
        <v>146</v>
      </c>
      <c r="F356" s="215"/>
      <c r="G356" s="214"/>
      <c r="H356" s="214"/>
      <c r="I356" s="214"/>
      <c r="J356" s="214"/>
      <c r="K356" s="214">
        <f t="shared" si="38"/>
        <v>0</v>
      </c>
      <c r="L356" s="214">
        <f t="shared" si="39"/>
        <v>0</v>
      </c>
      <c r="M356" s="214">
        <v>316.88</v>
      </c>
      <c r="N356" s="214">
        <f>+M356*1000/(75.2*4*16*60)*T356</f>
        <v>6.5841090425531918</v>
      </c>
      <c r="O356" s="214"/>
      <c r="P356" s="214">
        <f t="shared" si="40"/>
        <v>0</v>
      </c>
      <c r="Q356" s="214"/>
      <c r="R356" s="19">
        <f t="shared" si="41"/>
        <v>0</v>
      </c>
      <c r="S356" s="214">
        <f t="shared" si="42"/>
        <v>0</v>
      </c>
      <c r="T356" s="20">
        <v>6</v>
      </c>
      <c r="U356" s="20"/>
      <c r="V356" s="21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12">
        <v>300312</v>
      </c>
      <c r="B357" s="208">
        <v>6504</v>
      </c>
      <c r="C357" s="248" t="s">
        <v>145</v>
      </c>
      <c r="D357" s="248"/>
      <c r="E357" s="216" t="s">
        <v>147</v>
      </c>
      <c r="F357" s="215"/>
      <c r="G357" s="214"/>
      <c r="H357" s="214"/>
      <c r="I357" s="214"/>
      <c r="J357" s="214"/>
      <c r="K357" s="214">
        <f t="shared" si="38"/>
        <v>0</v>
      </c>
      <c r="L357" s="214">
        <f t="shared" si="39"/>
        <v>0</v>
      </c>
      <c r="M357" s="214">
        <v>316.88</v>
      </c>
      <c r="N357" s="214">
        <f>+M357*1000/(75.2*4*16*60)*T357</f>
        <v>6.5841090425531918</v>
      </c>
      <c r="O357" s="214"/>
      <c r="P357" s="214">
        <f t="shared" si="40"/>
        <v>0</v>
      </c>
      <c r="Q357" s="214"/>
      <c r="R357" s="19">
        <f t="shared" si="41"/>
        <v>0</v>
      </c>
      <c r="S357" s="214">
        <f t="shared" si="42"/>
        <v>0</v>
      </c>
      <c r="T357" s="20">
        <v>6</v>
      </c>
      <c r="U357" s="20"/>
      <c r="V357" s="21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12">
        <v>300311</v>
      </c>
      <c r="B358" s="208">
        <v>6504</v>
      </c>
      <c r="C358" s="248" t="s">
        <v>145</v>
      </c>
      <c r="D358" s="248"/>
      <c r="E358" s="216" t="s">
        <v>74</v>
      </c>
      <c r="F358" s="215"/>
      <c r="G358" s="214"/>
      <c r="H358" s="214"/>
      <c r="I358" s="214"/>
      <c r="J358" s="214"/>
      <c r="K358" s="214">
        <f t="shared" si="38"/>
        <v>0</v>
      </c>
      <c r="L358" s="214">
        <f t="shared" si="39"/>
        <v>0</v>
      </c>
      <c r="M358" s="214">
        <v>316.88</v>
      </c>
      <c r="N358" s="214">
        <f>+M358*1000/(75.2*4*16*60)*T358</f>
        <v>6.5841090425531918</v>
      </c>
      <c r="O358" s="214"/>
      <c r="P358" s="214">
        <f t="shared" si="40"/>
        <v>0</v>
      </c>
      <c r="Q358" s="214"/>
      <c r="R358" s="19">
        <f t="shared" si="41"/>
        <v>0</v>
      </c>
      <c r="S358" s="214">
        <f t="shared" si="42"/>
        <v>0</v>
      </c>
      <c r="T358" s="20">
        <v>6</v>
      </c>
      <c r="U358" s="20"/>
      <c r="V358" s="21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12">
        <v>300399</v>
      </c>
      <c r="B359" s="208">
        <v>18501</v>
      </c>
      <c r="C359" s="259" t="s">
        <v>148</v>
      </c>
      <c r="D359" s="260"/>
      <c r="E359" s="216" t="s">
        <v>41</v>
      </c>
      <c r="F359" s="215"/>
      <c r="G359" s="214"/>
      <c r="H359" s="214"/>
      <c r="I359" s="214"/>
      <c r="J359" s="214"/>
      <c r="K359" s="214">
        <f t="shared" si="38"/>
        <v>0</v>
      </c>
      <c r="L359" s="214">
        <f t="shared" si="39"/>
        <v>0</v>
      </c>
      <c r="M359" s="214">
        <v>311.2</v>
      </c>
      <c r="N359" s="214">
        <f>+M359*1000/(100*4*16*60)*T359</f>
        <v>4.8624999999999998</v>
      </c>
      <c r="O359" s="214"/>
      <c r="P359" s="214">
        <f t="shared" si="40"/>
        <v>0</v>
      </c>
      <c r="Q359" s="214"/>
      <c r="R359" s="19">
        <f t="shared" si="41"/>
        <v>0</v>
      </c>
      <c r="S359" s="214">
        <f t="shared" si="42"/>
        <v>0</v>
      </c>
      <c r="T359" s="20">
        <v>6</v>
      </c>
      <c r="U359" s="20"/>
      <c r="V359" s="21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12">
        <v>300400</v>
      </c>
      <c r="B360" s="208">
        <v>18501</v>
      </c>
      <c r="C360" s="259" t="s">
        <v>148</v>
      </c>
      <c r="D360" s="260"/>
      <c r="E360" s="216" t="s">
        <v>66</v>
      </c>
      <c r="F360" s="215"/>
      <c r="G360" s="214"/>
      <c r="H360" s="214"/>
      <c r="I360" s="214"/>
      <c r="J360" s="214"/>
      <c r="K360" s="214">
        <f t="shared" si="38"/>
        <v>0</v>
      </c>
      <c r="L360" s="214">
        <f t="shared" si="39"/>
        <v>0</v>
      </c>
      <c r="M360" s="214">
        <v>311.2</v>
      </c>
      <c r="N360" s="214">
        <f>+M360*1000/(100*4*16*60)*T360</f>
        <v>4.8624999999999998</v>
      </c>
      <c r="O360" s="214"/>
      <c r="P360" s="214">
        <f t="shared" si="40"/>
        <v>0</v>
      </c>
      <c r="Q360" s="214"/>
      <c r="R360" s="19">
        <f t="shared" si="41"/>
        <v>0</v>
      </c>
      <c r="S360" s="214">
        <f t="shared" si="42"/>
        <v>0</v>
      </c>
      <c r="T360" s="20">
        <v>6</v>
      </c>
      <c r="U360" s="20"/>
      <c r="V360" s="21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12">
        <v>300401</v>
      </c>
      <c r="B361" s="208">
        <v>18501</v>
      </c>
      <c r="C361" s="259" t="s">
        <v>148</v>
      </c>
      <c r="D361" s="260"/>
      <c r="E361" s="216" t="s">
        <v>149</v>
      </c>
      <c r="F361" s="215"/>
      <c r="G361" s="214"/>
      <c r="H361" s="214"/>
      <c r="I361" s="214"/>
      <c r="J361" s="214"/>
      <c r="K361" s="214">
        <f t="shared" si="38"/>
        <v>0</v>
      </c>
      <c r="L361" s="214">
        <f t="shared" si="39"/>
        <v>0</v>
      </c>
      <c r="M361" s="214">
        <v>311.2</v>
      </c>
      <c r="N361" s="214">
        <f>+M361*1000/(100*4*16*60)*T361</f>
        <v>4.8624999999999998</v>
      </c>
      <c r="O361" s="214"/>
      <c r="P361" s="214">
        <f t="shared" si="40"/>
        <v>0</v>
      </c>
      <c r="Q361" s="214"/>
      <c r="R361" s="19">
        <f t="shared" si="41"/>
        <v>0</v>
      </c>
      <c r="S361" s="214">
        <f t="shared" si="42"/>
        <v>0</v>
      </c>
      <c r="T361" s="20">
        <v>6</v>
      </c>
      <c r="U361" s="20"/>
      <c r="V361" s="21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12">
        <v>300402</v>
      </c>
      <c r="B362" s="208">
        <v>18501</v>
      </c>
      <c r="C362" s="259" t="s">
        <v>150</v>
      </c>
      <c r="D362" s="260"/>
      <c r="E362" s="216" t="s">
        <v>151</v>
      </c>
      <c r="F362" s="215"/>
      <c r="G362" s="214"/>
      <c r="H362" s="214"/>
      <c r="I362" s="214"/>
      <c r="J362" s="214"/>
      <c r="K362" s="214">
        <f t="shared" si="38"/>
        <v>0</v>
      </c>
      <c r="L362" s="214">
        <f t="shared" si="39"/>
        <v>0</v>
      </c>
      <c r="M362" s="214">
        <v>465.3</v>
      </c>
      <c r="N362" s="214">
        <f>+M362*1000/(137*4*16*60)*T362</f>
        <v>5.3067974452554747</v>
      </c>
      <c r="O362" s="214"/>
      <c r="P362" s="214">
        <f t="shared" si="40"/>
        <v>0</v>
      </c>
      <c r="Q362" s="214"/>
      <c r="R362" s="19">
        <f t="shared" si="41"/>
        <v>0</v>
      </c>
      <c r="S362" s="214">
        <f t="shared" si="42"/>
        <v>0</v>
      </c>
      <c r="T362" s="20">
        <v>6</v>
      </c>
      <c r="U362" s="20"/>
      <c r="V362" s="21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12">
        <v>300403</v>
      </c>
      <c r="B363" s="208">
        <v>18501</v>
      </c>
      <c r="C363" s="259" t="s">
        <v>150</v>
      </c>
      <c r="D363" s="260"/>
      <c r="E363" s="216" t="s">
        <v>152</v>
      </c>
      <c r="F363" s="215"/>
      <c r="G363" s="214"/>
      <c r="H363" s="214"/>
      <c r="I363" s="214"/>
      <c r="J363" s="214"/>
      <c r="K363" s="214">
        <f t="shared" ref="K363:K399" si="46">G363*M363</f>
        <v>0</v>
      </c>
      <c r="L363" s="214">
        <f t="shared" ref="L363:L399" si="47">I363*M363</f>
        <v>0</v>
      </c>
      <c r="M363" s="214">
        <v>465.3</v>
      </c>
      <c r="N363" s="214">
        <f>+M363*1000/(137*4*16*60)*T363</f>
        <v>5.3067974452554747</v>
      </c>
      <c r="O363" s="214"/>
      <c r="P363" s="214">
        <f t="shared" ref="P363:P399" si="48">N363*I363+O363*U363</f>
        <v>0</v>
      </c>
      <c r="Q363" s="214"/>
      <c r="R363" s="19">
        <f t="shared" ref="R363:R399" si="49">Q363*U363</f>
        <v>0</v>
      </c>
      <c r="S363" s="214">
        <f t="shared" ref="S363:S399" si="50">R363-P363</f>
        <v>0</v>
      </c>
      <c r="T363" s="20">
        <v>6</v>
      </c>
      <c r="U363" s="20"/>
      <c r="V363" s="21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12">
        <v>300404</v>
      </c>
      <c r="B364" s="208">
        <v>18501</v>
      </c>
      <c r="C364" s="259" t="s">
        <v>150</v>
      </c>
      <c r="D364" s="260"/>
      <c r="E364" s="216" t="s">
        <v>70</v>
      </c>
      <c r="F364" s="215"/>
      <c r="G364" s="214"/>
      <c r="H364" s="214"/>
      <c r="I364" s="214"/>
      <c r="J364" s="214"/>
      <c r="K364" s="214">
        <f t="shared" si="46"/>
        <v>0</v>
      </c>
      <c r="L364" s="214">
        <f t="shared" si="47"/>
        <v>0</v>
      </c>
      <c r="M364" s="214">
        <v>465.3</v>
      </c>
      <c r="N364" s="214">
        <f>+M364*1000/(137*4*16*60)*T364</f>
        <v>5.3067974452554747</v>
      </c>
      <c r="O364" s="214"/>
      <c r="P364" s="214">
        <f t="shared" si="48"/>
        <v>0</v>
      </c>
      <c r="Q364" s="214"/>
      <c r="R364" s="19">
        <f t="shared" si="49"/>
        <v>0</v>
      </c>
      <c r="S364" s="214">
        <f t="shared" si="50"/>
        <v>0</v>
      </c>
      <c r="T364" s="20">
        <v>6</v>
      </c>
      <c r="U364" s="20"/>
      <c r="V364" s="21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12">
        <v>300405</v>
      </c>
      <c r="B365" s="208">
        <v>18501</v>
      </c>
      <c r="C365" s="259" t="s">
        <v>150</v>
      </c>
      <c r="D365" s="260"/>
      <c r="E365" s="216" t="s">
        <v>35</v>
      </c>
      <c r="F365" s="215"/>
      <c r="G365" s="214"/>
      <c r="H365" s="214"/>
      <c r="I365" s="214"/>
      <c r="J365" s="214"/>
      <c r="K365" s="214">
        <f t="shared" si="46"/>
        <v>0</v>
      </c>
      <c r="L365" s="214">
        <f t="shared" si="47"/>
        <v>0</v>
      </c>
      <c r="M365" s="214">
        <v>465.3</v>
      </c>
      <c r="N365" s="214">
        <f>+M365*1000/(137*4*16*60)*T365</f>
        <v>5.3067974452554747</v>
      </c>
      <c r="O365" s="214"/>
      <c r="P365" s="214">
        <f t="shared" si="48"/>
        <v>0</v>
      </c>
      <c r="Q365" s="214"/>
      <c r="R365" s="19">
        <f t="shared" si="49"/>
        <v>0</v>
      </c>
      <c r="S365" s="214">
        <f t="shared" si="50"/>
        <v>0</v>
      </c>
      <c r="T365" s="20">
        <v>6</v>
      </c>
      <c r="U365" s="20"/>
      <c r="V365" s="21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12">
        <v>300372</v>
      </c>
      <c r="B366" s="208">
        <v>18501</v>
      </c>
      <c r="C366" s="259" t="s">
        <v>153</v>
      </c>
      <c r="D366" s="260"/>
      <c r="E366" s="216" t="s">
        <v>47</v>
      </c>
      <c r="F366" s="215"/>
      <c r="G366" s="214"/>
      <c r="H366" s="214"/>
      <c r="I366" s="214"/>
      <c r="J366" s="214"/>
      <c r="K366" s="214">
        <f t="shared" si="46"/>
        <v>0</v>
      </c>
      <c r="L366" s="214">
        <f t="shared" si="47"/>
        <v>0</v>
      </c>
      <c r="M366" s="214">
        <v>420.58</v>
      </c>
      <c r="N366" s="214">
        <f>+M366*1000/(140*4*16*60)*T366</f>
        <v>4.6939732142857142</v>
      </c>
      <c r="O366" s="214"/>
      <c r="P366" s="214">
        <f t="shared" si="48"/>
        <v>0</v>
      </c>
      <c r="Q366" s="214"/>
      <c r="R366" s="19">
        <f t="shared" si="49"/>
        <v>0</v>
      </c>
      <c r="S366" s="214">
        <f t="shared" si="50"/>
        <v>0</v>
      </c>
      <c r="T366" s="20">
        <v>6</v>
      </c>
      <c r="U366" s="20"/>
      <c r="V366" s="21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12">
        <v>300373</v>
      </c>
      <c r="B367" s="208">
        <v>18501</v>
      </c>
      <c r="C367" s="259" t="s">
        <v>153</v>
      </c>
      <c r="D367" s="260"/>
      <c r="E367" s="216" t="s">
        <v>146</v>
      </c>
      <c r="F367" s="215"/>
      <c r="G367" s="214"/>
      <c r="H367" s="214"/>
      <c r="I367" s="214"/>
      <c r="J367" s="214"/>
      <c r="K367" s="214">
        <f t="shared" si="46"/>
        <v>0</v>
      </c>
      <c r="L367" s="214">
        <f t="shared" si="47"/>
        <v>0</v>
      </c>
      <c r="M367" s="214">
        <v>420.58</v>
      </c>
      <c r="N367" s="214">
        <f>+M367*1000/(140*4*16*60)*T367</f>
        <v>4.6939732142857142</v>
      </c>
      <c r="O367" s="214"/>
      <c r="P367" s="214">
        <f t="shared" si="48"/>
        <v>0</v>
      </c>
      <c r="Q367" s="214"/>
      <c r="R367" s="19">
        <f t="shared" si="49"/>
        <v>0</v>
      </c>
      <c r="S367" s="214">
        <f t="shared" si="50"/>
        <v>0</v>
      </c>
      <c r="T367" s="20">
        <v>6</v>
      </c>
      <c r="U367" s="20"/>
      <c r="V367" s="21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12">
        <v>300374</v>
      </c>
      <c r="B368" s="208">
        <v>18501</v>
      </c>
      <c r="C368" s="259" t="s">
        <v>153</v>
      </c>
      <c r="D368" s="260"/>
      <c r="E368" s="216" t="s">
        <v>147</v>
      </c>
      <c r="F368" s="215"/>
      <c r="G368" s="214"/>
      <c r="H368" s="214"/>
      <c r="I368" s="214"/>
      <c r="J368" s="214"/>
      <c r="K368" s="214">
        <f t="shared" si="46"/>
        <v>0</v>
      </c>
      <c r="L368" s="214">
        <f t="shared" si="47"/>
        <v>0</v>
      </c>
      <c r="M368" s="214">
        <v>420.58</v>
      </c>
      <c r="N368" s="214">
        <f>+M368*1000/(140*4*16*60)*T368</f>
        <v>4.6939732142857142</v>
      </c>
      <c r="O368" s="214"/>
      <c r="P368" s="214">
        <f t="shared" si="48"/>
        <v>0</v>
      </c>
      <c r="Q368" s="214"/>
      <c r="R368" s="19">
        <f t="shared" si="49"/>
        <v>0</v>
      </c>
      <c r="S368" s="214">
        <f t="shared" si="50"/>
        <v>0</v>
      </c>
      <c r="T368" s="20">
        <v>6</v>
      </c>
      <c r="U368" s="20"/>
      <c r="V368" s="21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12">
        <v>300375</v>
      </c>
      <c r="B369" s="208">
        <v>18501</v>
      </c>
      <c r="C369" s="259" t="s">
        <v>153</v>
      </c>
      <c r="D369" s="260"/>
      <c r="E369" s="216" t="s">
        <v>74</v>
      </c>
      <c r="F369" s="215"/>
      <c r="G369" s="214"/>
      <c r="H369" s="214"/>
      <c r="I369" s="214"/>
      <c r="J369" s="214"/>
      <c r="K369" s="214">
        <f t="shared" si="46"/>
        <v>0</v>
      </c>
      <c r="L369" s="214">
        <f t="shared" si="47"/>
        <v>0</v>
      </c>
      <c r="M369" s="214">
        <v>420.58</v>
      </c>
      <c r="N369" s="214">
        <f>+M369*1000/(140*4*16*60)*T369</f>
        <v>4.6939732142857142</v>
      </c>
      <c r="O369" s="214"/>
      <c r="P369" s="214">
        <f t="shared" si="48"/>
        <v>0</v>
      </c>
      <c r="Q369" s="214"/>
      <c r="R369" s="19">
        <f t="shared" si="49"/>
        <v>0</v>
      </c>
      <c r="S369" s="214">
        <f t="shared" si="50"/>
        <v>0</v>
      </c>
      <c r="T369" s="20">
        <v>6</v>
      </c>
      <c r="U369" s="20"/>
      <c r="V369" s="21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12">
        <v>300341</v>
      </c>
      <c r="B370" s="208">
        <v>18501</v>
      </c>
      <c r="C370" s="266" t="s">
        <v>154</v>
      </c>
      <c r="D370" s="267"/>
      <c r="E370" s="216" t="s">
        <v>39</v>
      </c>
      <c r="F370" s="215"/>
      <c r="G370" s="214"/>
      <c r="H370" s="214"/>
      <c r="I370" s="214"/>
      <c r="J370" s="214"/>
      <c r="K370" s="214">
        <f t="shared" si="46"/>
        <v>0</v>
      </c>
      <c r="L370" s="214">
        <f t="shared" si="47"/>
        <v>0</v>
      </c>
      <c r="M370" s="214">
        <v>439.3</v>
      </c>
      <c r="N370" s="214">
        <f>+M370*1000/(169.7*4*13*60)*T370</f>
        <v>4.1485351223123761</v>
      </c>
      <c r="O370" s="214"/>
      <c r="P370" s="214">
        <f t="shared" si="48"/>
        <v>0</v>
      </c>
      <c r="Q370" s="214"/>
      <c r="R370" s="19">
        <f t="shared" si="49"/>
        <v>0</v>
      </c>
      <c r="S370" s="214">
        <f t="shared" si="50"/>
        <v>0</v>
      </c>
      <c r="T370" s="20">
        <v>5</v>
      </c>
      <c r="U370" s="20"/>
      <c r="V370" s="21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12">
        <v>300342</v>
      </c>
      <c r="B371" s="208">
        <v>18501</v>
      </c>
      <c r="C371" s="266" t="s">
        <v>154</v>
      </c>
      <c r="D371" s="267"/>
      <c r="E371" s="216" t="s">
        <v>80</v>
      </c>
      <c r="F371" s="215"/>
      <c r="G371" s="214"/>
      <c r="H371" s="214"/>
      <c r="I371" s="214"/>
      <c r="J371" s="214"/>
      <c r="K371" s="214">
        <f t="shared" si="46"/>
        <v>0</v>
      </c>
      <c r="L371" s="214">
        <f t="shared" si="47"/>
        <v>0</v>
      </c>
      <c r="M371" s="214">
        <v>439.3</v>
      </c>
      <c r="N371" s="214">
        <f t="shared" ref="N371:N376" si="51">+M371*1000/(169.7*4*13*60)*T371</f>
        <v>4.1485351223123761</v>
      </c>
      <c r="O371" s="214"/>
      <c r="P371" s="214">
        <f t="shared" si="48"/>
        <v>0</v>
      </c>
      <c r="Q371" s="214"/>
      <c r="R371" s="19">
        <f t="shared" si="49"/>
        <v>0</v>
      </c>
      <c r="S371" s="214">
        <f t="shared" si="50"/>
        <v>0</v>
      </c>
      <c r="T371" s="20">
        <v>5</v>
      </c>
      <c r="U371" s="20"/>
      <c r="V371" s="21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12">
        <v>300343</v>
      </c>
      <c r="B372" s="208">
        <v>18501</v>
      </c>
      <c r="C372" s="266" t="s">
        <v>154</v>
      </c>
      <c r="D372" s="267"/>
      <c r="E372" s="216" t="s">
        <v>35</v>
      </c>
      <c r="F372" s="215"/>
      <c r="G372" s="214"/>
      <c r="H372" s="214"/>
      <c r="I372" s="214"/>
      <c r="J372" s="214"/>
      <c r="K372" s="214">
        <f t="shared" si="46"/>
        <v>0</v>
      </c>
      <c r="L372" s="214">
        <f t="shared" si="47"/>
        <v>0</v>
      </c>
      <c r="M372" s="214">
        <v>455.4</v>
      </c>
      <c r="N372" s="214">
        <f t="shared" si="51"/>
        <v>4.3005756765332483</v>
      </c>
      <c r="O372" s="214"/>
      <c r="P372" s="214">
        <f t="shared" si="48"/>
        <v>0</v>
      </c>
      <c r="Q372" s="214"/>
      <c r="R372" s="19">
        <f t="shared" si="49"/>
        <v>0</v>
      </c>
      <c r="S372" s="214">
        <f t="shared" si="50"/>
        <v>0</v>
      </c>
      <c r="T372" s="20">
        <v>5</v>
      </c>
      <c r="U372" s="20"/>
      <c r="V372" s="21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12">
        <v>300344</v>
      </c>
      <c r="B373" s="208">
        <v>18501</v>
      </c>
      <c r="C373" s="266" t="s">
        <v>154</v>
      </c>
      <c r="D373" s="267"/>
      <c r="E373" s="216" t="s">
        <v>40</v>
      </c>
      <c r="F373" s="215"/>
      <c r="G373" s="214"/>
      <c r="H373" s="214"/>
      <c r="I373" s="214"/>
      <c r="J373" s="214"/>
      <c r="K373" s="214">
        <f t="shared" si="46"/>
        <v>0</v>
      </c>
      <c r="L373" s="214">
        <f t="shared" si="47"/>
        <v>0</v>
      </c>
      <c r="M373" s="214">
        <v>455.4</v>
      </c>
      <c r="N373" s="214">
        <f t="shared" si="51"/>
        <v>4.3005756765332483</v>
      </c>
      <c r="O373" s="214"/>
      <c r="P373" s="214">
        <f t="shared" si="48"/>
        <v>0</v>
      </c>
      <c r="Q373" s="214"/>
      <c r="R373" s="19">
        <f t="shared" si="49"/>
        <v>0</v>
      </c>
      <c r="S373" s="214">
        <f t="shared" si="50"/>
        <v>0</v>
      </c>
      <c r="T373" s="20">
        <v>5</v>
      </c>
      <c r="U373" s="20"/>
      <c r="V373" s="21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12">
        <v>300396</v>
      </c>
      <c r="B374" s="208">
        <v>18501</v>
      </c>
      <c r="C374" s="266" t="s">
        <v>155</v>
      </c>
      <c r="D374" s="267"/>
      <c r="E374" s="216" t="s">
        <v>41</v>
      </c>
      <c r="F374" s="215"/>
      <c r="G374" s="214"/>
      <c r="H374" s="214"/>
      <c r="I374" s="214"/>
      <c r="J374" s="214"/>
      <c r="K374" s="214">
        <f t="shared" si="46"/>
        <v>0</v>
      </c>
      <c r="L374" s="214">
        <f t="shared" si="47"/>
        <v>0</v>
      </c>
      <c r="M374" s="214">
        <v>417.1</v>
      </c>
      <c r="N374" s="214">
        <f t="shared" si="51"/>
        <v>3.9388891407158937</v>
      </c>
      <c r="O374" s="214"/>
      <c r="P374" s="214">
        <f t="shared" si="48"/>
        <v>0</v>
      </c>
      <c r="Q374" s="214"/>
      <c r="R374" s="19">
        <f t="shared" si="49"/>
        <v>0</v>
      </c>
      <c r="S374" s="214">
        <f t="shared" si="50"/>
        <v>0</v>
      </c>
      <c r="T374" s="20">
        <v>5</v>
      </c>
      <c r="U374" s="20"/>
      <c r="V374" s="21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12">
        <v>300397</v>
      </c>
      <c r="B375" s="208">
        <v>18501</v>
      </c>
      <c r="C375" s="266" t="s">
        <v>155</v>
      </c>
      <c r="D375" s="267"/>
      <c r="E375" s="216" t="s">
        <v>66</v>
      </c>
      <c r="F375" s="215"/>
      <c r="G375" s="214"/>
      <c r="H375" s="214"/>
      <c r="I375" s="214"/>
      <c r="J375" s="214"/>
      <c r="K375" s="214">
        <f t="shared" si="46"/>
        <v>0</v>
      </c>
      <c r="L375" s="214">
        <f t="shared" si="47"/>
        <v>0</v>
      </c>
      <c r="M375" s="214">
        <v>417.1</v>
      </c>
      <c r="N375" s="214">
        <f t="shared" si="51"/>
        <v>3.9388891407158937</v>
      </c>
      <c r="O375" s="214"/>
      <c r="P375" s="214">
        <f t="shared" si="48"/>
        <v>0</v>
      </c>
      <c r="Q375" s="214"/>
      <c r="R375" s="19">
        <f t="shared" si="49"/>
        <v>0</v>
      </c>
      <c r="S375" s="214">
        <f t="shared" si="50"/>
        <v>0</v>
      </c>
      <c r="T375" s="20">
        <v>5</v>
      </c>
      <c r="U375" s="20"/>
      <c r="V375" s="21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12">
        <v>300398</v>
      </c>
      <c r="B376" s="208">
        <v>18501</v>
      </c>
      <c r="C376" s="266" t="s">
        <v>155</v>
      </c>
      <c r="D376" s="267"/>
      <c r="E376" s="216" t="s">
        <v>149</v>
      </c>
      <c r="F376" s="215"/>
      <c r="G376" s="214"/>
      <c r="H376" s="214"/>
      <c r="I376" s="214"/>
      <c r="J376" s="214"/>
      <c r="K376" s="214">
        <f t="shared" si="46"/>
        <v>0</v>
      </c>
      <c r="L376" s="214">
        <f t="shared" si="47"/>
        <v>0</v>
      </c>
      <c r="M376" s="214">
        <v>417.1</v>
      </c>
      <c r="N376" s="214">
        <f t="shared" si="51"/>
        <v>3.9388891407158937</v>
      </c>
      <c r="O376" s="214"/>
      <c r="P376" s="214">
        <f t="shared" si="48"/>
        <v>0</v>
      </c>
      <c r="Q376" s="214"/>
      <c r="R376" s="19">
        <f t="shared" si="49"/>
        <v>0</v>
      </c>
      <c r="S376" s="214">
        <f t="shared" si="50"/>
        <v>0</v>
      </c>
      <c r="T376" s="20">
        <v>5</v>
      </c>
      <c r="U376" s="20"/>
      <c r="V376" s="21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12">
        <v>300271</v>
      </c>
      <c r="B377" s="208">
        <v>18501</v>
      </c>
      <c r="C377" s="248" t="s">
        <v>156</v>
      </c>
      <c r="D377" s="248"/>
      <c r="E377" s="216" t="s">
        <v>142</v>
      </c>
      <c r="F377" s="215"/>
      <c r="G377" s="214"/>
      <c r="H377" s="214"/>
      <c r="I377" s="214"/>
      <c r="J377" s="214"/>
      <c r="K377" s="214">
        <f t="shared" si="46"/>
        <v>0</v>
      </c>
      <c r="L377" s="214">
        <f t="shared" si="47"/>
        <v>0</v>
      </c>
      <c r="M377" s="214">
        <v>580.1</v>
      </c>
      <c r="N377" s="214">
        <f>+M377*1000/(188*4*13*60)*T377</f>
        <v>4.9449331696672125</v>
      </c>
      <c r="O377" s="214"/>
      <c r="P377" s="214">
        <f t="shared" si="48"/>
        <v>0</v>
      </c>
      <c r="Q377" s="214"/>
      <c r="R377" s="19">
        <f t="shared" si="49"/>
        <v>0</v>
      </c>
      <c r="S377" s="214">
        <f t="shared" si="50"/>
        <v>0</v>
      </c>
      <c r="T377" s="20">
        <v>5</v>
      </c>
      <c r="U377" s="20"/>
      <c r="V377" s="21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12">
        <v>300009</v>
      </c>
      <c r="B378" s="208">
        <v>18501</v>
      </c>
      <c r="C378" s="248" t="s">
        <v>157</v>
      </c>
      <c r="D378" s="248" t="s">
        <v>158</v>
      </c>
      <c r="E378" s="216" t="s">
        <v>135</v>
      </c>
      <c r="F378" s="215">
        <v>1533</v>
      </c>
      <c r="G378" s="214">
        <v>12</v>
      </c>
      <c r="H378" s="214"/>
      <c r="I378" s="214">
        <v>10</v>
      </c>
      <c r="J378" s="214"/>
      <c r="K378" s="214">
        <f t="shared" si="46"/>
        <v>6249.5999999999995</v>
      </c>
      <c r="L378" s="214">
        <f t="shared" si="47"/>
        <v>5208</v>
      </c>
      <c r="M378" s="214">
        <v>520.79999999999995</v>
      </c>
      <c r="N378" s="214">
        <f>+M378*1000/(188*4*13*60)*T378</f>
        <v>4.4394435351882153</v>
      </c>
      <c r="O378" s="214"/>
      <c r="P378" s="214">
        <f t="shared" si="48"/>
        <v>44.394435351882152</v>
      </c>
      <c r="Q378" s="214">
        <v>11.5</v>
      </c>
      <c r="R378" s="19">
        <f t="shared" si="49"/>
        <v>92</v>
      </c>
      <c r="S378" s="214">
        <f t="shared" si="50"/>
        <v>47.605564648117848</v>
      </c>
      <c r="T378" s="20">
        <v>5</v>
      </c>
      <c r="U378" s="20">
        <v>8</v>
      </c>
      <c r="V378" s="213">
        <f t="array" ref="V378">IF(ISERROR(L378/K378),"",L378/K378)</f>
        <v>0.83333333333333337</v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212">
        <v>300010</v>
      </c>
      <c r="B379" s="208">
        <v>18501</v>
      </c>
      <c r="C379" s="248" t="s">
        <v>157</v>
      </c>
      <c r="D379" s="248" t="s">
        <v>158</v>
      </c>
      <c r="E379" s="216" t="s">
        <v>80</v>
      </c>
      <c r="F379" s="215"/>
      <c r="G379" s="214"/>
      <c r="H379" s="214"/>
      <c r="I379" s="214"/>
      <c r="J379" s="115"/>
      <c r="K379" s="214">
        <f t="shared" si="46"/>
        <v>0</v>
      </c>
      <c r="L379" s="214">
        <f t="shared" si="47"/>
        <v>0</v>
      </c>
      <c r="M379" s="214">
        <v>530.9</v>
      </c>
      <c r="N379" s="214">
        <f>+M379*1000/(188*4*13*60)*T379</f>
        <v>4.5255387343153304</v>
      </c>
      <c r="O379" s="214"/>
      <c r="P379" s="214">
        <f t="shared" si="48"/>
        <v>0</v>
      </c>
      <c r="Q379" s="214"/>
      <c r="R379" s="19">
        <f t="shared" si="49"/>
        <v>0</v>
      </c>
      <c r="S379" s="214">
        <f t="shared" si="50"/>
        <v>0</v>
      </c>
      <c r="T379" s="20">
        <v>5</v>
      </c>
      <c r="U379" s="20"/>
      <c r="V379" s="222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12">
        <v>300305</v>
      </c>
      <c r="B380" s="208">
        <v>18501</v>
      </c>
      <c r="C380" s="248" t="s">
        <v>159</v>
      </c>
      <c r="D380" s="248" t="s">
        <v>160</v>
      </c>
      <c r="E380" s="216" t="s">
        <v>57</v>
      </c>
      <c r="F380" s="215"/>
      <c r="G380" s="214"/>
      <c r="H380" s="214"/>
      <c r="I380" s="214"/>
      <c r="J380" s="115"/>
      <c r="K380" s="214">
        <f t="shared" si="46"/>
        <v>0</v>
      </c>
      <c r="L380" s="214">
        <f t="shared" si="47"/>
        <v>0</v>
      </c>
      <c r="M380" s="214">
        <v>530.20000000000005</v>
      </c>
      <c r="N380" s="214">
        <f t="shared" ref="N380:N385" si="52">+M380*1000/(202*4*13*60)*T380</f>
        <v>4.2063340949479562</v>
      </c>
      <c r="O380" s="214"/>
      <c r="P380" s="214">
        <f t="shared" si="48"/>
        <v>0</v>
      </c>
      <c r="Q380" s="214"/>
      <c r="R380" s="19">
        <f t="shared" si="49"/>
        <v>0</v>
      </c>
      <c r="S380" s="214">
        <f t="shared" si="50"/>
        <v>0</v>
      </c>
      <c r="T380" s="20">
        <v>5</v>
      </c>
      <c r="U380" s="20"/>
      <c r="V380" s="222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12">
        <v>300306</v>
      </c>
      <c r="B381" s="208">
        <v>18501</v>
      </c>
      <c r="C381" s="248" t="s">
        <v>159</v>
      </c>
      <c r="D381" s="248" t="s">
        <v>160</v>
      </c>
      <c r="E381" s="216" t="s">
        <v>117</v>
      </c>
      <c r="F381" s="215"/>
      <c r="G381" s="214"/>
      <c r="H381" s="214"/>
      <c r="I381" s="214"/>
      <c r="J381" s="214"/>
      <c r="K381" s="214">
        <f t="shared" si="46"/>
        <v>0</v>
      </c>
      <c r="L381" s="214">
        <f t="shared" si="47"/>
        <v>0</v>
      </c>
      <c r="M381" s="214">
        <v>538.79999999999995</v>
      </c>
      <c r="N381" s="214">
        <f t="shared" si="52"/>
        <v>4.2745620715917747</v>
      </c>
      <c r="O381" s="214"/>
      <c r="P381" s="214">
        <f t="shared" si="48"/>
        <v>0</v>
      </c>
      <c r="Q381" s="214"/>
      <c r="R381" s="19">
        <f t="shared" si="49"/>
        <v>0</v>
      </c>
      <c r="S381" s="214">
        <f t="shared" si="50"/>
        <v>0</v>
      </c>
      <c r="T381" s="20">
        <v>5</v>
      </c>
      <c r="U381" s="20"/>
      <c r="V381" s="222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12">
        <v>300307</v>
      </c>
      <c r="B382" s="208">
        <v>18501</v>
      </c>
      <c r="C382" s="248" t="s">
        <v>159</v>
      </c>
      <c r="D382" s="248" t="s">
        <v>160</v>
      </c>
      <c r="E382" s="216" t="s">
        <v>133</v>
      </c>
      <c r="F382" s="215"/>
      <c r="G382" s="214"/>
      <c r="H382" s="214"/>
      <c r="I382" s="214"/>
      <c r="J382" s="214"/>
      <c r="K382" s="214">
        <f t="shared" si="46"/>
        <v>0</v>
      </c>
      <c r="L382" s="214">
        <f t="shared" si="47"/>
        <v>0</v>
      </c>
      <c r="M382" s="214">
        <v>569</v>
      </c>
      <c r="N382" s="214">
        <f t="shared" si="52"/>
        <v>4.5141533384107637</v>
      </c>
      <c r="O382" s="214"/>
      <c r="P382" s="214">
        <f t="shared" si="48"/>
        <v>0</v>
      </c>
      <c r="Q382" s="214"/>
      <c r="R382" s="19">
        <f t="shared" si="49"/>
        <v>0</v>
      </c>
      <c r="S382" s="214">
        <f t="shared" si="50"/>
        <v>0</v>
      </c>
      <c r="T382" s="20">
        <v>5</v>
      </c>
      <c r="U382" s="20"/>
      <c r="V382" s="222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12">
        <v>300308</v>
      </c>
      <c r="B383" s="208">
        <v>18501</v>
      </c>
      <c r="C383" s="248" t="s">
        <v>159</v>
      </c>
      <c r="D383" s="248" t="s">
        <v>160</v>
      </c>
      <c r="E383" s="216" t="s">
        <v>132</v>
      </c>
      <c r="F383" s="215"/>
      <c r="G383" s="214"/>
      <c r="H383" s="214"/>
      <c r="I383" s="214"/>
      <c r="J383" s="214"/>
      <c r="K383" s="214">
        <f t="shared" si="46"/>
        <v>0</v>
      </c>
      <c r="L383" s="214">
        <f t="shared" si="47"/>
        <v>0</v>
      </c>
      <c r="M383" s="214">
        <v>523.6</v>
      </c>
      <c r="N383" s="214">
        <f t="shared" si="52"/>
        <v>4.1539730896166542</v>
      </c>
      <c r="O383" s="214"/>
      <c r="P383" s="214">
        <f t="shared" si="48"/>
        <v>0</v>
      </c>
      <c r="Q383" s="214"/>
      <c r="R383" s="19">
        <f t="shared" si="49"/>
        <v>0</v>
      </c>
      <c r="S383" s="214">
        <f t="shared" si="50"/>
        <v>0</v>
      </c>
      <c r="T383" s="20">
        <v>5</v>
      </c>
      <c r="U383" s="20"/>
      <c r="V383" s="222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12">
        <v>300182</v>
      </c>
      <c r="B384" s="208">
        <v>18501</v>
      </c>
      <c r="C384" s="248" t="s">
        <v>161</v>
      </c>
      <c r="D384" s="248" t="s">
        <v>160</v>
      </c>
      <c r="E384" s="216" t="s">
        <v>80</v>
      </c>
      <c r="F384" s="215"/>
      <c r="G384" s="214"/>
      <c r="H384" s="214"/>
      <c r="I384" s="214"/>
      <c r="J384" s="214"/>
      <c r="K384" s="214">
        <f t="shared" si="46"/>
        <v>0</v>
      </c>
      <c r="L384" s="214">
        <f t="shared" si="47"/>
        <v>0</v>
      </c>
      <c r="M384" s="214">
        <v>649.1</v>
      </c>
      <c r="N384" s="214">
        <f t="shared" si="52"/>
        <v>5.1496255394770252</v>
      </c>
      <c r="O384" s="214"/>
      <c r="P384" s="214">
        <f t="shared" si="48"/>
        <v>0</v>
      </c>
      <c r="Q384" s="214"/>
      <c r="R384" s="19">
        <f t="shared" si="49"/>
        <v>0</v>
      </c>
      <c r="S384" s="214">
        <f t="shared" si="50"/>
        <v>0</v>
      </c>
      <c r="T384" s="20">
        <v>5</v>
      </c>
      <c r="U384" s="20"/>
      <c r="V384" s="222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12">
        <v>300185</v>
      </c>
      <c r="B385" s="208">
        <v>18501</v>
      </c>
      <c r="C385" s="248" t="s">
        <v>161</v>
      </c>
      <c r="D385" s="248" t="s">
        <v>160</v>
      </c>
      <c r="E385" s="216" t="s">
        <v>135</v>
      </c>
      <c r="F385" s="215"/>
      <c r="G385" s="214"/>
      <c r="H385" s="214"/>
      <c r="I385" s="214"/>
      <c r="J385" s="214"/>
      <c r="K385" s="214">
        <f t="shared" si="46"/>
        <v>0</v>
      </c>
      <c r="L385" s="214">
        <f t="shared" si="47"/>
        <v>0</v>
      </c>
      <c r="M385" s="214">
        <v>638</v>
      </c>
      <c r="N385" s="214">
        <f t="shared" si="52"/>
        <v>6.0738766184310737</v>
      </c>
      <c r="O385" s="214"/>
      <c r="P385" s="214">
        <f t="shared" si="48"/>
        <v>0</v>
      </c>
      <c r="Q385" s="214"/>
      <c r="R385" s="19">
        <f t="shared" si="49"/>
        <v>0</v>
      </c>
      <c r="S385" s="214">
        <f t="shared" si="50"/>
        <v>0</v>
      </c>
      <c r="T385" s="20">
        <v>6</v>
      </c>
      <c r="U385" s="20"/>
      <c r="V385" s="222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12">
        <v>300272</v>
      </c>
      <c r="B386" s="208">
        <v>18502</v>
      </c>
      <c r="C386" s="248" t="s">
        <v>162</v>
      </c>
      <c r="D386" s="248"/>
      <c r="E386" s="216" t="s">
        <v>42</v>
      </c>
      <c r="F386" s="215"/>
      <c r="G386" s="214"/>
      <c r="H386" s="214"/>
      <c r="I386" s="214"/>
      <c r="J386" s="214"/>
      <c r="K386" s="214">
        <f t="shared" si="46"/>
        <v>0</v>
      </c>
      <c r="L386" s="214">
        <f t="shared" si="47"/>
        <v>0</v>
      </c>
      <c r="M386" s="214">
        <v>523.9</v>
      </c>
      <c r="N386" s="214">
        <f>+M386*1000/(128*4*13*60)*T386</f>
        <v>5.247395833333333</v>
      </c>
      <c r="O386" s="214"/>
      <c r="P386" s="214">
        <f t="shared" si="48"/>
        <v>0</v>
      </c>
      <c r="Q386" s="214"/>
      <c r="R386" s="19">
        <f t="shared" si="49"/>
        <v>0</v>
      </c>
      <c r="S386" s="214">
        <f t="shared" si="50"/>
        <v>0</v>
      </c>
      <c r="T386" s="20">
        <v>4</v>
      </c>
      <c r="U386" s="20"/>
      <c r="V386" s="222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12">
        <v>300273</v>
      </c>
      <c r="B387" s="208">
        <v>18502</v>
      </c>
      <c r="C387" s="248" t="s">
        <v>162</v>
      </c>
      <c r="D387" s="248"/>
      <c r="E387" s="216" t="s">
        <v>163</v>
      </c>
      <c r="F387" s="215"/>
      <c r="G387" s="214"/>
      <c r="H387" s="214"/>
      <c r="I387" s="214"/>
      <c r="J387" s="214"/>
      <c r="K387" s="214">
        <f t="shared" si="46"/>
        <v>0</v>
      </c>
      <c r="L387" s="214">
        <f t="shared" si="47"/>
        <v>0</v>
      </c>
      <c r="M387" s="214">
        <v>523.9</v>
      </c>
      <c r="N387" s="214">
        <f>+M387*1000/(128*4*13*60)*T387</f>
        <v>6.5592447916666661</v>
      </c>
      <c r="O387" s="214"/>
      <c r="P387" s="214">
        <f t="shared" si="48"/>
        <v>0</v>
      </c>
      <c r="Q387" s="214"/>
      <c r="R387" s="19">
        <f t="shared" si="49"/>
        <v>0</v>
      </c>
      <c r="S387" s="214">
        <f t="shared" si="50"/>
        <v>0</v>
      </c>
      <c r="T387" s="20">
        <v>5</v>
      </c>
      <c r="U387" s="20"/>
      <c r="V387" s="222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12">
        <v>300274</v>
      </c>
      <c r="B388" s="208">
        <v>18502</v>
      </c>
      <c r="C388" s="248" t="s">
        <v>162</v>
      </c>
      <c r="D388" s="248"/>
      <c r="E388" s="216" t="s">
        <v>146</v>
      </c>
      <c r="F388" s="215"/>
      <c r="G388" s="214"/>
      <c r="H388" s="214"/>
      <c r="I388" s="214"/>
      <c r="J388" s="214"/>
      <c r="K388" s="214">
        <f t="shared" si="46"/>
        <v>0</v>
      </c>
      <c r="L388" s="214">
        <f t="shared" si="47"/>
        <v>0</v>
      </c>
      <c r="M388" s="214">
        <v>523.9</v>
      </c>
      <c r="N388" s="214">
        <f>+M388*1000/(128*4*13*60)*T388</f>
        <v>5.247395833333333</v>
      </c>
      <c r="O388" s="214"/>
      <c r="P388" s="214">
        <f t="shared" si="48"/>
        <v>0</v>
      </c>
      <c r="Q388" s="214"/>
      <c r="R388" s="19">
        <f t="shared" si="49"/>
        <v>0</v>
      </c>
      <c r="S388" s="214">
        <f t="shared" si="50"/>
        <v>0</v>
      </c>
      <c r="T388" s="20">
        <v>4</v>
      </c>
      <c r="U388" s="20"/>
      <c r="V388" s="222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12">
        <v>300275</v>
      </c>
      <c r="B389" s="208">
        <v>18502</v>
      </c>
      <c r="C389" s="248" t="s">
        <v>162</v>
      </c>
      <c r="D389" s="248"/>
      <c r="E389" s="216" t="s">
        <v>164</v>
      </c>
      <c r="F389" s="215"/>
      <c r="G389" s="214"/>
      <c r="H389" s="214"/>
      <c r="I389" s="214"/>
      <c r="J389" s="214"/>
      <c r="K389" s="214">
        <f t="shared" si="46"/>
        <v>0</v>
      </c>
      <c r="L389" s="214">
        <f t="shared" si="47"/>
        <v>0</v>
      </c>
      <c r="M389" s="214">
        <v>523.9</v>
      </c>
      <c r="N389" s="214">
        <f>+M389*1000/(128*4*13*60)*T389</f>
        <v>5.247395833333333</v>
      </c>
      <c r="O389" s="214"/>
      <c r="P389" s="214">
        <f t="shared" si="48"/>
        <v>0</v>
      </c>
      <c r="Q389" s="214"/>
      <c r="R389" s="19">
        <f t="shared" si="49"/>
        <v>0</v>
      </c>
      <c r="S389" s="214">
        <f t="shared" si="50"/>
        <v>0</v>
      </c>
      <c r="T389" s="20">
        <v>4</v>
      </c>
      <c r="U389" s="20"/>
      <c r="V389" s="222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12">
        <v>300285</v>
      </c>
      <c r="B390" s="208">
        <v>13001</v>
      </c>
      <c r="C390" s="248" t="s">
        <v>165</v>
      </c>
      <c r="D390" s="248"/>
      <c r="E390" s="216" t="s">
        <v>37</v>
      </c>
      <c r="F390" s="215"/>
      <c r="G390" s="214"/>
      <c r="H390" s="214"/>
      <c r="I390" s="214"/>
      <c r="J390" s="214"/>
      <c r="K390" s="214">
        <f t="shared" si="46"/>
        <v>0</v>
      </c>
      <c r="L390" s="214">
        <f t="shared" si="47"/>
        <v>0</v>
      </c>
      <c r="M390" s="214">
        <v>438.7</v>
      </c>
      <c r="N390" s="214">
        <f t="shared" ref="N390:N395" si="53">+M390*1000/(90*4*18*60)*T390</f>
        <v>5.6417181069958842</v>
      </c>
      <c r="O390" s="214"/>
      <c r="P390" s="214">
        <f t="shared" si="48"/>
        <v>0</v>
      </c>
      <c r="Q390" s="214"/>
      <c r="R390" s="19">
        <f t="shared" si="49"/>
        <v>0</v>
      </c>
      <c r="S390" s="214">
        <f t="shared" si="50"/>
        <v>0</v>
      </c>
      <c r="T390" s="20">
        <v>5</v>
      </c>
      <c r="U390" s="20"/>
      <c r="V390" s="222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12">
        <v>300287</v>
      </c>
      <c r="B391" s="208">
        <v>13001</v>
      </c>
      <c r="C391" s="248" t="s">
        <v>165</v>
      </c>
      <c r="D391" s="248"/>
      <c r="E391" s="216" t="s">
        <v>57</v>
      </c>
      <c r="F391" s="215"/>
      <c r="G391" s="214"/>
      <c r="H391" s="214"/>
      <c r="I391" s="214"/>
      <c r="J391" s="214"/>
      <c r="K391" s="214">
        <f t="shared" si="46"/>
        <v>0</v>
      </c>
      <c r="L391" s="214">
        <f t="shared" si="47"/>
        <v>0</v>
      </c>
      <c r="M391" s="214">
        <v>438.7</v>
      </c>
      <c r="N391" s="214">
        <f t="shared" si="53"/>
        <v>5.6417181069958842</v>
      </c>
      <c r="O391" s="214"/>
      <c r="P391" s="214">
        <f t="shared" si="48"/>
        <v>0</v>
      </c>
      <c r="Q391" s="214"/>
      <c r="R391" s="19">
        <f t="shared" si="49"/>
        <v>0</v>
      </c>
      <c r="S391" s="214">
        <f t="shared" si="50"/>
        <v>0</v>
      </c>
      <c r="T391" s="20">
        <v>5</v>
      </c>
      <c r="U391" s="20"/>
      <c r="V391" s="222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12">
        <v>300284</v>
      </c>
      <c r="B392" s="208">
        <v>13001</v>
      </c>
      <c r="C392" s="248" t="s">
        <v>165</v>
      </c>
      <c r="D392" s="248"/>
      <c r="E392" s="216" t="s">
        <v>41</v>
      </c>
      <c r="F392" s="215"/>
      <c r="G392" s="214"/>
      <c r="H392" s="214"/>
      <c r="I392" s="214"/>
      <c r="J392" s="214"/>
      <c r="K392" s="214">
        <f t="shared" si="46"/>
        <v>0</v>
      </c>
      <c r="L392" s="214">
        <f t="shared" si="47"/>
        <v>0</v>
      </c>
      <c r="M392" s="214">
        <v>438.7</v>
      </c>
      <c r="N392" s="214">
        <f t="shared" si="53"/>
        <v>5.6417181069958842</v>
      </c>
      <c r="O392" s="214"/>
      <c r="P392" s="214">
        <f t="shared" si="48"/>
        <v>0</v>
      </c>
      <c r="Q392" s="214"/>
      <c r="R392" s="19">
        <f t="shared" si="49"/>
        <v>0</v>
      </c>
      <c r="S392" s="214">
        <f t="shared" si="50"/>
        <v>0</v>
      </c>
      <c r="T392" s="20">
        <v>5</v>
      </c>
      <c r="U392" s="20"/>
      <c r="V392" s="222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12">
        <v>300283</v>
      </c>
      <c r="B393" s="208">
        <v>13001</v>
      </c>
      <c r="C393" s="248" t="s">
        <v>165</v>
      </c>
      <c r="D393" s="248"/>
      <c r="E393" s="216" t="s">
        <v>35</v>
      </c>
      <c r="F393" s="215"/>
      <c r="G393" s="214"/>
      <c r="H393" s="214"/>
      <c r="I393" s="214"/>
      <c r="J393" s="209"/>
      <c r="K393" s="209">
        <f t="shared" si="46"/>
        <v>0</v>
      </c>
      <c r="L393" s="209">
        <f t="shared" si="47"/>
        <v>0</v>
      </c>
      <c r="M393" s="214">
        <v>438.7</v>
      </c>
      <c r="N393" s="214">
        <f t="shared" si="53"/>
        <v>5.6417181069958842</v>
      </c>
      <c r="O393" s="209"/>
      <c r="P393" s="214">
        <f t="shared" si="48"/>
        <v>0</v>
      </c>
      <c r="Q393" s="214"/>
      <c r="R393" s="19">
        <f t="shared" si="49"/>
        <v>0</v>
      </c>
      <c r="S393" s="214">
        <f t="shared" si="50"/>
        <v>0</v>
      </c>
      <c r="T393" s="20">
        <v>5</v>
      </c>
      <c r="U393" s="20"/>
      <c r="V393" s="222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12">
        <v>300289</v>
      </c>
      <c r="B394" s="208">
        <v>13001</v>
      </c>
      <c r="C394" s="248" t="s">
        <v>165</v>
      </c>
      <c r="D394" s="248"/>
      <c r="E394" s="216" t="s">
        <v>66</v>
      </c>
      <c r="F394" s="215"/>
      <c r="G394" s="209"/>
      <c r="H394" s="209"/>
      <c r="I394" s="209"/>
      <c r="J394" s="116"/>
      <c r="K394" s="209">
        <f t="shared" si="46"/>
        <v>0</v>
      </c>
      <c r="L394" s="209">
        <f t="shared" si="47"/>
        <v>0</v>
      </c>
      <c r="M394" s="214">
        <v>438.7</v>
      </c>
      <c r="N394" s="214">
        <f t="shared" si="53"/>
        <v>5.6417181069958842</v>
      </c>
      <c r="O394" s="209"/>
      <c r="P394" s="214">
        <f t="shared" si="48"/>
        <v>0</v>
      </c>
      <c r="Q394" s="214"/>
      <c r="R394" s="19">
        <f t="shared" si="49"/>
        <v>0</v>
      </c>
      <c r="S394" s="214">
        <f t="shared" si="50"/>
        <v>0</v>
      </c>
      <c r="T394" s="20">
        <v>5</v>
      </c>
      <c r="U394" s="20"/>
      <c r="V394" s="222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12">
        <v>300288</v>
      </c>
      <c r="B395" s="208">
        <v>13001</v>
      </c>
      <c r="C395" s="248" t="s">
        <v>165</v>
      </c>
      <c r="D395" s="248"/>
      <c r="E395" s="216" t="s">
        <v>166</v>
      </c>
      <c r="F395" s="215"/>
      <c r="G395" s="211"/>
      <c r="H395" s="214"/>
      <c r="I395" s="214"/>
      <c r="J395" s="214"/>
      <c r="K395" s="214">
        <f t="shared" si="46"/>
        <v>0</v>
      </c>
      <c r="L395" s="214">
        <f t="shared" si="47"/>
        <v>0</v>
      </c>
      <c r="M395" s="214">
        <v>438.7</v>
      </c>
      <c r="N395" s="214">
        <f t="shared" si="53"/>
        <v>5.6417181069958842</v>
      </c>
      <c r="O395" s="214"/>
      <c r="P395" s="214">
        <f t="shared" si="48"/>
        <v>0</v>
      </c>
      <c r="Q395" s="214"/>
      <c r="R395" s="19">
        <f t="shared" si="49"/>
        <v>0</v>
      </c>
      <c r="S395" s="214">
        <f t="shared" si="50"/>
        <v>0</v>
      </c>
      <c r="T395" s="20">
        <v>5</v>
      </c>
      <c r="U395" s="20"/>
      <c r="V395" s="222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10">
        <v>300355</v>
      </c>
      <c r="B396" s="208">
        <v>13001</v>
      </c>
      <c r="C396" s="259" t="s">
        <v>168</v>
      </c>
      <c r="D396" s="260"/>
      <c r="E396" s="33" t="s">
        <v>35</v>
      </c>
      <c r="F396" s="215"/>
      <c r="G396" s="211"/>
      <c r="H396" s="214"/>
      <c r="I396" s="214"/>
      <c r="J396" s="214"/>
      <c r="K396" s="209">
        <f t="shared" si="46"/>
        <v>0</v>
      </c>
      <c r="L396" s="214">
        <f t="shared" si="47"/>
        <v>0</v>
      </c>
      <c r="M396" s="214">
        <v>438</v>
      </c>
      <c r="N396" s="214">
        <f>+M396*1000/(110*4*18*60)*T396</f>
        <v>4.6085858585858581</v>
      </c>
      <c r="O396" s="214"/>
      <c r="P396" s="214">
        <f t="shared" si="48"/>
        <v>0</v>
      </c>
      <c r="Q396" s="214"/>
      <c r="R396" s="19">
        <f t="shared" si="49"/>
        <v>0</v>
      </c>
      <c r="S396" s="214">
        <f t="shared" si="50"/>
        <v>0</v>
      </c>
      <c r="T396" s="20">
        <v>5</v>
      </c>
      <c r="U396" s="20"/>
      <c r="V396" s="222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10">
        <v>300356</v>
      </c>
      <c r="B397" s="208">
        <v>13001</v>
      </c>
      <c r="C397" s="259" t="s">
        <v>168</v>
      </c>
      <c r="D397" s="260"/>
      <c r="E397" s="217" t="s">
        <v>41</v>
      </c>
      <c r="F397" s="215"/>
      <c r="G397" s="211"/>
      <c r="H397" s="214"/>
      <c r="I397" s="214"/>
      <c r="J397" s="214"/>
      <c r="K397" s="209">
        <f t="shared" si="46"/>
        <v>0</v>
      </c>
      <c r="L397" s="214">
        <f t="shared" si="47"/>
        <v>0</v>
      </c>
      <c r="M397" s="214">
        <v>438</v>
      </c>
      <c r="N397" s="214">
        <f>+M397*1000/(110*4*18*60)*T397</f>
        <v>4.6085858585858581</v>
      </c>
      <c r="O397" s="214"/>
      <c r="P397" s="214">
        <f t="shared" si="48"/>
        <v>0</v>
      </c>
      <c r="Q397" s="214"/>
      <c r="R397" s="19">
        <f t="shared" si="49"/>
        <v>0</v>
      </c>
      <c r="S397" s="214">
        <f t="shared" si="50"/>
        <v>0</v>
      </c>
      <c r="T397" s="20">
        <v>5</v>
      </c>
      <c r="U397" s="20"/>
      <c r="V397" s="222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10">
        <v>300357</v>
      </c>
      <c r="B398" s="208" t="s">
        <v>170</v>
      </c>
      <c r="C398" s="259" t="s">
        <v>168</v>
      </c>
      <c r="D398" s="260"/>
      <c r="E398" s="217" t="s">
        <v>37</v>
      </c>
      <c r="F398" s="27"/>
      <c r="G398" s="211"/>
      <c r="H398" s="214"/>
      <c r="I398" s="214"/>
      <c r="J398" s="214"/>
      <c r="K398" s="209">
        <f t="shared" si="46"/>
        <v>0</v>
      </c>
      <c r="L398" s="214">
        <f t="shared" si="47"/>
        <v>0</v>
      </c>
      <c r="M398" s="214">
        <v>438</v>
      </c>
      <c r="N398" s="214">
        <f>+M398*1000/(110*4*18*60)*T398</f>
        <v>4.6085858585858581</v>
      </c>
      <c r="O398" s="214"/>
      <c r="P398" s="214">
        <f t="shared" si="48"/>
        <v>0</v>
      </c>
      <c r="Q398" s="214"/>
      <c r="R398" s="19">
        <f t="shared" si="49"/>
        <v>0</v>
      </c>
      <c r="S398" s="214">
        <f t="shared" si="50"/>
        <v>0</v>
      </c>
      <c r="T398" s="20">
        <v>5</v>
      </c>
      <c r="U398" s="20"/>
      <c r="V398" s="222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hidden="1" customHeight="1">
      <c r="A399" s="210">
        <v>300358</v>
      </c>
      <c r="B399" s="208" t="s">
        <v>171</v>
      </c>
      <c r="C399" s="259" t="s">
        <v>168</v>
      </c>
      <c r="D399" s="260"/>
      <c r="E399" s="217" t="s">
        <v>66</v>
      </c>
      <c r="F399" s="27"/>
      <c r="G399" s="211"/>
      <c r="H399" s="214"/>
      <c r="I399" s="214"/>
      <c r="J399" s="214"/>
      <c r="K399" s="209">
        <f t="shared" si="46"/>
        <v>0</v>
      </c>
      <c r="L399" s="214">
        <f t="shared" si="47"/>
        <v>0</v>
      </c>
      <c r="M399" s="214">
        <v>438</v>
      </c>
      <c r="N399" s="214">
        <f>+M399*1000/(110*4*18*60)*T399</f>
        <v>4.6085858585858581</v>
      </c>
      <c r="O399" s="214"/>
      <c r="P399" s="214">
        <f t="shared" si="48"/>
        <v>0</v>
      </c>
      <c r="Q399" s="214"/>
      <c r="R399" s="19">
        <f t="shared" si="49"/>
        <v>0</v>
      </c>
      <c r="S399" s="214">
        <f t="shared" si="50"/>
        <v>0</v>
      </c>
      <c r="T399" s="20">
        <v>5</v>
      </c>
      <c r="U399" s="20"/>
      <c r="V399" s="222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s="2" customFormat="1" ht="21.95" customHeight="1">
      <c r="A400" s="212">
        <v>300438</v>
      </c>
      <c r="B400" s="208">
        <v>13002</v>
      </c>
      <c r="C400" s="248" t="s">
        <v>312</v>
      </c>
      <c r="D400" s="248" t="s">
        <v>89</v>
      </c>
      <c r="E400" s="216" t="s">
        <v>35</v>
      </c>
      <c r="F400" s="27">
        <v>1535</v>
      </c>
      <c r="G400" s="214">
        <v>9</v>
      </c>
      <c r="H400" s="214">
        <v>0.33333333333333331</v>
      </c>
      <c r="I400" s="214">
        <f>8+H400-J400/300</f>
        <v>8</v>
      </c>
      <c r="J400" s="214">
        <v>100</v>
      </c>
      <c r="K400" s="214">
        <f>G400*M400</f>
        <v>3029.4</v>
      </c>
      <c r="L400" s="214">
        <f>I400*M400</f>
        <v>2692.8</v>
      </c>
      <c r="M400" s="214">
        <v>336.6</v>
      </c>
      <c r="N400" s="214">
        <f>+M400*1000/(45*10*18*60)*T400</f>
        <v>1.3851851851851851</v>
      </c>
      <c r="O400" s="214"/>
      <c r="P400" s="214">
        <f>N400*I400+O400*U400</f>
        <v>11.081481481481481</v>
      </c>
      <c r="Q400" s="214">
        <v>11.5</v>
      </c>
      <c r="R400" s="19">
        <f>Q400*U400</f>
        <v>57.5</v>
      </c>
      <c r="S400" s="214">
        <f>R400-P400</f>
        <v>46.418518518518518</v>
      </c>
      <c r="T400" s="20">
        <v>2</v>
      </c>
      <c r="U400" s="20">
        <v>5</v>
      </c>
      <c r="V400" s="222">
        <f t="array" ref="V400">IF(ISERROR(L400/K400),"",L400/K400)</f>
        <v>0.88888888888888895</v>
      </c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62.77</v>
      </c>
      <c r="H408" s="164">
        <f t="array" ref="H408">SUM(IF(ISERROR(H215:H407),“”,H215:H407))</f>
        <v>2.3666666666666667</v>
      </c>
      <c r="I408" s="164">
        <f t="array" ref="I408">SUM(IF(ISERROR(I215:I407),“”,I215:I407))</f>
        <v>59.666666666666664</v>
      </c>
      <c r="J408" s="164">
        <f t="array" ref="J408">SUM(IF(ISERROR(J215:J407),“”,J215:J407))</f>
        <v>230</v>
      </c>
      <c r="K408" s="164">
        <f t="array" ref="K408">SUM(IF(ISERROR(K215:K407),“”,K215:K407))</f>
        <v>32192.6731</v>
      </c>
      <c r="L408" s="117">
        <f>SUM(L215:L400)</f>
        <v>30758.282666666662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293.30637930747298</v>
      </c>
      <c r="Q408" s="164"/>
      <c r="R408" s="56">
        <f>SUM((R215:R399),(Y413:Z418))</f>
        <v>349.5</v>
      </c>
      <c r="S408" s="164">
        <f t="array" ref="S408">SUM(IF(ISERROR(S215:S407),“”,S215:S407))</f>
        <v>91.61213921104553</v>
      </c>
      <c r="T408" s="164"/>
      <c r="U408" s="164"/>
      <c r="V408" s="161">
        <f t="array" ref="V408">IF(ISERROR(L408/K408),"",L408/K408)</f>
        <v>0.95544357472653185</v>
      </c>
      <c r="W408" s="164">
        <f t="array" ref="W408">SUM(IF(ISERROR(W215:W407),“”,W215:W407))</f>
        <v>0</v>
      </c>
      <c r="X408" s="164">
        <f t="array" ref="X408">SUM(IF(ISERROR(X215:X407),“”,X215:X407))</f>
        <v>2.7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0.83921710817588835</v>
      </c>
      <c r="P409" s="274"/>
      <c r="Q409" s="274"/>
      <c r="R409" s="275"/>
      <c r="S409" s="44"/>
      <c r="T409" s="45"/>
      <c r="U409" s="45"/>
      <c r="V409" s="45"/>
      <c r="W409" s="276">
        <f>SUM(W408:AC408)</f>
        <v>2.7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160.5</v>
      </c>
      <c r="F411" s="279"/>
      <c r="G411" s="279">
        <v>160.5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5498.5</v>
      </c>
      <c r="F412" s="279"/>
      <c r="G412" s="279">
        <v>5661.3</v>
      </c>
      <c r="H412" s="279"/>
      <c r="I412" s="279">
        <f>G412-E412</f>
        <v>162.80000000000018</v>
      </c>
      <c r="J412" s="279"/>
      <c r="K412" s="281">
        <f t="array" ref="K412">IF(ISERROR(I412/E412),"",I412/E412)</f>
        <v>2.9608074929526267E-2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14</v>
      </c>
      <c r="T412" s="284"/>
      <c r="U412" s="284">
        <v>24</v>
      </c>
      <c r="V412" s="284"/>
      <c r="W412" s="283">
        <f>S412*11</f>
        <v>154</v>
      </c>
      <c r="X412" s="283"/>
      <c r="Y412" s="283">
        <f>U412*11</f>
        <v>264</v>
      </c>
      <c r="Z412" s="283"/>
      <c r="AA412" s="283">
        <f t="shared" ref="AA412:AA419" si="59">Y412-W412</f>
        <v>110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1464</v>
      </c>
      <c r="F413" s="279"/>
      <c r="G413" s="279">
        <v>1464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4</v>
      </c>
      <c r="T413" s="284"/>
      <c r="U413" s="284">
        <v>4</v>
      </c>
      <c r="V413" s="284"/>
      <c r="W413" s="283">
        <f t="shared" ref="W413:W419" si="60">S413*11</f>
        <v>44</v>
      </c>
      <c r="X413" s="283"/>
      <c r="Y413" s="283">
        <f t="shared" ref="Y413:Y419" si="61">U413*11</f>
        <v>44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1</v>
      </c>
      <c r="V414" s="284"/>
      <c r="W414" s="283">
        <f t="shared" si="60"/>
        <v>8.25</v>
      </c>
      <c r="X414" s="283"/>
      <c r="Y414" s="283">
        <f t="shared" si="61"/>
        <v>11</v>
      </c>
      <c r="Z414" s="283"/>
      <c r="AA414" s="283">
        <f t="shared" si="59"/>
        <v>2.75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150877</v>
      </c>
      <c r="H415" s="324"/>
      <c r="I415" s="325">
        <v>150758</v>
      </c>
      <c r="J415" s="326"/>
      <c r="K415" s="289">
        <f>G415-I415</f>
        <v>119</v>
      </c>
      <c r="L415" s="289"/>
      <c r="M415" s="290">
        <f t="array" ref="M415">IF(ISERROR(K415/L408),"",K415/(L408/1000))</f>
        <v>3.8688765978785469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8.25</v>
      </c>
      <c r="X415" s="283"/>
      <c r="Y415" s="283">
        <f t="shared" si="61"/>
        <v>11</v>
      </c>
      <c r="Z415" s="283"/>
      <c r="AA415" s="283">
        <f t="shared" si="59"/>
        <v>2.75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44983.5*60+28672.8*120</f>
        <v>6139746</v>
      </c>
      <c r="H416" s="323"/>
      <c r="I416" s="322">
        <v>6138090</v>
      </c>
      <c r="J416" s="323"/>
      <c r="K416" s="289">
        <f>G416-I416</f>
        <v>1656</v>
      </c>
      <c r="L416" s="289"/>
      <c r="M416" s="290">
        <f t="array" ref="M416">IF(ISERROR(K416/L408),"",K416/(L408/1000))</f>
        <v>53.839156689805662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1</v>
      </c>
      <c r="V416" s="284"/>
      <c r="W416" s="283">
        <f t="shared" si="60"/>
        <v>16.5</v>
      </c>
      <c r="X416" s="283"/>
      <c r="Y416" s="283">
        <f t="shared" si="61"/>
        <v>11</v>
      </c>
      <c r="Z416" s="283"/>
      <c r="AA416" s="283">
        <f t="shared" si="59"/>
        <v>-5.5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+I417+18</f>
        <v>27033</v>
      </c>
      <c r="H417" s="324"/>
      <c r="I417" s="327">
        <v>27015</v>
      </c>
      <c r="J417" s="328"/>
      <c r="K417" s="289">
        <f>G417-I417</f>
        <v>18</v>
      </c>
      <c r="L417" s="289"/>
      <c r="M417" s="293">
        <f t="array" ref="M417">IF(ISERROR(K417/L408),"",K417/(L408/1000))</f>
        <v>0.585208224889192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11</v>
      </c>
      <c r="X417" s="283"/>
      <c r="Y417" s="283">
        <f t="shared" si="61"/>
        <v>11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2.56/2+2.56</f>
        <v>3.84</v>
      </c>
      <c r="L418" s="301"/>
      <c r="M418" s="294">
        <f t="array" ref="M418">IF(ISERROR((K418+K419)/L408),"",((K418+K419)*1000)/(L408/1000))</f>
        <v>124.84442130969428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4</v>
      </c>
      <c r="V418" s="284"/>
      <c r="W418" s="283">
        <f t="shared" si="60"/>
        <v>33</v>
      </c>
      <c r="X418" s="283"/>
      <c r="Y418" s="283">
        <f t="shared" si="61"/>
        <v>44</v>
      </c>
      <c r="Z418" s="283"/>
      <c r="AA418" s="283">
        <f t="shared" si="59"/>
        <v>11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25</v>
      </c>
      <c r="T419" s="284"/>
      <c r="U419" s="284">
        <f>SUM(U412:V418)</f>
        <v>36</v>
      </c>
      <c r="V419" s="284"/>
      <c r="W419" s="283">
        <f t="shared" si="60"/>
        <v>275</v>
      </c>
      <c r="X419" s="283"/>
      <c r="Y419" s="283">
        <f t="shared" si="61"/>
        <v>396</v>
      </c>
      <c r="Z419" s="283"/>
      <c r="AA419" s="283">
        <f t="shared" si="59"/>
        <v>121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4.6875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77.67243097643096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62531.4421</v>
      </c>
      <c r="D423" s="337"/>
      <c r="E423" s="333" t="s">
        <v>226</v>
      </c>
      <c r="F423" s="333"/>
      <c r="G423" s="333">
        <f>L199+L408</f>
        <v>60219.985476190472</v>
      </c>
      <c r="H423" s="333"/>
      <c r="I423" s="340" t="s">
        <v>227</v>
      </c>
      <c r="J423" s="340"/>
      <c r="K423" s="339">
        <f>IF(ISERROR(G423/C423),"",G423/C423)</f>
        <v>0.96303528998878585</v>
      </c>
      <c r="L423" s="339"/>
      <c r="M423" s="333" t="s">
        <v>228</v>
      </c>
      <c r="N423" s="333"/>
      <c r="O423" s="334">
        <f>IF(ISERROR(G423/G424),"",G423/G424)</f>
        <v>77.753370530910871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588.29627694708734</v>
      </c>
      <c r="D424" s="337"/>
      <c r="E424" s="338" t="s">
        <v>18</v>
      </c>
      <c r="F424" s="338"/>
      <c r="G424" s="333">
        <f>R199+R408</f>
        <v>774.5</v>
      </c>
      <c r="H424" s="333"/>
      <c r="I424" s="313" t="s">
        <v>176</v>
      </c>
      <c r="J424" s="313"/>
      <c r="K424" s="339">
        <f>IF(ISERROR(C424/G424),"",C424/G424)</f>
        <v>0.75958202317248202</v>
      </c>
      <c r="L424" s="339"/>
      <c r="M424" s="279" t="s">
        <v>230</v>
      </c>
      <c r="N424" s="279"/>
      <c r="O424" s="333">
        <f>W200+W409</f>
        <v>3.7</v>
      </c>
      <c r="P424" s="279"/>
      <c r="Q424" s="279" t="s">
        <v>231</v>
      </c>
      <c r="R424" s="279"/>
      <c r="S424" s="339">
        <f t="array" ref="S424">IF(ISERROR(O424/G424),"",O424/G424)</f>
        <v>4.7772756617172375E-3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259</v>
      </c>
      <c r="D426" s="337"/>
      <c r="E426" s="333" t="s">
        <v>234</v>
      </c>
      <c r="F426" s="333"/>
      <c r="G426" s="293">
        <f t="array" ref="G426">IF(ISERROR(C426/G423),"",C426/(G423/1000))</f>
        <v>4.3008977493427381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3408</v>
      </c>
      <c r="D427" s="337"/>
      <c r="E427" s="333" t="s">
        <v>236</v>
      </c>
      <c r="F427" s="333"/>
      <c r="G427" s="293">
        <f>IF(ISERROR(C427/G423),"",C427/(G423/1000))</f>
        <v>56.592507836911402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37</v>
      </c>
      <c r="D428" s="337"/>
      <c r="E428" s="333" t="s">
        <v>238</v>
      </c>
      <c r="F428" s="333"/>
      <c r="G428" s="293">
        <f>IF(ISERROR(C428/G423),"",C428/(G423/1000))</f>
        <v>0.61441396419181982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7.84</v>
      </c>
      <c r="D429" s="337"/>
      <c r="E429" s="333" t="s">
        <v>240</v>
      </c>
      <c r="F429" s="333"/>
      <c r="G429" s="341">
        <f>IF(ISERROR(C429/G423),"",C429/(G423/1000))</f>
        <v>0.13018933727740181</v>
      </c>
      <c r="H429" s="341"/>
      <c r="I429" s="333" t="s">
        <v>241</v>
      </c>
      <c r="J429" s="333"/>
      <c r="K429" s="342">
        <f>IF(ISERROR(C428/C429),"",C428/C429)</f>
        <v>4.7193877551020407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323.5</v>
      </c>
      <c r="D432" s="346"/>
      <c r="E432" s="333" t="s">
        <v>247</v>
      </c>
      <c r="F432" s="351"/>
      <c r="G432" s="347">
        <f>+G411+G202</f>
        <v>323.5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10978.2</v>
      </c>
      <c r="D433" s="346"/>
      <c r="E433" s="333" t="s">
        <v>251</v>
      </c>
      <c r="F433" s="333"/>
      <c r="G433" s="347">
        <f>+G412+G203</f>
        <v>11510.5</v>
      </c>
      <c r="H433" s="348"/>
      <c r="I433" s="333" t="s">
        <v>252</v>
      </c>
      <c r="J433" s="333"/>
      <c r="K433" s="315">
        <f>G433-C433</f>
        <v>532.29999999999927</v>
      </c>
      <c r="L433" s="317"/>
      <c r="M433" s="349" t="s">
        <v>253</v>
      </c>
      <c r="N433" s="350"/>
      <c r="O433" s="343">
        <f t="array" ref="O433">IF(ISERROR(K433/C433),"",K433/C433)</f>
        <v>4.848700151208752E-2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2412</v>
      </c>
      <c r="D434" s="346"/>
      <c r="E434" s="333" t="s">
        <v>255</v>
      </c>
      <c r="F434" s="351"/>
      <c r="G434" s="347">
        <f>+G413+G204</f>
        <v>2412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1</v>
      </c>
      <c r="L440" s="67"/>
      <c r="M440" s="67"/>
      <c r="N440" s="67"/>
      <c r="O440" s="67"/>
      <c r="P440" s="118"/>
      <c r="Q440" s="83">
        <f t="shared" si="64"/>
        <v>25</v>
      </c>
      <c r="R440" s="158">
        <f t="shared" si="65"/>
        <v>275</v>
      </c>
      <c r="S440" s="101">
        <f t="array" ref="S440">IF(ISERROR(Q440/J440),"",Q440/J440)</f>
        <v>0.96153846153846156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44</v>
      </c>
      <c r="R443" s="158">
        <f t="shared" si="65"/>
        <v>484</v>
      </c>
      <c r="S443" s="120">
        <f t="array" ref="S443">IF(ISERROR(Q443/J443),"",Q443/J443)</f>
        <v>0.97777777777777775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/>
      <c r="J447" s="83">
        <f t="shared" si="63"/>
        <v>24</v>
      </c>
      <c r="K447" s="67">
        <v>1</v>
      </c>
      <c r="L447" s="67">
        <v>2</v>
      </c>
      <c r="M447" s="67"/>
      <c r="N447" s="67"/>
      <c r="O447" s="67"/>
      <c r="P447" s="67"/>
      <c r="Q447" s="83">
        <f t="shared" si="64"/>
        <v>21</v>
      </c>
      <c r="R447" s="158">
        <f t="shared" si="68"/>
        <v>241.5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40</v>
      </c>
      <c r="K450" s="69">
        <f t="shared" ref="K450:P450" si="70">SUM(K444:K449)</f>
        <v>2</v>
      </c>
      <c r="L450" s="69">
        <f t="shared" si="70"/>
        <v>2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36</v>
      </c>
      <c r="R450" s="158">
        <f t="shared" si="68"/>
        <v>414</v>
      </c>
      <c r="S450" s="122">
        <f t="array" ref="S450">IF(ISERROR(Q450/J450),"",Q450/J450)</f>
        <v>0.9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57</v>
      </c>
      <c r="K452" s="69">
        <f t="shared" ref="K452:P452" si="71">+K443+K450+K451</f>
        <v>3</v>
      </c>
      <c r="L452" s="69">
        <f t="shared" si="71"/>
        <v>2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52</v>
      </c>
      <c r="R452" s="67">
        <f>R443+R450+R451</f>
        <v>920</v>
      </c>
      <c r="S452" s="123">
        <f t="array" ref="S452">IF(ISERROR(Q452/J452),"",Q452/J452)</f>
        <v>0.91228070175438591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27" topLeftCell="F408" activePane="bottomRight" state="frozen"/>
      <selection pane="topRight" activeCell="F1" sqref="F1"/>
      <selection pane="bottomLeft" activeCell="A28" sqref="A2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customHeight="1">
      <c r="A28" s="226">
        <v>300016</v>
      </c>
      <c r="B28" s="223">
        <v>3004</v>
      </c>
      <c r="C28" s="248" t="s">
        <v>51</v>
      </c>
      <c r="D28" s="248"/>
      <c r="E28" s="230" t="s">
        <v>38</v>
      </c>
      <c r="F28" s="27"/>
      <c r="G28" s="133">
        <v>11</v>
      </c>
      <c r="H28" s="133"/>
      <c r="I28" s="133">
        <f>11-J28/500</f>
        <v>10.44</v>
      </c>
      <c r="J28" s="133">
        <v>280</v>
      </c>
      <c r="K28" s="228">
        <f t="shared" si="0"/>
        <v>5770.6</v>
      </c>
      <c r="L28" s="228">
        <f t="shared" si="1"/>
        <v>5476.8239999999996</v>
      </c>
      <c r="M28" s="228">
        <v>524.6</v>
      </c>
      <c r="N28" s="228">
        <f>+M28*1000/(25.4*20*15*60)*T28</f>
        <v>3.4422572178477688</v>
      </c>
      <c r="O28" s="228"/>
      <c r="P28" s="228">
        <f t="shared" si="2"/>
        <v>35.937165354330702</v>
      </c>
      <c r="Q28" s="228">
        <v>11</v>
      </c>
      <c r="R28" s="19">
        <f t="shared" si="3"/>
        <v>22</v>
      </c>
      <c r="S28" s="228">
        <f t="shared" si="4"/>
        <v>-13.937165354330702</v>
      </c>
      <c r="T28" s="20">
        <v>3</v>
      </c>
      <c r="U28" s="20">
        <v>2</v>
      </c>
      <c r="V28" s="227">
        <f t="array" ref="V28">IF(ISERROR(L28/K28),"",L28/K28)</f>
        <v>0.94909090909090899</v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226">
        <v>3000435</v>
      </c>
      <c r="B29" s="223" t="s">
        <v>43</v>
      </c>
      <c r="C29" s="248" t="s">
        <v>51</v>
      </c>
      <c r="D29" s="248"/>
      <c r="E29" s="230" t="s">
        <v>309</v>
      </c>
      <c r="F29" s="27"/>
      <c r="G29" s="133"/>
      <c r="H29" s="133"/>
      <c r="I29" s="133"/>
      <c r="J29" s="133"/>
      <c r="K29" s="228">
        <f t="shared" si="0"/>
        <v>0</v>
      </c>
      <c r="L29" s="228">
        <f t="shared" si="1"/>
        <v>0</v>
      </c>
      <c r="M29" s="228">
        <v>524.6</v>
      </c>
      <c r="N29" s="228">
        <f>+M29*1000/(25.4*20*15*60)*T29</f>
        <v>3.4422572178477688</v>
      </c>
      <c r="O29" s="228"/>
      <c r="P29" s="228">
        <f t="shared" si="2"/>
        <v>0</v>
      </c>
      <c r="Q29" s="228"/>
      <c r="R29" s="19">
        <f t="shared" si="3"/>
        <v>0</v>
      </c>
      <c r="S29" s="228">
        <f t="shared" si="4"/>
        <v>0</v>
      </c>
      <c r="T29" s="20">
        <v>3</v>
      </c>
      <c r="U29" s="20"/>
      <c r="V29" s="227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226">
        <v>300276</v>
      </c>
      <c r="B30" s="223" t="s">
        <v>43</v>
      </c>
      <c r="C30" s="248" t="s">
        <v>53</v>
      </c>
      <c r="D30" s="248"/>
      <c r="E30" s="230" t="s">
        <v>41</v>
      </c>
      <c r="F30" s="27"/>
      <c r="G30" s="133"/>
      <c r="H30" s="133"/>
      <c r="I30" s="133"/>
      <c r="J30" s="133"/>
      <c r="K30" s="228">
        <f t="shared" si="0"/>
        <v>0</v>
      </c>
      <c r="L30" s="228">
        <f t="shared" si="1"/>
        <v>0</v>
      </c>
      <c r="M30" s="228">
        <v>266</v>
      </c>
      <c r="N30" s="228">
        <f>+M30*1000/(29.8*10*13*60)*T30</f>
        <v>3.4331440371708828</v>
      </c>
      <c r="O30" s="228"/>
      <c r="P30" s="228">
        <f t="shared" si="2"/>
        <v>0</v>
      </c>
      <c r="Q30" s="228"/>
      <c r="R30" s="19">
        <f t="shared" si="3"/>
        <v>0</v>
      </c>
      <c r="S30" s="228">
        <f t="shared" si="4"/>
        <v>0</v>
      </c>
      <c r="T30" s="20">
        <v>3</v>
      </c>
      <c r="U30" s="20"/>
      <c r="V30" s="227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226">
        <v>300277</v>
      </c>
      <c r="B31" s="223" t="s">
        <v>43</v>
      </c>
      <c r="C31" s="248" t="s">
        <v>53</v>
      </c>
      <c r="D31" s="248"/>
      <c r="E31" s="230" t="s">
        <v>39</v>
      </c>
      <c r="F31" s="27"/>
      <c r="G31" s="133"/>
      <c r="H31" s="133"/>
      <c r="I31" s="133"/>
      <c r="J31" s="133"/>
      <c r="K31" s="228">
        <f t="shared" si="0"/>
        <v>0</v>
      </c>
      <c r="L31" s="228">
        <f t="shared" si="1"/>
        <v>0</v>
      </c>
      <c r="M31" s="228">
        <v>266</v>
      </c>
      <c r="N31" s="228">
        <f>+M31*1000/(29.8*10*13*60)*T31</f>
        <v>3.4331440371708828</v>
      </c>
      <c r="O31" s="228"/>
      <c r="P31" s="228">
        <f t="shared" si="2"/>
        <v>0</v>
      </c>
      <c r="Q31" s="228"/>
      <c r="R31" s="19">
        <f t="shared" si="3"/>
        <v>0</v>
      </c>
      <c r="S31" s="228">
        <f t="shared" si="4"/>
        <v>0</v>
      </c>
      <c r="T31" s="20">
        <v>3</v>
      </c>
      <c r="U31" s="20"/>
      <c r="V31" s="227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226">
        <v>300278</v>
      </c>
      <c r="B32" s="223" t="s">
        <v>43</v>
      </c>
      <c r="C32" s="248" t="s">
        <v>53</v>
      </c>
      <c r="D32" s="248"/>
      <c r="E32" s="230" t="s">
        <v>54</v>
      </c>
      <c r="F32" s="27"/>
      <c r="G32" s="133"/>
      <c r="H32" s="133"/>
      <c r="I32" s="133"/>
      <c r="J32" s="133"/>
      <c r="K32" s="228">
        <f t="shared" si="0"/>
        <v>0</v>
      </c>
      <c r="L32" s="228">
        <f t="shared" si="1"/>
        <v>0</v>
      </c>
      <c r="M32" s="228">
        <v>266</v>
      </c>
      <c r="N32" s="228">
        <f>+M32*1000/(29.8*10*13*60)*T32</f>
        <v>3.4331440371708828</v>
      </c>
      <c r="O32" s="228"/>
      <c r="P32" s="228">
        <f t="shared" si="2"/>
        <v>0</v>
      </c>
      <c r="Q32" s="228"/>
      <c r="R32" s="19">
        <f t="shared" si="3"/>
        <v>0</v>
      </c>
      <c r="S32" s="228">
        <f t="shared" si="4"/>
        <v>0</v>
      </c>
      <c r="T32" s="20">
        <v>3</v>
      </c>
      <c r="U32" s="20"/>
      <c r="V32" s="227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226">
        <v>300027</v>
      </c>
      <c r="B33" s="223" t="s">
        <v>55</v>
      </c>
      <c r="C33" s="248" t="s">
        <v>56</v>
      </c>
      <c r="D33" s="248"/>
      <c r="E33" s="230" t="s">
        <v>54</v>
      </c>
      <c r="F33" s="27"/>
      <c r="G33" s="133"/>
      <c r="H33" s="133"/>
      <c r="I33" s="133"/>
      <c r="J33" s="133"/>
      <c r="K33" s="228">
        <f t="shared" si="0"/>
        <v>0</v>
      </c>
      <c r="L33" s="228">
        <f t="shared" si="1"/>
        <v>0</v>
      </c>
      <c r="M33" s="228">
        <v>550.4</v>
      </c>
      <c r="N33" s="228">
        <f>+M33*1000/(31*20*15*60)*T33</f>
        <v>2.9591397849462364</v>
      </c>
      <c r="O33" s="228"/>
      <c r="P33" s="228">
        <f t="shared" si="2"/>
        <v>0</v>
      </c>
      <c r="Q33" s="228"/>
      <c r="R33" s="19">
        <f t="shared" si="3"/>
        <v>0</v>
      </c>
      <c r="S33" s="228">
        <f t="shared" si="4"/>
        <v>0</v>
      </c>
      <c r="T33" s="20">
        <v>3</v>
      </c>
      <c r="U33" s="20"/>
      <c r="V33" s="227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226">
        <v>300028</v>
      </c>
      <c r="B34" s="223" t="s">
        <v>55</v>
      </c>
      <c r="C34" s="248" t="s">
        <v>56</v>
      </c>
      <c r="D34" s="248"/>
      <c r="E34" s="230" t="s">
        <v>35</v>
      </c>
      <c r="F34" s="27"/>
      <c r="G34" s="133"/>
      <c r="H34" s="133"/>
      <c r="I34" s="133"/>
      <c r="J34" s="133"/>
      <c r="K34" s="228">
        <f t="shared" si="0"/>
        <v>0</v>
      </c>
      <c r="L34" s="228">
        <f t="shared" si="1"/>
        <v>0</v>
      </c>
      <c r="M34" s="228">
        <v>550.4</v>
      </c>
      <c r="N34" s="228">
        <f>+M34*1000/(31*20*15*60)*T34</f>
        <v>2.9591397849462364</v>
      </c>
      <c r="O34" s="228"/>
      <c r="P34" s="228">
        <f t="shared" si="2"/>
        <v>0</v>
      </c>
      <c r="Q34" s="228"/>
      <c r="R34" s="19">
        <f t="shared" si="3"/>
        <v>0</v>
      </c>
      <c r="S34" s="228">
        <f t="shared" si="4"/>
        <v>0</v>
      </c>
      <c r="T34" s="20">
        <v>3</v>
      </c>
      <c r="U34" s="20"/>
      <c r="V34" s="227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226">
        <v>300029</v>
      </c>
      <c r="B35" s="223" t="s">
        <v>55</v>
      </c>
      <c r="C35" s="248" t="s">
        <v>56</v>
      </c>
      <c r="D35" s="248"/>
      <c r="E35" s="230" t="s">
        <v>57</v>
      </c>
      <c r="F35" s="27"/>
      <c r="G35" s="133"/>
      <c r="H35" s="133"/>
      <c r="I35" s="133"/>
      <c r="J35" s="133"/>
      <c r="K35" s="228">
        <f t="shared" si="0"/>
        <v>0</v>
      </c>
      <c r="L35" s="228">
        <f t="shared" si="1"/>
        <v>0</v>
      </c>
      <c r="M35" s="228">
        <v>550.4</v>
      </c>
      <c r="N35" s="228">
        <f>+M35*1000/(31*20*15*60)*T35</f>
        <v>2.9591397849462364</v>
      </c>
      <c r="O35" s="228"/>
      <c r="P35" s="228">
        <f t="shared" si="2"/>
        <v>0</v>
      </c>
      <c r="Q35" s="228"/>
      <c r="R35" s="19">
        <f t="shared" si="3"/>
        <v>0</v>
      </c>
      <c r="S35" s="228">
        <f t="shared" si="4"/>
        <v>0</v>
      </c>
      <c r="T35" s="20">
        <v>3</v>
      </c>
      <c r="U35" s="20"/>
      <c r="V35" s="227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226">
        <v>300026</v>
      </c>
      <c r="B36" s="223" t="s">
        <v>55</v>
      </c>
      <c r="C36" s="248" t="s">
        <v>56</v>
      </c>
      <c r="D36" s="248"/>
      <c r="E36" s="230" t="s">
        <v>37</v>
      </c>
      <c r="F36" s="27"/>
      <c r="G36" s="133"/>
      <c r="H36" s="133"/>
      <c r="I36" s="133"/>
      <c r="J36" s="133"/>
      <c r="K36" s="228">
        <f t="shared" si="0"/>
        <v>0</v>
      </c>
      <c r="L36" s="228">
        <f t="shared" si="1"/>
        <v>0</v>
      </c>
      <c r="M36" s="228">
        <v>550.4</v>
      </c>
      <c r="N36" s="228">
        <f>+M36*1000/(31*20*15*60)*T36</f>
        <v>2.9591397849462364</v>
      </c>
      <c r="O36" s="228"/>
      <c r="P36" s="228">
        <f t="shared" si="2"/>
        <v>0</v>
      </c>
      <c r="Q36" s="228"/>
      <c r="R36" s="19">
        <f t="shared" si="3"/>
        <v>0</v>
      </c>
      <c r="S36" s="228">
        <f t="shared" si="4"/>
        <v>0</v>
      </c>
      <c r="T36" s="20">
        <v>3</v>
      </c>
      <c r="U36" s="20"/>
      <c r="V36" s="227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226">
        <v>300032</v>
      </c>
      <c r="B37" s="223">
        <v>3002</v>
      </c>
      <c r="C37" s="248" t="s">
        <v>58</v>
      </c>
      <c r="D37" s="248" t="s">
        <v>59</v>
      </c>
      <c r="E37" s="230" t="s">
        <v>35</v>
      </c>
      <c r="F37" s="27"/>
      <c r="G37" s="133"/>
      <c r="H37" s="133"/>
      <c r="I37" s="133"/>
      <c r="J37" s="133"/>
      <c r="K37" s="228">
        <f t="shared" si="0"/>
        <v>0</v>
      </c>
      <c r="L37" s="228">
        <f t="shared" si="1"/>
        <v>0</v>
      </c>
      <c r="M37" s="228">
        <v>285.7</v>
      </c>
      <c r="N37" s="228">
        <f>+M37*1000/(31*10*13*60)*T37</f>
        <v>7.0893300248138953</v>
      </c>
      <c r="O37" s="228"/>
      <c r="P37" s="228">
        <f t="shared" si="2"/>
        <v>0</v>
      </c>
      <c r="Q37" s="228"/>
      <c r="R37" s="19">
        <f t="shared" si="3"/>
        <v>0</v>
      </c>
      <c r="S37" s="228">
        <f t="shared" si="4"/>
        <v>0</v>
      </c>
      <c r="T37" s="20">
        <v>6</v>
      </c>
      <c r="U37" s="20"/>
      <c r="V37" s="227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226">
        <v>300413</v>
      </c>
      <c r="B38" s="223">
        <v>3002</v>
      </c>
      <c r="C38" s="259" t="s">
        <v>304</v>
      </c>
      <c r="D38" s="260"/>
      <c r="E38" s="230" t="s">
        <v>302</v>
      </c>
      <c r="F38" s="27"/>
      <c r="G38" s="133"/>
      <c r="H38" s="133"/>
      <c r="I38" s="133"/>
      <c r="J38" s="133"/>
      <c r="K38" s="228">
        <f t="shared" si="0"/>
        <v>0</v>
      </c>
      <c r="L38" s="228">
        <f t="shared" si="1"/>
        <v>0</v>
      </c>
      <c r="M38" s="228">
        <v>528.79999999999995</v>
      </c>
      <c r="N38" s="228">
        <f>+M38*1000/(31*10*13*60)*T38</f>
        <v>6.5607940446650126</v>
      </c>
      <c r="O38" s="228"/>
      <c r="P38" s="228">
        <f t="shared" si="2"/>
        <v>0</v>
      </c>
      <c r="Q38" s="228"/>
      <c r="R38" s="19">
        <f t="shared" si="3"/>
        <v>0</v>
      </c>
      <c r="S38" s="228">
        <f t="shared" si="4"/>
        <v>0</v>
      </c>
      <c r="T38" s="20">
        <v>3</v>
      </c>
      <c r="U38" s="20"/>
      <c r="V38" s="227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226">
        <v>300414</v>
      </c>
      <c r="B39" s="223">
        <v>3002</v>
      </c>
      <c r="C39" s="259" t="s">
        <v>304</v>
      </c>
      <c r="D39" s="260"/>
      <c r="E39" s="230" t="s">
        <v>311</v>
      </c>
      <c r="F39" s="27"/>
      <c r="G39" s="133"/>
      <c r="H39" s="133"/>
      <c r="I39" s="133"/>
      <c r="J39" s="133"/>
      <c r="K39" s="228">
        <f t="shared" si="0"/>
        <v>0</v>
      </c>
      <c r="L39" s="228">
        <f t="shared" si="1"/>
        <v>0</v>
      </c>
      <c r="M39" s="228">
        <v>528.79999999999995</v>
      </c>
      <c r="N39" s="228">
        <f>+M39*1000/(31*10*13*60)*T39</f>
        <v>6.5607940446650126</v>
      </c>
      <c r="O39" s="228"/>
      <c r="P39" s="228">
        <f t="shared" si="2"/>
        <v>0</v>
      </c>
      <c r="Q39" s="228"/>
      <c r="R39" s="19">
        <f t="shared" si="3"/>
        <v>0</v>
      </c>
      <c r="S39" s="228">
        <f t="shared" si="4"/>
        <v>0</v>
      </c>
      <c r="T39" s="20">
        <v>3</v>
      </c>
      <c r="U39" s="20"/>
      <c r="V39" s="227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226">
        <v>300415</v>
      </c>
      <c r="B40" s="223">
        <v>3002</v>
      </c>
      <c r="C40" s="259" t="s">
        <v>304</v>
      </c>
      <c r="D40" s="260"/>
      <c r="E40" s="230" t="s">
        <v>303</v>
      </c>
      <c r="F40" s="27"/>
      <c r="G40" s="133"/>
      <c r="H40" s="133"/>
      <c r="I40" s="133"/>
      <c r="J40" s="133"/>
      <c r="K40" s="228">
        <f t="shared" si="0"/>
        <v>0</v>
      </c>
      <c r="L40" s="228">
        <f t="shared" si="1"/>
        <v>0</v>
      </c>
      <c r="M40" s="228">
        <v>528.79999999999995</v>
      </c>
      <c r="N40" s="228">
        <f>+M40*1000/(31*10*13*60)*T40</f>
        <v>6.5607940446650126</v>
      </c>
      <c r="O40" s="228"/>
      <c r="P40" s="228">
        <f t="shared" si="2"/>
        <v>0</v>
      </c>
      <c r="Q40" s="228"/>
      <c r="R40" s="19">
        <f t="shared" si="3"/>
        <v>0</v>
      </c>
      <c r="S40" s="228">
        <f t="shared" si="4"/>
        <v>0</v>
      </c>
      <c r="T40" s="20">
        <v>3</v>
      </c>
      <c r="U40" s="20"/>
      <c r="V40" s="227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226">
        <v>300035</v>
      </c>
      <c r="B41" s="223" t="s">
        <v>60</v>
      </c>
      <c r="C41" s="248" t="s">
        <v>61</v>
      </c>
      <c r="D41" s="248" t="s">
        <v>62</v>
      </c>
      <c r="E41" s="230" t="s">
        <v>35</v>
      </c>
      <c r="F41" s="27"/>
      <c r="G41" s="133"/>
      <c r="H41" s="133"/>
      <c r="I41" s="133"/>
      <c r="J41" s="133"/>
      <c r="K41" s="228">
        <f t="shared" si="0"/>
        <v>0</v>
      </c>
      <c r="L41" s="228">
        <f t="shared" si="1"/>
        <v>0</v>
      </c>
      <c r="M41" s="228">
        <v>366.93</v>
      </c>
      <c r="N41" s="228">
        <f>+M41*1000/(35.8*10*13*60)*T41</f>
        <v>2.6280618822518265</v>
      </c>
      <c r="O41" s="228"/>
      <c r="P41" s="228">
        <f t="shared" si="2"/>
        <v>0</v>
      </c>
      <c r="Q41" s="228"/>
      <c r="R41" s="19">
        <f t="shared" si="3"/>
        <v>0</v>
      </c>
      <c r="S41" s="228">
        <f t="shared" si="4"/>
        <v>0</v>
      </c>
      <c r="T41" s="20">
        <v>2</v>
      </c>
      <c r="U41" s="20"/>
      <c r="V41" s="227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226">
        <v>300036</v>
      </c>
      <c r="B42" s="223" t="s">
        <v>60</v>
      </c>
      <c r="C42" s="248" t="s">
        <v>61</v>
      </c>
      <c r="D42" s="248" t="s">
        <v>62</v>
      </c>
      <c r="E42" s="230" t="s">
        <v>63</v>
      </c>
      <c r="F42" s="27"/>
      <c r="G42" s="133"/>
      <c r="H42" s="133"/>
      <c r="I42" s="133"/>
      <c r="J42" s="133"/>
      <c r="K42" s="228">
        <f t="shared" si="0"/>
        <v>0</v>
      </c>
      <c r="L42" s="228">
        <f t="shared" si="1"/>
        <v>0</v>
      </c>
      <c r="M42" s="228">
        <v>366.93</v>
      </c>
      <c r="N42" s="228">
        <f>+M42*1000/(35.8*10*13*60)*T42</f>
        <v>2.6280618822518265</v>
      </c>
      <c r="O42" s="228"/>
      <c r="P42" s="228">
        <f t="shared" si="2"/>
        <v>0</v>
      </c>
      <c r="Q42" s="228"/>
      <c r="R42" s="19">
        <f t="shared" si="3"/>
        <v>0</v>
      </c>
      <c r="S42" s="228">
        <f t="shared" si="4"/>
        <v>0</v>
      </c>
      <c r="T42" s="20">
        <v>2</v>
      </c>
      <c r="U42" s="20"/>
      <c r="V42" s="227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226">
        <v>300037</v>
      </c>
      <c r="B43" s="223" t="s">
        <v>60</v>
      </c>
      <c r="C43" s="248" t="s">
        <v>61</v>
      </c>
      <c r="D43" s="248" t="s">
        <v>62</v>
      </c>
      <c r="E43" s="230" t="s">
        <v>37</v>
      </c>
      <c r="F43" s="27"/>
      <c r="G43" s="133"/>
      <c r="H43" s="133"/>
      <c r="I43" s="133"/>
      <c r="J43" s="133"/>
      <c r="K43" s="228">
        <f t="shared" si="0"/>
        <v>0</v>
      </c>
      <c r="L43" s="228">
        <f t="shared" si="1"/>
        <v>0</v>
      </c>
      <c r="M43" s="228">
        <v>366.93</v>
      </c>
      <c r="N43" s="228">
        <f>+M43*1000/(35.8*10*13*60)*T43</f>
        <v>2.6280618822518265</v>
      </c>
      <c r="O43" s="228"/>
      <c r="P43" s="228">
        <f t="shared" si="2"/>
        <v>0</v>
      </c>
      <c r="Q43" s="228"/>
      <c r="R43" s="19">
        <f t="shared" si="3"/>
        <v>0</v>
      </c>
      <c r="S43" s="228">
        <f t="shared" si="4"/>
        <v>0</v>
      </c>
      <c r="T43" s="20">
        <v>2</v>
      </c>
      <c r="U43" s="20"/>
      <c r="V43" s="227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226">
        <v>300038</v>
      </c>
      <c r="B44" s="223" t="s">
        <v>60</v>
      </c>
      <c r="C44" s="248" t="s">
        <v>64</v>
      </c>
      <c r="D44" s="248" t="s">
        <v>65</v>
      </c>
      <c r="E44" s="230" t="s">
        <v>35</v>
      </c>
      <c r="F44" s="27"/>
      <c r="G44" s="133"/>
      <c r="H44" s="133"/>
      <c r="I44" s="133"/>
      <c r="J44" s="133"/>
      <c r="K44" s="228">
        <f t="shared" si="0"/>
        <v>0</v>
      </c>
      <c r="L44" s="228">
        <f t="shared" si="1"/>
        <v>0</v>
      </c>
      <c r="M44" s="228">
        <v>301.14</v>
      </c>
      <c r="N44" s="228">
        <f>+M44*1000/(35.8*10*13*60)*T44</f>
        <v>5.3921357971637294</v>
      </c>
      <c r="O44" s="228"/>
      <c r="P44" s="228">
        <f t="shared" si="2"/>
        <v>0</v>
      </c>
      <c r="Q44" s="228"/>
      <c r="R44" s="19">
        <f t="shared" si="3"/>
        <v>0</v>
      </c>
      <c r="S44" s="228">
        <f t="shared" si="4"/>
        <v>0</v>
      </c>
      <c r="T44" s="20">
        <v>5</v>
      </c>
      <c r="U44" s="20"/>
      <c r="V44" s="227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226">
        <v>300039</v>
      </c>
      <c r="B45" s="223" t="s">
        <v>60</v>
      </c>
      <c r="C45" s="248" t="s">
        <v>64</v>
      </c>
      <c r="D45" s="248" t="s">
        <v>65</v>
      </c>
      <c r="E45" s="230" t="s">
        <v>66</v>
      </c>
      <c r="F45" s="27"/>
      <c r="G45" s="133"/>
      <c r="H45" s="133"/>
      <c r="I45" s="133"/>
      <c r="J45" s="133"/>
      <c r="K45" s="228">
        <f t="shared" si="0"/>
        <v>0</v>
      </c>
      <c r="L45" s="228">
        <f t="shared" si="1"/>
        <v>0</v>
      </c>
      <c r="M45" s="228">
        <v>310.39999999999998</v>
      </c>
      <c r="N45" s="228">
        <f>+M45*1000/(35.8*10*13*60)*T45</f>
        <v>5.557942988110586</v>
      </c>
      <c r="O45" s="228"/>
      <c r="P45" s="228">
        <f t="shared" si="2"/>
        <v>0</v>
      </c>
      <c r="Q45" s="228"/>
      <c r="R45" s="19">
        <f t="shared" si="3"/>
        <v>0</v>
      </c>
      <c r="S45" s="228">
        <f t="shared" si="4"/>
        <v>0</v>
      </c>
      <c r="T45" s="20">
        <v>5</v>
      </c>
      <c r="U45" s="20"/>
      <c r="V45" s="227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226">
        <v>300416</v>
      </c>
      <c r="B46" s="223" t="s">
        <v>67</v>
      </c>
      <c r="C46" s="259" t="s">
        <v>68</v>
      </c>
      <c r="D46" s="260"/>
      <c r="E46" s="230" t="s">
        <v>69</v>
      </c>
      <c r="F46" s="229"/>
      <c r="G46" s="133"/>
      <c r="H46" s="133"/>
      <c r="I46" s="133"/>
      <c r="J46" s="133"/>
      <c r="K46" s="228">
        <f t="shared" si="0"/>
        <v>0</v>
      </c>
      <c r="L46" s="228">
        <f t="shared" si="1"/>
        <v>0</v>
      </c>
      <c r="M46" s="228">
        <v>385.6</v>
      </c>
      <c r="N46" s="228">
        <f>+M46*1000/(25.4*20*15*60)*T46</f>
        <v>2.5301837270341205</v>
      </c>
      <c r="O46" s="228"/>
      <c r="P46" s="228">
        <f t="shared" si="2"/>
        <v>0</v>
      </c>
      <c r="Q46" s="228"/>
      <c r="R46" s="19">
        <f t="shared" si="3"/>
        <v>0</v>
      </c>
      <c r="S46" s="228">
        <f t="shared" si="4"/>
        <v>0</v>
      </c>
      <c r="T46" s="20">
        <v>3</v>
      </c>
      <c r="U46" s="20"/>
      <c r="V46" s="227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226">
        <v>300417</v>
      </c>
      <c r="B47" s="223" t="s">
        <v>67</v>
      </c>
      <c r="C47" s="259" t="s">
        <v>68</v>
      </c>
      <c r="D47" s="260"/>
      <c r="E47" s="230" t="s">
        <v>70</v>
      </c>
      <c r="F47" s="229"/>
      <c r="G47" s="133"/>
      <c r="H47" s="133"/>
      <c r="I47" s="133"/>
      <c r="J47" s="133"/>
      <c r="K47" s="228">
        <f t="shared" si="0"/>
        <v>0</v>
      </c>
      <c r="L47" s="228">
        <f t="shared" si="1"/>
        <v>0</v>
      </c>
      <c r="M47" s="228">
        <v>385.6</v>
      </c>
      <c r="N47" s="228">
        <f>+M47*1000/(25.4*20*15*60)*T47</f>
        <v>2.5301837270341205</v>
      </c>
      <c r="O47" s="228"/>
      <c r="P47" s="228">
        <f t="shared" si="2"/>
        <v>0</v>
      </c>
      <c r="Q47" s="228"/>
      <c r="R47" s="19">
        <f t="shared" si="3"/>
        <v>0</v>
      </c>
      <c r="S47" s="228">
        <f t="shared" si="4"/>
        <v>0</v>
      </c>
      <c r="T47" s="20">
        <v>3</v>
      </c>
      <c r="U47" s="20"/>
      <c r="V47" s="227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226">
        <v>300418</v>
      </c>
      <c r="B48" s="223" t="s">
        <v>67</v>
      </c>
      <c r="C48" s="259" t="s">
        <v>68</v>
      </c>
      <c r="D48" s="260"/>
      <c r="E48" s="230" t="s">
        <v>71</v>
      </c>
      <c r="F48" s="229"/>
      <c r="G48" s="133"/>
      <c r="H48" s="133"/>
      <c r="I48" s="133"/>
      <c r="J48" s="133"/>
      <c r="K48" s="228">
        <f t="shared" si="0"/>
        <v>0</v>
      </c>
      <c r="L48" s="228">
        <f t="shared" si="1"/>
        <v>0</v>
      </c>
      <c r="M48" s="228">
        <v>385.6</v>
      </c>
      <c r="N48" s="228">
        <f>+M48*1000/(25.4*20*15*60)*T48</f>
        <v>2.5301837270341205</v>
      </c>
      <c r="O48" s="228"/>
      <c r="P48" s="228">
        <f t="shared" si="2"/>
        <v>0</v>
      </c>
      <c r="Q48" s="228"/>
      <c r="R48" s="19">
        <f t="shared" si="3"/>
        <v>0</v>
      </c>
      <c r="S48" s="228">
        <f t="shared" si="4"/>
        <v>0</v>
      </c>
      <c r="T48" s="20">
        <v>3</v>
      </c>
      <c r="U48" s="20"/>
      <c r="V48" s="227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226">
        <v>300419</v>
      </c>
      <c r="B49" s="223" t="s">
        <v>67</v>
      </c>
      <c r="C49" s="259" t="s">
        <v>68</v>
      </c>
      <c r="D49" s="260"/>
      <c r="E49" s="230" t="s">
        <v>72</v>
      </c>
      <c r="F49" s="229"/>
      <c r="G49" s="133"/>
      <c r="H49" s="133"/>
      <c r="I49" s="133"/>
      <c r="J49" s="133"/>
      <c r="K49" s="228">
        <f t="shared" si="0"/>
        <v>0</v>
      </c>
      <c r="L49" s="228">
        <f t="shared" si="1"/>
        <v>0</v>
      </c>
      <c r="M49" s="228">
        <v>385.6</v>
      </c>
      <c r="N49" s="228">
        <f>+M49*1000/(25.4*20*15*60)*T49</f>
        <v>2.5301837270341205</v>
      </c>
      <c r="O49" s="228"/>
      <c r="P49" s="228">
        <f t="shared" si="2"/>
        <v>0</v>
      </c>
      <c r="Q49" s="228"/>
      <c r="R49" s="19">
        <f t="shared" si="3"/>
        <v>0</v>
      </c>
      <c r="S49" s="228">
        <f t="shared" si="4"/>
        <v>0</v>
      </c>
      <c r="T49" s="20">
        <v>3</v>
      </c>
      <c r="U49" s="20"/>
      <c r="V49" s="227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226">
        <v>300260</v>
      </c>
      <c r="B50" s="223" t="s">
        <v>67</v>
      </c>
      <c r="C50" s="248" t="s">
        <v>73</v>
      </c>
      <c r="D50" s="248"/>
      <c r="E50" s="230" t="s">
        <v>74</v>
      </c>
      <c r="F50" s="27"/>
      <c r="G50" s="133"/>
      <c r="H50" s="133"/>
      <c r="I50" s="133"/>
      <c r="J50" s="133"/>
      <c r="K50" s="228">
        <f t="shared" si="0"/>
        <v>0</v>
      </c>
      <c r="L50" s="228">
        <f t="shared" si="1"/>
        <v>0</v>
      </c>
      <c r="M50" s="228">
        <v>434.33</v>
      </c>
      <c r="N50" s="228">
        <f>+M50*1000/(42.7*10*15*60)*T50</f>
        <v>2.2603695029924538</v>
      </c>
      <c r="O50" s="228"/>
      <c r="P50" s="228">
        <f t="shared" si="2"/>
        <v>0</v>
      </c>
      <c r="Q50" s="228"/>
      <c r="R50" s="19">
        <f t="shared" si="3"/>
        <v>0</v>
      </c>
      <c r="S50" s="228">
        <f t="shared" si="4"/>
        <v>0</v>
      </c>
      <c r="T50" s="20">
        <v>2</v>
      </c>
      <c r="U50" s="20"/>
      <c r="V50" s="227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226">
        <v>300261</v>
      </c>
      <c r="B51" s="223" t="s">
        <v>67</v>
      </c>
      <c r="C51" s="248" t="s">
        <v>73</v>
      </c>
      <c r="D51" s="248"/>
      <c r="E51" s="230" t="s">
        <v>41</v>
      </c>
      <c r="F51" s="27"/>
      <c r="G51" s="133"/>
      <c r="H51" s="133"/>
      <c r="I51" s="133"/>
      <c r="J51" s="133"/>
      <c r="K51" s="228">
        <f t="shared" si="0"/>
        <v>0</v>
      </c>
      <c r="L51" s="228">
        <f t="shared" si="1"/>
        <v>0</v>
      </c>
      <c r="M51" s="228">
        <v>434.33</v>
      </c>
      <c r="N51" s="228">
        <f>+M51*1000/(42.7*10*15*60)*T51</f>
        <v>2.2603695029924538</v>
      </c>
      <c r="O51" s="228"/>
      <c r="P51" s="228">
        <f t="shared" si="2"/>
        <v>0</v>
      </c>
      <c r="Q51" s="228"/>
      <c r="R51" s="19">
        <f t="shared" si="3"/>
        <v>0</v>
      </c>
      <c r="S51" s="228">
        <f t="shared" si="4"/>
        <v>0</v>
      </c>
      <c r="T51" s="20">
        <v>2</v>
      </c>
      <c r="U51" s="20"/>
      <c r="V51" s="227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226">
        <v>300262</v>
      </c>
      <c r="B52" s="223" t="s">
        <v>67</v>
      </c>
      <c r="C52" s="248" t="s">
        <v>73</v>
      </c>
      <c r="D52" s="248"/>
      <c r="E52" s="230" t="s">
        <v>39</v>
      </c>
      <c r="F52" s="27"/>
      <c r="G52" s="133"/>
      <c r="H52" s="133"/>
      <c r="I52" s="133"/>
      <c r="J52" s="133"/>
      <c r="K52" s="228">
        <f t="shared" si="0"/>
        <v>0</v>
      </c>
      <c r="L52" s="228">
        <f t="shared" si="1"/>
        <v>0</v>
      </c>
      <c r="M52" s="228">
        <v>434.33</v>
      </c>
      <c r="N52" s="228">
        <f>+M52*1000/(42.7*10*15*60)*T52</f>
        <v>2.2603695029924538</v>
      </c>
      <c r="O52" s="228"/>
      <c r="P52" s="228">
        <f t="shared" si="2"/>
        <v>0</v>
      </c>
      <c r="Q52" s="228"/>
      <c r="R52" s="19">
        <f t="shared" si="3"/>
        <v>0</v>
      </c>
      <c r="S52" s="228">
        <f t="shared" si="4"/>
        <v>0</v>
      </c>
      <c r="T52" s="20">
        <v>2</v>
      </c>
      <c r="U52" s="20"/>
      <c r="V52" s="227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226">
        <v>300263</v>
      </c>
      <c r="B53" s="223" t="s">
        <v>67</v>
      </c>
      <c r="C53" s="248" t="s">
        <v>73</v>
      </c>
      <c r="D53" s="248"/>
      <c r="E53" s="230" t="s">
        <v>54</v>
      </c>
      <c r="F53" s="27"/>
      <c r="G53" s="133"/>
      <c r="H53" s="133"/>
      <c r="I53" s="133"/>
      <c r="J53" s="133"/>
      <c r="K53" s="228">
        <f t="shared" si="0"/>
        <v>0</v>
      </c>
      <c r="L53" s="228">
        <f t="shared" si="1"/>
        <v>0</v>
      </c>
      <c r="M53" s="228">
        <v>434.33</v>
      </c>
      <c r="N53" s="228">
        <f>+M53*1000/(42.7*10*15*60)*T53</f>
        <v>2.2603695029924538</v>
      </c>
      <c r="O53" s="228"/>
      <c r="P53" s="228">
        <f t="shared" si="2"/>
        <v>0</v>
      </c>
      <c r="Q53" s="228"/>
      <c r="R53" s="19">
        <f t="shared" si="3"/>
        <v>0</v>
      </c>
      <c r="S53" s="228">
        <f t="shared" si="4"/>
        <v>0</v>
      </c>
      <c r="T53" s="20">
        <v>2</v>
      </c>
      <c r="U53" s="20"/>
      <c r="V53" s="227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226">
        <v>300051</v>
      </c>
      <c r="B54" s="223">
        <v>4503</v>
      </c>
      <c r="C54" s="248" t="s">
        <v>75</v>
      </c>
      <c r="D54" s="248" t="s">
        <v>76</v>
      </c>
      <c r="E54" s="230" t="s">
        <v>40</v>
      </c>
      <c r="F54" s="27"/>
      <c r="G54" s="133"/>
      <c r="H54" s="133"/>
      <c r="I54" s="133"/>
      <c r="J54" s="133"/>
      <c r="K54" s="228">
        <f t="shared" si="0"/>
        <v>0</v>
      </c>
      <c r="L54" s="228">
        <f t="shared" si="1"/>
        <v>0</v>
      </c>
      <c r="M54" s="228">
        <v>545.9</v>
      </c>
      <c r="N54" s="228">
        <f>+M54*1000/(41.5*10*16*60)*T54</f>
        <v>2.7404618473895583</v>
      </c>
      <c r="O54" s="228"/>
      <c r="P54" s="228">
        <f t="shared" si="2"/>
        <v>0</v>
      </c>
      <c r="Q54" s="228"/>
      <c r="R54" s="19">
        <f t="shared" si="3"/>
        <v>0</v>
      </c>
      <c r="S54" s="228">
        <f t="shared" si="4"/>
        <v>0</v>
      </c>
      <c r="T54" s="22">
        <v>2</v>
      </c>
      <c r="U54" s="20"/>
      <c r="V54" s="227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customHeight="1">
      <c r="A55" s="226">
        <v>300052</v>
      </c>
      <c r="B55" s="223">
        <v>4503</v>
      </c>
      <c r="C55" s="248" t="s">
        <v>75</v>
      </c>
      <c r="D55" s="248" t="s">
        <v>76</v>
      </c>
      <c r="E55" s="230" t="s">
        <v>39</v>
      </c>
      <c r="F55" s="27"/>
      <c r="G55" s="133">
        <v>2.1</v>
      </c>
      <c r="H55" s="133">
        <v>0.1</v>
      </c>
      <c r="I55" s="133">
        <f>2+H55</f>
        <v>2.1</v>
      </c>
      <c r="J55" s="133"/>
      <c r="K55" s="228">
        <f t="shared" si="0"/>
        <v>1146.3900000000001</v>
      </c>
      <c r="L55" s="228">
        <f t="shared" si="1"/>
        <v>1146.3900000000001</v>
      </c>
      <c r="M55" s="228">
        <v>545.9</v>
      </c>
      <c r="N55" s="228">
        <f>+M55*1000/(41.5*10*16*60)*T55</f>
        <v>2.7404618473895583</v>
      </c>
      <c r="O55" s="228"/>
      <c r="P55" s="228">
        <f t="shared" si="2"/>
        <v>5.7549698795180726</v>
      </c>
      <c r="Q55" s="228">
        <v>3.5</v>
      </c>
      <c r="R55" s="19">
        <f t="shared" si="3"/>
        <v>7</v>
      </c>
      <c r="S55" s="228">
        <f t="shared" si="4"/>
        <v>1.2450301204819274</v>
      </c>
      <c r="T55" s="20">
        <v>2</v>
      </c>
      <c r="U55" s="20">
        <v>2</v>
      </c>
      <c r="V55" s="227">
        <f t="array" ref="V55">IF(ISERROR(L55/K55),"",L55/K55)</f>
        <v>1</v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226">
        <v>300054</v>
      </c>
      <c r="B56" s="223" t="s">
        <v>67</v>
      </c>
      <c r="C56" s="248" t="s">
        <v>75</v>
      </c>
      <c r="D56" s="248" t="s">
        <v>76</v>
      </c>
      <c r="E56" s="230" t="s">
        <v>38</v>
      </c>
      <c r="F56" s="27"/>
      <c r="G56" s="133"/>
      <c r="H56" s="133"/>
      <c r="I56" s="133"/>
      <c r="J56" s="133"/>
      <c r="K56" s="228">
        <f t="shared" si="0"/>
        <v>0</v>
      </c>
      <c r="L56" s="228">
        <f t="shared" si="1"/>
        <v>0</v>
      </c>
      <c r="M56" s="228">
        <v>545.9</v>
      </c>
      <c r="N56" s="228">
        <f>+M56*1000/(41.5*10*16*60)*T56</f>
        <v>2.7404618473895583</v>
      </c>
      <c r="O56" s="228"/>
      <c r="P56" s="228">
        <f t="shared" si="2"/>
        <v>0</v>
      </c>
      <c r="Q56" s="228"/>
      <c r="R56" s="19">
        <f t="shared" si="3"/>
        <v>0</v>
      </c>
      <c r="S56" s="228">
        <f t="shared" si="4"/>
        <v>0</v>
      </c>
      <c r="T56" s="20">
        <v>2</v>
      </c>
      <c r="U56" s="20"/>
      <c r="V56" s="235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customHeight="1">
      <c r="A57" s="226">
        <v>300436</v>
      </c>
      <c r="B57" s="223">
        <v>4503</v>
      </c>
      <c r="C57" s="248" t="s">
        <v>75</v>
      </c>
      <c r="D57" s="248" t="s">
        <v>76</v>
      </c>
      <c r="E57" s="230" t="s">
        <v>309</v>
      </c>
      <c r="F57" s="27"/>
      <c r="G57" s="133">
        <v>6.4</v>
      </c>
      <c r="H57" s="133"/>
      <c r="I57" s="133">
        <f>7-J57/500</f>
        <v>6.4</v>
      </c>
      <c r="J57" s="133">
        <v>300</v>
      </c>
      <c r="K57" s="228">
        <f t="shared" si="0"/>
        <v>3493.76</v>
      </c>
      <c r="L57" s="228">
        <f t="shared" si="1"/>
        <v>3493.76</v>
      </c>
      <c r="M57" s="228">
        <v>545.9</v>
      </c>
      <c r="N57" s="228">
        <f>+M57*1000/(41.5*10*16*60)*T57</f>
        <v>2.7404618473895583</v>
      </c>
      <c r="O57" s="228">
        <v>0.5</v>
      </c>
      <c r="P57" s="228">
        <f t="shared" si="2"/>
        <v>18.538955823293175</v>
      </c>
      <c r="Q57" s="228">
        <v>7.5</v>
      </c>
      <c r="R57" s="19">
        <f t="shared" si="3"/>
        <v>15</v>
      </c>
      <c r="S57" s="228">
        <f t="shared" si="4"/>
        <v>-3.5389558232931755</v>
      </c>
      <c r="T57" s="20">
        <v>2</v>
      </c>
      <c r="U57" s="20">
        <v>2</v>
      </c>
      <c r="V57" s="235">
        <f t="array" ref="V57">IF(ISERROR(L57/K57),"",L57/K57)</f>
        <v>1</v>
      </c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226">
        <v>300050</v>
      </c>
      <c r="B58" s="223" t="s">
        <v>67</v>
      </c>
      <c r="C58" s="248" t="s">
        <v>77</v>
      </c>
      <c r="D58" s="248" t="s">
        <v>78</v>
      </c>
      <c r="E58" s="230" t="s">
        <v>79</v>
      </c>
      <c r="F58" s="27"/>
      <c r="G58" s="133"/>
      <c r="H58" s="133"/>
      <c r="I58" s="133"/>
      <c r="J58" s="133"/>
      <c r="K58" s="228">
        <f t="shared" si="0"/>
        <v>0</v>
      </c>
      <c r="L58" s="228">
        <f t="shared" si="1"/>
        <v>0</v>
      </c>
      <c r="M58" s="228">
        <v>427.5</v>
      </c>
      <c r="N58" s="228">
        <f>+M58*1000/(45*10*14*60)*T58</f>
        <v>5.6547619047619051</v>
      </c>
      <c r="O58" s="228"/>
      <c r="P58" s="228">
        <f t="shared" si="2"/>
        <v>0</v>
      </c>
      <c r="Q58" s="228"/>
      <c r="R58" s="19">
        <f t="shared" si="3"/>
        <v>0</v>
      </c>
      <c r="S58" s="228">
        <f t="shared" si="4"/>
        <v>0</v>
      </c>
      <c r="T58" s="20">
        <v>5</v>
      </c>
      <c r="U58" s="20"/>
      <c r="V58" s="235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hidden="1" customHeight="1">
      <c r="A59" s="226">
        <v>300045</v>
      </c>
      <c r="B59" s="223" t="s">
        <v>67</v>
      </c>
      <c r="C59" s="248" t="s">
        <v>77</v>
      </c>
      <c r="D59" s="248" t="s">
        <v>78</v>
      </c>
      <c r="E59" s="230" t="s">
        <v>35</v>
      </c>
      <c r="F59" s="27"/>
      <c r="G59" s="133"/>
      <c r="H59" s="133"/>
      <c r="I59" s="133"/>
      <c r="J59" s="133"/>
      <c r="K59" s="228">
        <f t="shared" si="0"/>
        <v>0</v>
      </c>
      <c r="L59" s="228">
        <f t="shared" si="1"/>
        <v>0</v>
      </c>
      <c r="M59" s="228">
        <v>406.6</v>
      </c>
      <c r="N59" s="228">
        <f>+M59*1000/(45*10*13*60)*T59</f>
        <v>5.7920227920227916</v>
      </c>
      <c r="O59" s="228"/>
      <c r="P59" s="228">
        <f t="shared" si="2"/>
        <v>0</v>
      </c>
      <c r="Q59" s="228"/>
      <c r="R59" s="19">
        <f t="shared" si="3"/>
        <v>0</v>
      </c>
      <c r="S59" s="228">
        <f t="shared" si="4"/>
        <v>0</v>
      </c>
      <c r="T59" s="20">
        <v>5</v>
      </c>
      <c r="U59" s="20"/>
      <c r="V59" s="235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226">
        <v>300422</v>
      </c>
      <c r="B60" s="223" t="s">
        <v>67</v>
      </c>
      <c r="C60" s="259" t="s">
        <v>301</v>
      </c>
      <c r="D60" s="260"/>
      <c r="E60" s="230" t="s">
        <v>54</v>
      </c>
      <c r="F60" s="27"/>
      <c r="G60" s="133"/>
      <c r="H60" s="133"/>
      <c r="I60" s="133"/>
      <c r="J60" s="133"/>
      <c r="K60" s="228">
        <f t="shared" si="0"/>
        <v>0</v>
      </c>
      <c r="L60" s="228">
        <f t="shared" si="1"/>
        <v>0</v>
      </c>
      <c r="M60" s="228">
        <v>429.8</v>
      </c>
      <c r="N60" s="228">
        <f>+M60*1000/(45*10*13*60)*T60</f>
        <v>3.6735042735042738</v>
      </c>
      <c r="O60" s="228"/>
      <c r="P60" s="228">
        <f t="shared" si="2"/>
        <v>0</v>
      </c>
      <c r="Q60" s="228"/>
      <c r="R60" s="19">
        <f t="shared" si="3"/>
        <v>0</v>
      </c>
      <c r="S60" s="228">
        <f t="shared" si="4"/>
        <v>0</v>
      </c>
      <c r="T60" s="20">
        <v>3</v>
      </c>
      <c r="U60" s="20"/>
      <c r="V60" s="235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226">
        <v>300421</v>
      </c>
      <c r="B61" s="223" t="s">
        <v>67</v>
      </c>
      <c r="C61" s="259" t="s">
        <v>301</v>
      </c>
      <c r="D61" s="260"/>
      <c r="E61" s="230" t="s">
        <v>80</v>
      </c>
      <c r="F61" s="27"/>
      <c r="G61" s="133"/>
      <c r="H61" s="133"/>
      <c r="I61" s="133"/>
      <c r="J61" s="133"/>
      <c r="K61" s="228">
        <f t="shared" si="0"/>
        <v>0</v>
      </c>
      <c r="L61" s="228">
        <f t="shared" si="1"/>
        <v>0</v>
      </c>
      <c r="M61" s="228">
        <v>429.8</v>
      </c>
      <c r="N61" s="228">
        <f>+M61*1000/(45*10*13*60)*T61</f>
        <v>3.6735042735042738</v>
      </c>
      <c r="O61" s="228"/>
      <c r="P61" s="228">
        <f t="shared" si="2"/>
        <v>0</v>
      </c>
      <c r="Q61" s="228"/>
      <c r="R61" s="19">
        <f t="shared" si="3"/>
        <v>0</v>
      </c>
      <c r="S61" s="228">
        <f t="shared" si="4"/>
        <v>0</v>
      </c>
      <c r="T61" s="20">
        <v>3</v>
      </c>
      <c r="U61" s="20"/>
      <c r="V61" s="235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226">
        <v>300149</v>
      </c>
      <c r="B62" s="223" t="s">
        <v>67</v>
      </c>
      <c r="C62" s="248" t="s">
        <v>81</v>
      </c>
      <c r="D62" s="248" t="s">
        <v>82</v>
      </c>
      <c r="E62" s="230" t="s">
        <v>80</v>
      </c>
      <c r="F62" s="27"/>
      <c r="G62" s="133"/>
      <c r="H62" s="133"/>
      <c r="I62" s="133"/>
      <c r="J62" s="133"/>
      <c r="K62" s="228">
        <f t="shared" si="0"/>
        <v>0</v>
      </c>
      <c r="L62" s="228">
        <f t="shared" si="1"/>
        <v>0</v>
      </c>
      <c r="M62" s="228">
        <v>589.1</v>
      </c>
      <c r="N62" s="228">
        <f>+M62*1000/(67.1*10*13*60)*T62</f>
        <v>3.3767052619511633</v>
      </c>
      <c r="O62" s="228"/>
      <c r="P62" s="228">
        <f t="shared" si="2"/>
        <v>0</v>
      </c>
      <c r="Q62" s="228"/>
      <c r="R62" s="19">
        <f t="shared" si="3"/>
        <v>0</v>
      </c>
      <c r="S62" s="228">
        <f t="shared" si="4"/>
        <v>0</v>
      </c>
      <c r="T62" s="20">
        <v>3</v>
      </c>
      <c r="U62" s="20"/>
      <c r="V62" s="235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226">
        <v>300150</v>
      </c>
      <c r="B63" s="223" t="s">
        <v>67</v>
      </c>
      <c r="C63" s="248" t="s">
        <v>81</v>
      </c>
      <c r="D63" s="248" t="s">
        <v>82</v>
      </c>
      <c r="E63" s="230" t="s">
        <v>54</v>
      </c>
      <c r="F63" s="27"/>
      <c r="G63" s="133"/>
      <c r="H63" s="133"/>
      <c r="I63" s="133"/>
      <c r="J63" s="133"/>
      <c r="K63" s="228">
        <f t="shared" si="0"/>
        <v>0</v>
      </c>
      <c r="L63" s="228">
        <f t="shared" si="1"/>
        <v>0</v>
      </c>
      <c r="M63" s="228">
        <v>589.1</v>
      </c>
      <c r="N63" s="228">
        <f>+M63*1000/(67.1*10*13*60)*T63</f>
        <v>3.3767052619511633</v>
      </c>
      <c r="O63" s="228"/>
      <c r="P63" s="228">
        <f t="shared" si="2"/>
        <v>0</v>
      </c>
      <c r="Q63" s="228"/>
      <c r="R63" s="19">
        <f t="shared" si="3"/>
        <v>0</v>
      </c>
      <c r="S63" s="228">
        <f t="shared" si="4"/>
        <v>0</v>
      </c>
      <c r="T63" s="20">
        <v>3</v>
      </c>
      <c r="U63" s="20"/>
      <c r="V63" s="235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226">
        <v>300330</v>
      </c>
      <c r="B64" s="223" t="s">
        <v>67</v>
      </c>
      <c r="C64" s="259" t="s">
        <v>83</v>
      </c>
      <c r="D64" s="260"/>
      <c r="E64" s="230" t="s">
        <v>84</v>
      </c>
      <c r="F64" s="27"/>
      <c r="G64" s="133"/>
      <c r="H64" s="133"/>
      <c r="I64" s="133"/>
      <c r="J64" s="133"/>
      <c r="K64" s="228">
        <f t="shared" si="0"/>
        <v>0</v>
      </c>
      <c r="L64" s="228">
        <f t="shared" si="1"/>
        <v>0</v>
      </c>
      <c r="M64" s="228">
        <v>416.3</v>
      </c>
      <c r="N64" s="228">
        <f t="shared" ref="N64:N70" si="6">+M64*1000/(45*10*18*60)*T64</f>
        <v>1.7131687242798355</v>
      </c>
      <c r="O64" s="228"/>
      <c r="P64" s="228">
        <f t="shared" si="2"/>
        <v>0</v>
      </c>
      <c r="Q64" s="228"/>
      <c r="R64" s="19">
        <f t="shared" si="3"/>
        <v>0</v>
      </c>
      <c r="S64" s="228">
        <f t="shared" si="4"/>
        <v>0</v>
      </c>
      <c r="T64" s="20">
        <v>2</v>
      </c>
      <c r="U64" s="20"/>
      <c r="V64" s="235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226">
        <v>300331</v>
      </c>
      <c r="B65" s="223" t="s">
        <v>67</v>
      </c>
      <c r="C65" s="259" t="s">
        <v>83</v>
      </c>
      <c r="D65" s="260"/>
      <c r="E65" s="230" t="s">
        <v>49</v>
      </c>
      <c r="F65" s="27"/>
      <c r="G65" s="133"/>
      <c r="H65" s="133"/>
      <c r="I65" s="133"/>
      <c r="J65" s="133"/>
      <c r="K65" s="228">
        <f t="shared" si="0"/>
        <v>0</v>
      </c>
      <c r="L65" s="228">
        <f t="shared" si="1"/>
        <v>0</v>
      </c>
      <c r="M65" s="228">
        <v>416.3</v>
      </c>
      <c r="N65" s="228">
        <f t="shared" si="6"/>
        <v>1.7131687242798355</v>
      </c>
      <c r="O65" s="228"/>
      <c r="P65" s="228">
        <f t="shared" si="2"/>
        <v>0</v>
      </c>
      <c r="Q65" s="228"/>
      <c r="R65" s="19">
        <f t="shared" si="3"/>
        <v>0</v>
      </c>
      <c r="S65" s="228">
        <f t="shared" si="4"/>
        <v>0</v>
      </c>
      <c r="T65" s="20">
        <v>2</v>
      </c>
      <c r="U65" s="20"/>
      <c r="V65" s="235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226">
        <v>300332</v>
      </c>
      <c r="B66" s="223" t="s">
        <v>67</v>
      </c>
      <c r="C66" s="259" t="s">
        <v>83</v>
      </c>
      <c r="D66" s="260"/>
      <c r="E66" s="230" t="s">
        <v>85</v>
      </c>
      <c r="F66" s="27"/>
      <c r="G66" s="133"/>
      <c r="H66" s="133"/>
      <c r="I66" s="133"/>
      <c r="J66" s="133"/>
      <c r="K66" s="228">
        <f t="shared" si="0"/>
        <v>0</v>
      </c>
      <c r="L66" s="228">
        <f t="shared" si="1"/>
        <v>0</v>
      </c>
      <c r="M66" s="228">
        <v>416.3</v>
      </c>
      <c r="N66" s="228">
        <f t="shared" si="6"/>
        <v>1.7131687242798355</v>
      </c>
      <c r="O66" s="228"/>
      <c r="P66" s="228">
        <f t="shared" si="2"/>
        <v>0</v>
      </c>
      <c r="Q66" s="228"/>
      <c r="R66" s="19">
        <f t="shared" si="3"/>
        <v>0</v>
      </c>
      <c r="S66" s="228">
        <f t="shared" si="4"/>
        <v>0</v>
      </c>
      <c r="T66" s="20">
        <v>2</v>
      </c>
      <c r="U66" s="20"/>
      <c r="V66" s="235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226">
        <v>300333</v>
      </c>
      <c r="B67" s="223" t="s">
        <v>67</v>
      </c>
      <c r="C67" s="259" t="s">
        <v>86</v>
      </c>
      <c r="D67" s="260"/>
      <c r="E67" s="230" t="s">
        <v>84</v>
      </c>
      <c r="F67" s="27"/>
      <c r="G67" s="133"/>
      <c r="H67" s="133"/>
      <c r="I67" s="133"/>
      <c r="J67" s="133"/>
      <c r="K67" s="228">
        <f t="shared" si="0"/>
        <v>0</v>
      </c>
      <c r="L67" s="228">
        <f t="shared" si="1"/>
        <v>0</v>
      </c>
      <c r="M67" s="228">
        <v>416.3</v>
      </c>
      <c r="N67" s="228">
        <f t="shared" si="6"/>
        <v>1.7131687242798355</v>
      </c>
      <c r="O67" s="228"/>
      <c r="P67" s="228">
        <f t="shared" si="2"/>
        <v>0</v>
      </c>
      <c r="Q67" s="228"/>
      <c r="R67" s="19">
        <f t="shared" si="3"/>
        <v>0</v>
      </c>
      <c r="S67" s="228">
        <f t="shared" si="4"/>
        <v>0</v>
      </c>
      <c r="T67" s="20">
        <v>2</v>
      </c>
      <c r="U67" s="20"/>
      <c r="V67" s="235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226">
        <v>300334</v>
      </c>
      <c r="B68" s="223" t="s">
        <v>67</v>
      </c>
      <c r="C68" s="259" t="s">
        <v>86</v>
      </c>
      <c r="D68" s="260"/>
      <c r="E68" s="230" t="s">
        <v>85</v>
      </c>
      <c r="F68" s="27"/>
      <c r="G68" s="133"/>
      <c r="H68" s="133"/>
      <c r="I68" s="133"/>
      <c r="J68" s="133"/>
      <c r="K68" s="228">
        <f t="shared" si="0"/>
        <v>0</v>
      </c>
      <c r="L68" s="228">
        <f t="shared" si="1"/>
        <v>0</v>
      </c>
      <c r="M68" s="228">
        <v>416.3</v>
      </c>
      <c r="N68" s="228">
        <f t="shared" si="6"/>
        <v>1.7131687242798355</v>
      </c>
      <c r="O68" s="228"/>
      <c r="P68" s="228">
        <f t="shared" si="2"/>
        <v>0</v>
      </c>
      <c r="Q68" s="228"/>
      <c r="R68" s="19">
        <f t="shared" si="3"/>
        <v>0</v>
      </c>
      <c r="S68" s="228">
        <f t="shared" si="4"/>
        <v>0</v>
      </c>
      <c r="T68" s="20">
        <v>2</v>
      </c>
      <c r="U68" s="20"/>
      <c r="V68" s="235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226">
        <v>300335</v>
      </c>
      <c r="B69" s="223" t="s">
        <v>67</v>
      </c>
      <c r="C69" s="259" t="s">
        <v>86</v>
      </c>
      <c r="D69" s="260"/>
      <c r="E69" s="230" t="s">
        <v>49</v>
      </c>
      <c r="F69" s="27"/>
      <c r="G69" s="133"/>
      <c r="H69" s="133"/>
      <c r="I69" s="133"/>
      <c r="J69" s="133"/>
      <c r="K69" s="228">
        <f t="shared" si="0"/>
        <v>0</v>
      </c>
      <c r="L69" s="228">
        <f t="shared" si="1"/>
        <v>0</v>
      </c>
      <c r="M69" s="228">
        <v>416.3</v>
      </c>
      <c r="N69" s="228">
        <f t="shared" si="6"/>
        <v>1.7131687242798355</v>
      </c>
      <c r="O69" s="228"/>
      <c r="P69" s="228">
        <f t="shared" si="2"/>
        <v>0</v>
      </c>
      <c r="Q69" s="228"/>
      <c r="R69" s="19">
        <f t="shared" si="3"/>
        <v>0</v>
      </c>
      <c r="S69" s="228">
        <f t="shared" si="4"/>
        <v>0</v>
      </c>
      <c r="T69" s="20">
        <v>2</v>
      </c>
      <c r="U69" s="20"/>
      <c r="V69" s="235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226">
        <v>300291</v>
      </c>
      <c r="B70" s="223" t="s">
        <v>87</v>
      </c>
      <c r="C70" s="248" t="s">
        <v>88</v>
      </c>
      <c r="D70" s="248" t="s">
        <v>89</v>
      </c>
      <c r="E70" s="230" t="s">
        <v>42</v>
      </c>
      <c r="F70" s="27"/>
      <c r="G70" s="133"/>
      <c r="H70" s="133"/>
      <c r="I70" s="133"/>
      <c r="J70" s="133"/>
      <c r="K70" s="228">
        <f t="shared" si="0"/>
        <v>0</v>
      </c>
      <c r="L70" s="228">
        <f t="shared" si="1"/>
        <v>0</v>
      </c>
      <c r="M70" s="228">
        <v>517.79999999999995</v>
      </c>
      <c r="N70" s="228">
        <f t="shared" si="6"/>
        <v>4.261728395061728</v>
      </c>
      <c r="O70" s="228"/>
      <c r="P70" s="228">
        <f t="shared" si="2"/>
        <v>0</v>
      </c>
      <c r="Q70" s="228"/>
      <c r="R70" s="19">
        <f t="shared" si="3"/>
        <v>0</v>
      </c>
      <c r="S70" s="228">
        <f t="shared" si="4"/>
        <v>0</v>
      </c>
      <c r="T70" s="20">
        <v>4</v>
      </c>
      <c r="U70" s="20"/>
      <c r="V70" s="235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226">
        <v>300292</v>
      </c>
      <c r="B71" s="223" t="s">
        <v>87</v>
      </c>
      <c r="C71" s="248" t="s">
        <v>88</v>
      </c>
      <c r="D71" s="248" t="s">
        <v>89</v>
      </c>
      <c r="E71" s="230" t="s">
        <v>41</v>
      </c>
      <c r="F71" s="27"/>
      <c r="G71" s="133"/>
      <c r="H71" s="133"/>
      <c r="I71" s="133"/>
      <c r="J71" s="133"/>
      <c r="K71" s="228">
        <f t="shared" si="0"/>
        <v>0</v>
      </c>
      <c r="L71" s="228">
        <f t="shared" si="1"/>
        <v>0</v>
      </c>
      <c r="M71" s="228">
        <v>517.79999999999995</v>
      </c>
      <c r="N71" s="228">
        <f>+M71*1000/(66.8*1*110*60)*T71</f>
        <v>4.6978769733260748</v>
      </c>
      <c r="O71" s="228"/>
      <c r="P71" s="228">
        <f t="shared" si="2"/>
        <v>0</v>
      </c>
      <c r="Q71" s="228"/>
      <c r="R71" s="19">
        <f t="shared" si="3"/>
        <v>0</v>
      </c>
      <c r="S71" s="228">
        <f t="shared" si="4"/>
        <v>0</v>
      </c>
      <c r="T71" s="20">
        <v>4</v>
      </c>
      <c r="U71" s="20"/>
      <c r="V71" s="235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226">
        <v>300293</v>
      </c>
      <c r="B72" s="223" t="s">
        <v>87</v>
      </c>
      <c r="C72" s="248" t="s">
        <v>88</v>
      </c>
      <c r="D72" s="248" t="s">
        <v>89</v>
      </c>
      <c r="E72" s="230" t="s">
        <v>57</v>
      </c>
      <c r="F72" s="27"/>
      <c r="G72" s="133"/>
      <c r="H72" s="133"/>
      <c r="I72" s="133"/>
      <c r="J72" s="133"/>
      <c r="K72" s="228">
        <f t="shared" si="0"/>
        <v>0</v>
      </c>
      <c r="L72" s="228">
        <f t="shared" si="1"/>
        <v>0</v>
      </c>
      <c r="M72" s="228">
        <v>517.9</v>
      </c>
      <c r="N72" s="228">
        <f>+M72*1000/(67.1*1*110*60)*T72</f>
        <v>4.6777762724111467</v>
      </c>
      <c r="O72" s="228"/>
      <c r="P72" s="228">
        <f t="shared" si="2"/>
        <v>0</v>
      </c>
      <c r="Q72" s="228"/>
      <c r="R72" s="19">
        <f t="shared" si="3"/>
        <v>0</v>
      </c>
      <c r="S72" s="228">
        <f t="shared" si="4"/>
        <v>0</v>
      </c>
      <c r="T72" s="20">
        <v>4</v>
      </c>
      <c r="U72" s="20"/>
      <c r="V72" s="235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226">
        <v>300290</v>
      </c>
      <c r="B73" s="223" t="s">
        <v>87</v>
      </c>
      <c r="C73" s="248" t="s">
        <v>88</v>
      </c>
      <c r="D73" s="248" t="s">
        <v>89</v>
      </c>
      <c r="E73" s="230" t="s">
        <v>35</v>
      </c>
      <c r="F73" s="27"/>
      <c r="G73" s="133"/>
      <c r="H73" s="133"/>
      <c r="I73" s="133"/>
      <c r="J73" s="133"/>
      <c r="K73" s="228">
        <f t="shared" si="0"/>
        <v>0</v>
      </c>
      <c r="L73" s="228">
        <f t="shared" si="1"/>
        <v>0</v>
      </c>
      <c r="M73" s="228">
        <v>520</v>
      </c>
      <c r="N73" s="228">
        <f>+M73*1000/(67.5*1*110*60)*T73</f>
        <v>4.6689113355780023</v>
      </c>
      <c r="O73" s="228"/>
      <c r="P73" s="228">
        <f t="shared" si="2"/>
        <v>0</v>
      </c>
      <c r="Q73" s="228"/>
      <c r="R73" s="19">
        <f t="shared" si="3"/>
        <v>0</v>
      </c>
      <c r="S73" s="228">
        <f t="shared" si="4"/>
        <v>0</v>
      </c>
      <c r="T73" s="20">
        <v>4</v>
      </c>
      <c r="U73" s="20"/>
      <c r="V73" s="235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226">
        <v>300389</v>
      </c>
      <c r="B74" s="223" t="s">
        <v>87</v>
      </c>
      <c r="C74" s="248" t="s">
        <v>316</v>
      </c>
      <c r="D74" s="248" t="s">
        <v>89</v>
      </c>
      <c r="E74" s="230" t="s">
        <v>35</v>
      </c>
      <c r="F74" s="27"/>
      <c r="G74" s="133"/>
      <c r="H74" s="133"/>
      <c r="I74" s="133"/>
      <c r="J74" s="133"/>
      <c r="K74" s="228">
        <f t="shared" si="0"/>
        <v>0</v>
      </c>
      <c r="L74" s="228">
        <f t="shared" si="1"/>
        <v>0</v>
      </c>
      <c r="M74" s="228">
        <v>429.4</v>
      </c>
      <c r="N74" s="228">
        <f>+M74*1000/(47*1*110*60)*T74</f>
        <v>5.5370728562217923</v>
      </c>
      <c r="O74" s="228"/>
      <c r="P74" s="228">
        <f t="shared" si="2"/>
        <v>0</v>
      </c>
      <c r="Q74" s="228"/>
      <c r="R74" s="19">
        <f t="shared" si="3"/>
        <v>0</v>
      </c>
      <c r="S74" s="228">
        <f t="shared" si="4"/>
        <v>0</v>
      </c>
      <c r="T74" s="20">
        <v>4</v>
      </c>
      <c r="U74" s="20"/>
      <c r="V74" s="235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226">
        <v>300058</v>
      </c>
      <c r="B75" s="223" t="s">
        <v>87</v>
      </c>
      <c r="C75" s="248" t="s">
        <v>316</v>
      </c>
      <c r="D75" s="248" t="s">
        <v>89</v>
      </c>
      <c r="E75" s="230" t="s">
        <v>42</v>
      </c>
      <c r="F75" s="27"/>
      <c r="G75" s="133"/>
      <c r="H75" s="133"/>
      <c r="I75" s="133"/>
      <c r="J75" s="133"/>
      <c r="K75" s="228">
        <f t="shared" si="0"/>
        <v>0</v>
      </c>
      <c r="L75" s="228">
        <f t="shared" si="1"/>
        <v>0</v>
      </c>
      <c r="M75" s="228">
        <v>419.2</v>
      </c>
      <c r="N75" s="228">
        <f>+M75*1000/(51.5*1*110*60)*T75</f>
        <v>4.9332156516622536</v>
      </c>
      <c r="O75" s="228"/>
      <c r="P75" s="228">
        <f t="shared" si="2"/>
        <v>0</v>
      </c>
      <c r="Q75" s="228"/>
      <c r="R75" s="19">
        <f t="shared" si="3"/>
        <v>0</v>
      </c>
      <c r="S75" s="228">
        <f t="shared" si="4"/>
        <v>0</v>
      </c>
      <c r="T75" s="20">
        <v>4</v>
      </c>
      <c r="U75" s="20"/>
      <c r="V75" s="235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hidden="1" customHeight="1">
      <c r="A76" s="226">
        <v>300061</v>
      </c>
      <c r="B76" s="223" t="s">
        <v>92</v>
      </c>
      <c r="C76" s="248" t="s">
        <v>317</v>
      </c>
      <c r="D76" s="248" t="s">
        <v>96</v>
      </c>
      <c r="E76" s="230" t="s">
        <v>41</v>
      </c>
      <c r="F76" s="27"/>
      <c r="G76" s="133"/>
      <c r="H76" s="133"/>
      <c r="I76" s="133"/>
      <c r="J76" s="133"/>
      <c r="K76" s="228">
        <f t="shared" si="0"/>
        <v>0</v>
      </c>
      <c r="L76" s="228">
        <f t="shared" si="1"/>
        <v>0</v>
      </c>
      <c r="M76" s="228">
        <v>418.4</v>
      </c>
      <c r="N76" s="228">
        <f>+M76*1000/(51*1*110*60)*T76</f>
        <v>4.9720736779560308</v>
      </c>
      <c r="O76" s="228"/>
      <c r="P76" s="228">
        <f t="shared" si="2"/>
        <v>0</v>
      </c>
      <c r="Q76" s="228"/>
      <c r="R76" s="19">
        <f t="shared" si="3"/>
        <v>0</v>
      </c>
      <c r="S76" s="228">
        <f t="shared" si="4"/>
        <v>0</v>
      </c>
      <c r="T76" s="20">
        <v>4</v>
      </c>
      <c r="U76" s="20"/>
      <c r="V76" s="235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226">
        <v>300064</v>
      </c>
      <c r="B77" s="223">
        <v>5002</v>
      </c>
      <c r="C77" s="248" t="s">
        <v>317</v>
      </c>
      <c r="D77" s="248" t="s">
        <v>96</v>
      </c>
      <c r="E77" s="230" t="s">
        <v>35</v>
      </c>
      <c r="F77" s="27"/>
      <c r="G77" s="133"/>
      <c r="H77" s="133"/>
      <c r="I77" s="133"/>
      <c r="J77" s="133"/>
      <c r="K77" s="228">
        <f t="shared" ref="K77:K153" si="7">G77*M77</f>
        <v>0</v>
      </c>
      <c r="L77" s="228">
        <f t="shared" ref="L77:L153" si="8">I77*M77</f>
        <v>0</v>
      </c>
      <c r="M77" s="228">
        <v>419.2</v>
      </c>
      <c r="N77" s="228">
        <f>+M77*1000/(51.9*1*110*60)*T77</f>
        <v>4.8951947217843168</v>
      </c>
      <c r="O77" s="228"/>
      <c r="P77" s="228">
        <f t="shared" ref="P77:P153" si="9">N77*I77+O77*U77</f>
        <v>0</v>
      </c>
      <c r="Q77" s="228"/>
      <c r="R77" s="19">
        <f t="shared" ref="R77:R153" si="10">Q77*U77</f>
        <v>0</v>
      </c>
      <c r="S77" s="228">
        <f t="shared" ref="S77:S153" si="11">R77-P77</f>
        <v>0</v>
      </c>
      <c r="T77" s="20">
        <v>4</v>
      </c>
      <c r="U77" s="20"/>
      <c r="V77" s="235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customHeight="1">
      <c r="A78" s="226">
        <v>300060</v>
      </c>
      <c r="B78" s="223">
        <v>5001</v>
      </c>
      <c r="C78" s="248" t="s">
        <v>317</v>
      </c>
      <c r="D78" s="248" t="s">
        <v>96</v>
      </c>
      <c r="E78" s="230" t="s">
        <v>57</v>
      </c>
      <c r="F78" s="27"/>
      <c r="G78" s="133">
        <v>8.1300000000000008</v>
      </c>
      <c r="H78" s="133"/>
      <c r="I78" s="133">
        <f>9-J78/400</f>
        <v>8.125</v>
      </c>
      <c r="J78" s="133">
        <v>350</v>
      </c>
      <c r="K78" s="228">
        <f t="shared" si="7"/>
        <v>3389.3969999999999</v>
      </c>
      <c r="L78" s="228">
        <f t="shared" si="8"/>
        <v>3387.3125</v>
      </c>
      <c r="M78" s="228">
        <v>416.9</v>
      </c>
      <c r="N78" s="228">
        <f>+M78*1000/(51*1*110*60)*T78</f>
        <v>4.9542483660130721</v>
      </c>
      <c r="O78" s="228">
        <v>0.5</v>
      </c>
      <c r="P78" s="228">
        <f t="shared" si="9"/>
        <v>42.753267973856211</v>
      </c>
      <c r="Q78" s="228">
        <v>10</v>
      </c>
      <c r="R78" s="19">
        <f t="shared" si="10"/>
        <v>50</v>
      </c>
      <c r="S78" s="228">
        <f t="shared" si="11"/>
        <v>7.2467320261437891</v>
      </c>
      <c r="T78" s="20">
        <v>4</v>
      </c>
      <c r="U78" s="20">
        <v>5</v>
      </c>
      <c r="V78" s="235">
        <f t="array" ref="V78">IF(ISERROR(L78/K78),"",L78/K78)</f>
        <v>0.99938499384993851</v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226">
        <v>300068</v>
      </c>
      <c r="B79" s="223" t="s">
        <v>87</v>
      </c>
      <c r="C79" s="248" t="s">
        <v>98</v>
      </c>
      <c r="D79" s="248" t="s">
        <v>99</v>
      </c>
      <c r="E79" s="230" t="s">
        <v>37</v>
      </c>
      <c r="F79" s="27"/>
      <c r="G79" s="133"/>
      <c r="H79" s="133"/>
      <c r="I79" s="133"/>
      <c r="J79" s="133"/>
      <c r="K79" s="228">
        <f t="shared" si="7"/>
        <v>0</v>
      </c>
      <c r="L79" s="228">
        <f t="shared" si="8"/>
        <v>0</v>
      </c>
      <c r="M79" s="228">
        <v>438.4</v>
      </c>
      <c r="N79" s="228">
        <f>+M79*1000/(50*1*120*60)*T79</f>
        <v>4.8711111111111114</v>
      </c>
      <c r="O79" s="228"/>
      <c r="P79" s="228">
        <f t="shared" si="9"/>
        <v>0</v>
      </c>
      <c r="Q79" s="228"/>
      <c r="R79" s="19">
        <f t="shared" si="10"/>
        <v>0</v>
      </c>
      <c r="S79" s="228">
        <f t="shared" si="11"/>
        <v>0</v>
      </c>
      <c r="T79" s="20">
        <v>4</v>
      </c>
      <c r="U79" s="20"/>
      <c r="V79" s="235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226">
        <v>300065</v>
      </c>
      <c r="B80" s="223" t="s">
        <v>87</v>
      </c>
      <c r="C80" s="248" t="s">
        <v>98</v>
      </c>
      <c r="D80" s="248" t="s">
        <v>99</v>
      </c>
      <c r="E80" s="230" t="s">
        <v>35</v>
      </c>
      <c r="F80" s="27"/>
      <c r="G80" s="133"/>
      <c r="H80" s="133"/>
      <c r="I80" s="133"/>
      <c r="J80" s="133"/>
      <c r="K80" s="228">
        <f t="shared" si="7"/>
        <v>0</v>
      </c>
      <c r="L80" s="228">
        <f t="shared" si="8"/>
        <v>0</v>
      </c>
      <c r="M80" s="228">
        <v>438.8</v>
      </c>
      <c r="N80" s="228">
        <f>+M80*1000/(50*1*120*60)*T80</f>
        <v>4.8755555555555556</v>
      </c>
      <c r="O80" s="228"/>
      <c r="P80" s="228">
        <f t="shared" si="9"/>
        <v>0</v>
      </c>
      <c r="Q80" s="228"/>
      <c r="R80" s="19">
        <f t="shared" si="10"/>
        <v>0</v>
      </c>
      <c r="S80" s="228">
        <f t="shared" si="11"/>
        <v>0</v>
      </c>
      <c r="T80" s="20">
        <v>4</v>
      </c>
      <c r="U80" s="226"/>
      <c r="V80" s="235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226">
        <v>300066</v>
      </c>
      <c r="B81" s="223" t="s">
        <v>87</v>
      </c>
      <c r="C81" s="248" t="s">
        <v>98</v>
      </c>
      <c r="D81" s="248" t="s">
        <v>99</v>
      </c>
      <c r="E81" s="230" t="s">
        <v>66</v>
      </c>
      <c r="F81" s="27"/>
      <c r="G81" s="133"/>
      <c r="H81" s="133"/>
      <c r="I81" s="133"/>
      <c r="J81" s="133"/>
      <c r="K81" s="228">
        <f t="shared" si="7"/>
        <v>0</v>
      </c>
      <c r="L81" s="228">
        <f t="shared" si="8"/>
        <v>0</v>
      </c>
      <c r="M81" s="228">
        <v>438.4</v>
      </c>
      <c r="N81" s="228">
        <f>+M81*1000/(50*1*120*60)*T81</f>
        <v>4.8711111111111114</v>
      </c>
      <c r="O81" s="228"/>
      <c r="P81" s="228">
        <f t="shared" si="9"/>
        <v>0</v>
      </c>
      <c r="Q81" s="228"/>
      <c r="R81" s="19">
        <f t="shared" si="10"/>
        <v>0</v>
      </c>
      <c r="S81" s="228">
        <f t="shared" si="11"/>
        <v>0</v>
      </c>
      <c r="T81" s="20">
        <v>4</v>
      </c>
      <c r="U81" s="226"/>
      <c r="V81" s="235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226">
        <v>300067</v>
      </c>
      <c r="B82" s="223" t="s">
        <v>87</v>
      </c>
      <c r="C82" s="248" t="s">
        <v>98</v>
      </c>
      <c r="D82" s="248" t="s">
        <v>99</v>
      </c>
      <c r="E82" s="230" t="s">
        <v>41</v>
      </c>
      <c r="F82" s="27"/>
      <c r="G82" s="133"/>
      <c r="H82" s="133"/>
      <c r="I82" s="133"/>
      <c r="J82" s="133"/>
      <c r="K82" s="228">
        <f t="shared" si="7"/>
        <v>0</v>
      </c>
      <c r="L82" s="228">
        <f t="shared" si="8"/>
        <v>0</v>
      </c>
      <c r="M82" s="228">
        <v>438.8</v>
      </c>
      <c r="N82" s="228">
        <f>+M82*1000/(50*1*120*60)*T82</f>
        <v>4.8755555555555556</v>
      </c>
      <c r="O82" s="228"/>
      <c r="P82" s="228">
        <f t="shared" si="9"/>
        <v>0</v>
      </c>
      <c r="Q82" s="228"/>
      <c r="R82" s="19">
        <f t="shared" si="10"/>
        <v>0</v>
      </c>
      <c r="S82" s="228">
        <f t="shared" si="11"/>
        <v>0</v>
      </c>
      <c r="T82" s="20">
        <v>4</v>
      </c>
      <c r="U82" s="20"/>
      <c r="V82" s="235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226">
        <v>300437</v>
      </c>
      <c r="B83" s="223" t="s">
        <v>87</v>
      </c>
      <c r="C83" s="248" t="s">
        <v>98</v>
      </c>
      <c r="D83" s="248" t="s">
        <v>99</v>
      </c>
      <c r="E83" s="230" t="s">
        <v>310</v>
      </c>
      <c r="F83" s="27"/>
      <c r="G83" s="133"/>
      <c r="H83" s="133"/>
      <c r="I83" s="133"/>
      <c r="J83" s="133"/>
      <c r="K83" s="228">
        <f t="shared" si="7"/>
        <v>0</v>
      </c>
      <c r="L83" s="228">
        <f t="shared" si="8"/>
        <v>0</v>
      </c>
      <c r="M83" s="228">
        <v>438.8</v>
      </c>
      <c r="N83" s="228">
        <f>+M83*1000/(50*1*120*60)*T83</f>
        <v>4.8755555555555556</v>
      </c>
      <c r="O83" s="228"/>
      <c r="P83" s="228">
        <f t="shared" si="9"/>
        <v>0</v>
      </c>
      <c r="Q83" s="228"/>
      <c r="R83" s="19">
        <f t="shared" si="10"/>
        <v>0</v>
      </c>
      <c r="S83" s="228">
        <f t="shared" si="11"/>
        <v>0</v>
      </c>
      <c r="T83" s="20">
        <v>4</v>
      </c>
      <c r="U83" s="20"/>
      <c r="V83" s="235" t="str">
        <f t="array" ref="V83">IF(ISERROR(L83/K83),"",L83/K83)</f>
        <v/>
      </c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226">
        <v>300384</v>
      </c>
      <c r="B84" s="223" t="s">
        <v>87</v>
      </c>
      <c r="C84" s="248" t="s">
        <v>100</v>
      </c>
      <c r="D84" s="248" t="s">
        <v>101</v>
      </c>
      <c r="E84" s="230" t="s">
        <v>35</v>
      </c>
      <c r="F84" s="229"/>
      <c r="G84" s="133"/>
      <c r="H84" s="133"/>
      <c r="I84" s="133"/>
      <c r="J84" s="133"/>
      <c r="K84" s="228">
        <f t="shared" si="7"/>
        <v>0</v>
      </c>
      <c r="L84" s="228">
        <f t="shared" si="8"/>
        <v>0</v>
      </c>
      <c r="M84" s="228">
        <v>415.5</v>
      </c>
      <c r="N84" s="228">
        <f>+M84*1000/(51*1*110*60)*T84</f>
        <v>8.6408199643493759</v>
      </c>
      <c r="O84" s="228"/>
      <c r="P84" s="228">
        <f t="shared" si="9"/>
        <v>0</v>
      </c>
      <c r="Q84" s="228"/>
      <c r="R84" s="19">
        <f t="shared" si="10"/>
        <v>0</v>
      </c>
      <c r="S84" s="228">
        <f t="shared" si="11"/>
        <v>0</v>
      </c>
      <c r="T84" s="20">
        <v>7</v>
      </c>
      <c r="U84" s="20"/>
      <c r="V84" s="235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226">
        <v>300383</v>
      </c>
      <c r="B85" s="223" t="s">
        <v>87</v>
      </c>
      <c r="C85" s="248" t="s">
        <v>100</v>
      </c>
      <c r="D85" s="248" t="s">
        <v>102</v>
      </c>
      <c r="E85" s="230" t="s">
        <v>41</v>
      </c>
      <c r="F85" s="229"/>
      <c r="G85" s="133"/>
      <c r="H85" s="133"/>
      <c r="I85" s="133"/>
      <c r="J85" s="133"/>
      <c r="K85" s="228">
        <f t="shared" si="7"/>
        <v>0</v>
      </c>
      <c r="L85" s="228">
        <f t="shared" si="8"/>
        <v>0</v>
      </c>
      <c r="M85" s="228">
        <v>415.5</v>
      </c>
      <c r="N85" s="228">
        <f>+M85*1000/(51*1*110*60)*T85</f>
        <v>8.6408199643493759</v>
      </c>
      <c r="O85" s="228"/>
      <c r="P85" s="228">
        <f t="shared" si="9"/>
        <v>0</v>
      </c>
      <c r="Q85" s="228"/>
      <c r="R85" s="19">
        <f t="shared" si="10"/>
        <v>0</v>
      </c>
      <c r="S85" s="228">
        <f t="shared" si="11"/>
        <v>0</v>
      </c>
      <c r="T85" s="20">
        <v>7</v>
      </c>
      <c r="U85" s="20"/>
      <c r="V85" s="235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226">
        <v>300386</v>
      </c>
      <c r="B86" s="223" t="s">
        <v>87</v>
      </c>
      <c r="C86" s="248" t="s">
        <v>100</v>
      </c>
      <c r="D86" s="248" t="s">
        <v>103</v>
      </c>
      <c r="E86" s="230" t="s">
        <v>66</v>
      </c>
      <c r="F86" s="229"/>
      <c r="G86" s="133"/>
      <c r="H86" s="133"/>
      <c r="I86" s="133"/>
      <c r="J86" s="133"/>
      <c r="K86" s="228">
        <f t="shared" si="7"/>
        <v>0</v>
      </c>
      <c r="L86" s="228">
        <f t="shared" si="8"/>
        <v>0</v>
      </c>
      <c r="M86" s="228">
        <v>415.5</v>
      </c>
      <c r="N86" s="228">
        <f>+M86*1000/(51*1*110*60)*T86</f>
        <v>8.6408199643493759</v>
      </c>
      <c r="O86" s="228"/>
      <c r="P86" s="228">
        <f t="shared" si="9"/>
        <v>0</v>
      </c>
      <c r="Q86" s="228"/>
      <c r="R86" s="19">
        <f t="shared" si="10"/>
        <v>0</v>
      </c>
      <c r="S86" s="228">
        <f t="shared" si="11"/>
        <v>0</v>
      </c>
      <c r="T86" s="20">
        <v>7</v>
      </c>
      <c r="U86" s="20"/>
      <c r="V86" s="235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226">
        <v>300385</v>
      </c>
      <c r="B87" s="223" t="s">
        <v>87</v>
      </c>
      <c r="C87" s="248" t="s">
        <v>100</v>
      </c>
      <c r="D87" s="248" t="s">
        <v>104</v>
      </c>
      <c r="E87" s="230" t="s">
        <v>105</v>
      </c>
      <c r="F87" s="229"/>
      <c r="G87" s="133"/>
      <c r="H87" s="133"/>
      <c r="I87" s="133"/>
      <c r="J87" s="133"/>
      <c r="K87" s="228">
        <f t="shared" si="7"/>
        <v>0</v>
      </c>
      <c r="L87" s="228">
        <f t="shared" si="8"/>
        <v>0</v>
      </c>
      <c r="M87" s="228">
        <v>415.5</v>
      </c>
      <c r="N87" s="228">
        <f>+M87*1000/(51*1*110*60)*T87</f>
        <v>8.6408199643493759</v>
      </c>
      <c r="O87" s="228"/>
      <c r="P87" s="228">
        <f t="shared" si="9"/>
        <v>0</v>
      </c>
      <c r="Q87" s="228"/>
      <c r="R87" s="19">
        <f t="shared" si="10"/>
        <v>0</v>
      </c>
      <c r="S87" s="228">
        <f t="shared" si="11"/>
        <v>0</v>
      </c>
      <c r="T87" s="20">
        <v>7</v>
      </c>
      <c r="U87" s="20"/>
      <c r="V87" s="235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226">
        <v>300352</v>
      </c>
      <c r="B88" s="223" t="s">
        <v>87</v>
      </c>
      <c r="C88" s="248" t="s">
        <v>106</v>
      </c>
      <c r="D88" s="248" t="s">
        <v>101</v>
      </c>
      <c r="E88" s="230" t="s">
        <v>35</v>
      </c>
      <c r="F88" s="27"/>
      <c r="G88" s="133"/>
      <c r="H88" s="133"/>
      <c r="I88" s="133"/>
      <c r="J88" s="133"/>
      <c r="K88" s="228">
        <f t="shared" si="7"/>
        <v>0</v>
      </c>
      <c r="L88" s="228">
        <f t="shared" si="8"/>
        <v>0</v>
      </c>
      <c r="M88" s="228">
        <v>515.9</v>
      </c>
      <c r="N88" s="228">
        <f>+M88*1000/(80*1*110*60)*T88</f>
        <v>6.8395833333333336</v>
      </c>
      <c r="O88" s="228"/>
      <c r="P88" s="228">
        <f t="shared" si="9"/>
        <v>0</v>
      </c>
      <c r="Q88" s="228"/>
      <c r="R88" s="19">
        <f t="shared" si="10"/>
        <v>0</v>
      </c>
      <c r="S88" s="228">
        <f t="shared" si="11"/>
        <v>0</v>
      </c>
      <c r="T88" s="20">
        <v>7</v>
      </c>
      <c r="U88" s="20"/>
      <c r="V88" s="235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226">
        <v>300353</v>
      </c>
      <c r="B89" s="223" t="s">
        <v>87</v>
      </c>
      <c r="C89" s="248" t="s">
        <v>106</v>
      </c>
      <c r="D89" s="248" t="s">
        <v>101</v>
      </c>
      <c r="E89" s="230" t="s">
        <v>105</v>
      </c>
      <c r="F89" s="27"/>
      <c r="G89" s="133"/>
      <c r="H89" s="133"/>
      <c r="I89" s="133"/>
      <c r="J89" s="133"/>
      <c r="K89" s="228">
        <f t="shared" si="7"/>
        <v>0</v>
      </c>
      <c r="L89" s="228">
        <f t="shared" si="8"/>
        <v>0</v>
      </c>
      <c r="M89" s="228">
        <v>515.9</v>
      </c>
      <c r="N89" s="228">
        <f>+M89*1000/(80*1*110*60)*T89</f>
        <v>6.8395833333333336</v>
      </c>
      <c r="O89" s="228"/>
      <c r="P89" s="228">
        <f t="shared" si="9"/>
        <v>0</v>
      </c>
      <c r="Q89" s="228"/>
      <c r="R89" s="19">
        <f t="shared" si="10"/>
        <v>0</v>
      </c>
      <c r="S89" s="228">
        <f t="shared" si="11"/>
        <v>0</v>
      </c>
      <c r="T89" s="20">
        <v>7</v>
      </c>
      <c r="U89" s="20"/>
      <c r="V89" s="235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226">
        <v>300351</v>
      </c>
      <c r="B90" s="223" t="s">
        <v>87</v>
      </c>
      <c r="C90" s="248" t="s">
        <v>106</v>
      </c>
      <c r="D90" s="248" t="s">
        <v>101</v>
      </c>
      <c r="E90" s="230" t="s">
        <v>41</v>
      </c>
      <c r="F90" s="27"/>
      <c r="G90" s="133"/>
      <c r="H90" s="133"/>
      <c r="I90" s="133"/>
      <c r="J90" s="133"/>
      <c r="K90" s="228">
        <f t="shared" si="7"/>
        <v>0</v>
      </c>
      <c r="L90" s="228">
        <f t="shared" si="8"/>
        <v>0</v>
      </c>
      <c r="M90" s="228">
        <v>515.9</v>
      </c>
      <c r="N90" s="228">
        <f>+M90*1000/(80*1*110*60)*T90</f>
        <v>6.8395833333333336</v>
      </c>
      <c r="O90" s="228"/>
      <c r="P90" s="228">
        <f t="shared" si="9"/>
        <v>0</v>
      </c>
      <c r="Q90" s="228"/>
      <c r="R90" s="19">
        <f t="shared" si="10"/>
        <v>0</v>
      </c>
      <c r="S90" s="228">
        <f t="shared" si="11"/>
        <v>0</v>
      </c>
      <c r="T90" s="20">
        <v>7</v>
      </c>
      <c r="U90" s="20"/>
      <c r="V90" s="235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226">
        <v>300354</v>
      </c>
      <c r="B91" s="223" t="s">
        <v>87</v>
      </c>
      <c r="C91" s="248" t="s">
        <v>106</v>
      </c>
      <c r="D91" s="248" t="s">
        <v>101</v>
      </c>
      <c r="E91" s="230" t="s">
        <v>66</v>
      </c>
      <c r="F91" s="27"/>
      <c r="G91" s="133"/>
      <c r="H91" s="133"/>
      <c r="I91" s="133"/>
      <c r="J91" s="133"/>
      <c r="K91" s="228">
        <f t="shared" si="7"/>
        <v>0</v>
      </c>
      <c r="L91" s="228">
        <f t="shared" si="8"/>
        <v>0</v>
      </c>
      <c r="M91" s="228">
        <v>515.9</v>
      </c>
      <c r="N91" s="228">
        <f>+M91*1000/(80*1*110*60)*T91</f>
        <v>6.8395833333333336</v>
      </c>
      <c r="O91" s="228"/>
      <c r="P91" s="228">
        <f t="shared" si="9"/>
        <v>0</v>
      </c>
      <c r="Q91" s="228"/>
      <c r="R91" s="19">
        <f t="shared" si="10"/>
        <v>0</v>
      </c>
      <c r="S91" s="228">
        <f t="shared" si="11"/>
        <v>0</v>
      </c>
      <c r="T91" s="20">
        <v>7</v>
      </c>
      <c r="U91" s="20"/>
      <c r="V91" s="235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226">
        <v>300250</v>
      </c>
      <c r="B92" s="223" t="s">
        <v>87</v>
      </c>
      <c r="C92" s="248" t="s">
        <v>107</v>
      </c>
      <c r="D92" s="248" t="s">
        <v>101</v>
      </c>
      <c r="E92" s="230" t="s">
        <v>35</v>
      </c>
      <c r="F92" s="27"/>
      <c r="G92" s="133"/>
      <c r="H92" s="133"/>
      <c r="I92" s="133"/>
      <c r="J92" s="133"/>
      <c r="K92" s="228">
        <f t="shared" si="7"/>
        <v>0</v>
      </c>
      <c r="L92" s="228">
        <f t="shared" si="8"/>
        <v>0</v>
      </c>
      <c r="M92" s="228">
        <v>412.5</v>
      </c>
      <c r="N92" s="228">
        <f>+M92*1000/(84*1*110*60)*T92</f>
        <v>5.2083333333333339</v>
      </c>
      <c r="O92" s="228"/>
      <c r="P92" s="228">
        <f t="shared" si="9"/>
        <v>0</v>
      </c>
      <c r="Q92" s="228"/>
      <c r="R92" s="19">
        <f t="shared" si="10"/>
        <v>0</v>
      </c>
      <c r="S92" s="228">
        <f t="shared" si="11"/>
        <v>0</v>
      </c>
      <c r="T92" s="20">
        <v>7</v>
      </c>
      <c r="U92" s="20"/>
      <c r="V92" s="235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226">
        <v>300251</v>
      </c>
      <c r="B93" s="223" t="s">
        <v>87</v>
      </c>
      <c r="C93" s="248" t="s">
        <v>107</v>
      </c>
      <c r="D93" s="248" t="s">
        <v>101</v>
      </c>
      <c r="E93" s="230" t="s">
        <v>105</v>
      </c>
      <c r="F93" s="27"/>
      <c r="G93" s="133"/>
      <c r="H93" s="133"/>
      <c r="I93" s="133"/>
      <c r="J93" s="133"/>
      <c r="K93" s="228">
        <f t="shared" si="7"/>
        <v>0</v>
      </c>
      <c r="L93" s="228">
        <f t="shared" si="8"/>
        <v>0</v>
      </c>
      <c r="M93" s="228">
        <v>412.5</v>
      </c>
      <c r="N93" s="228">
        <f>+M93*1000/(84*1*110*60)*T93</f>
        <v>5.2083333333333339</v>
      </c>
      <c r="O93" s="228"/>
      <c r="P93" s="228">
        <f t="shared" si="9"/>
        <v>0</v>
      </c>
      <c r="Q93" s="228"/>
      <c r="R93" s="19">
        <f t="shared" si="10"/>
        <v>0</v>
      </c>
      <c r="S93" s="228">
        <f t="shared" si="11"/>
        <v>0</v>
      </c>
      <c r="T93" s="20">
        <v>7</v>
      </c>
      <c r="U93" s="20"/>
      <c r="V93" s="235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226">
        <v>300254</v>
      </c>
      <c r="B94" s="223" t="s">
        <v>87</v>
      </c>
      <c r="C94" s="248" t="s">
        <v>107</v>
      </c>
      <c r="D94" s="248" t="s">
        <v>101</v>
      </c>
      <c r="E94" s="230" t="s">
        <v>41</v>
      </c>
      <c r="F94" s="27"/>
      <c r="G94" s="133"/>
      <c r="H94" s="133"/>
      <c r="I94" s="133"/>
      <c r="J94" s="133"/>
      <c r="K94" s="228">
        <f t="shared" si="7"/>
        <v>0</v>
      </c>
      <c r="L94" s="228">
        <f t="shared" si="8"/>
        <v>0</v>
      </c>
      <c r="M94" s="228">
        <v>412.5</v>
      </c>
      <c r="N94" s="228">
        <f>+M94*1000/(84*1*110*60)*T94</f>
        <v>5.2083333333333339</v>
      </c>
      <c r="O94" s="228"/>
      <c r="P94" s="228">
        <f t="shared" si="9"/>
        <v>0</v>
      </c>
      <c r="Q94" s="228"/>
      <c r="R94" s="19">
        <f t="shared" si="10"/>
        <v>0</v>
      </c>
      <c r="S94" s="228">
        <f t="shared" si="11"/>
        <v>0</v>
      </c>
      <c r="T94" s="20">
        <v>7</v>
      </c>
      <c r="U94" s="20"/>
      <c r="V94" s="235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226">
        <v>300253</v>
      </c>
      <c r="B95" s="223" t="s">
        <v>87</v>
      </c>
      <c r="C95" s="248" t="s">
        <v>107</v>
      </c>
      <c r="D95" s="248" t="s">
        <v>101</v>
      </c>
      <c r="E95" s="230" t="s">
        <v>66</v>
      </c>
      <c r="F95" s="27"/>
      <c r="G95" s="133"/>
      <c r="H95" s="133"/>
      <c r="I95" s="133"/>
      <c r="J95" s="133"/>
      <c r="K95" s="228">
        <f t="shared" si="7"/>
        <v>0</v>
      </c>
      <c r="L95" s="228">
        <f t="shared" si="8"/>
        <v>0</v>
      </c>
      <c r="M95" s="228">
        <v>412.5</v>
      </c>
      <c r="N95" s="228">
        <f>+M95*1000/(84*1*110*60)*T95</f>
        <v>5.2083333333333339</v>
      </c>
      <c r="O95" s="228"/>
      <c r="P95" s="228">
        <f t="shared" si="9"/>
        <v>0</v>
      </c>
      <c r="Q95" s="228"/>
      <c r="R95" s="19">
        <f t="shared" si="10"/>
        <v>0</v>
      </c>
      <c r="S95" s="228">
        <f t="shared" si="11"/>
        <v>0</v>
      </c>
      <c r="T95" s="20">
        <v>7</v>
      </c>
      <c r="U95" s="20"/>
      <c r="V95" s="235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226">
        <v>300255</v>
      </c>
      <c r="B96" s="223" t="s">
        <v>87</v>
      </c>
      <c r="C96" s="248" t="s">
        <v>107</v>
      </c>
      <c r="D96" s="248" t="s">
        <v>101</v>
      </c>
      <c r="E96" s="230" t="s">
        <v>108</v>
      </c>
      <c r="F96" s="27"/>
      <c r="G96" s="133"/>
      <c r="H96" s="133"/>
      <c r="I96" s="133"/>
      <c r="J96" s="133"/>
      <c r="K96" s="228">
        <f t="shared" si="7"/>
        <v>0</v>
      </c>
      <c r="L96" s="228">
        <f t="shared" si="8"/>
        <v>0</v>
      </c>
      <c r="M96" s="228">
        <v>412.5</v>
      </c>
      <c r="N96" s="228">
        <f>+M96*1000/(84*1*110*60)*T96</f>
        <v>5.2083333333333339</v>
      </c>
      <c r="O96" s="228"/>
      <c r="P96" s="228">
        <f t="shared" si="9"/>
        <v>0</v>
      </c>
      <c r="Q96" s="228"/>
      <c r="R96" s="19">
        <f t="shared" si="10"/>
        <v>0</v>
      </c>
      <c r="S96" s="228">
        <f t="shared" si="11"/>
        <v>0</v>
      </c>
      <c r="T96" s="20">
        <v>7</v>
      </c>
      <c r="U96" s="20"/>
      <c r="V96" s="235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226">
        <v>300392</v>
      </c>
      <c r="B97" s="223" t="s">
        <v>87</v>
      </c>
      <c r="C97" s="259" t="s">
        <v>109</v>
      </c>
      <c r="D97" s="260"/>
      <c r="E97" s="230" t="s">
        <v>105</v>
      </c>
      <c r="F97" s="187"/>
      <c r="G97" s="133"/>
      <c r="H97" s="133"/>
      <c r="I97" s="133"/>
      <c r="J97" s="133"/>
      <c r="K97" s="228">
        <f t="shared" si="7"/>
        <v>0</v>
      </c>
      <c r="L97" s="228">
        <f t="shared" si="8"/>
        <v>0</v>
      </c>
      <c r="M97" s="228">
        <v>523</v>
      </c>
      <c r="N97" s="228">
        <f>+M97*1000/(98*1*80*60)*T97</f>
        <v>7.7827380952380958</v>
      </c>
      <c r="O97" s="228"/>
      <c r="P97" s="228">
        <f t="shared" si="9"/>
        <v>0</v>
      </c>
      <c r="Q97" s="228"/>
      <c r="R97" s="19">
        <f t="shared" si="10"/>
        <v>0</v>
      </c>
      <c r="S97" s="228">
        <f t="shared" si="11"/>
        <v>0</v>
      </c>
      <c r="T97" s="20">
        <v>7</v>
      </c>
      <c r="U97" s="20"/>
      <c r="V97" s="235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customHeight="1">
      <c r="A98" s="226">
        <v>300088</v>
      </c>
      <c r="B98" s="223">
        <v>5001</v>
      </c>
      <c r="C98" s="248" t="s">
        <v>318</v>
      </c>
      <c r="D98" s="248" t="s">
        <v>96</v>
      </c>
      <c r="E98" s="230" t="s">
        <v>39</v>
      </c>
      <c r="F98" s="27"/>
      <c r="G98" s="133">
        <v>1</v>
      </c>
      <c r="H98" s="133"/>
      <c r="I98" s="133">
        <v>1</v>
      </c>
      <c r="J98" s="133"/>
      <c r="K98" s="228">
        <f t="shared" si="7"/>
        <v>617.79999999999995</v>
      </c>
      <c r="L98" s="228">
        <f t="shared" si="8"/>
        <v>617.79999999999995</v>
      </c>
      <c r="M98" s="228">
        <v>617.79999999999995</v>
      </c>
      <c r="N98" s="228">
        <f>+M98*1000/(123*1*80*60)*T98</f>
        <v>3.1392276422764223</v>
      </c>
      <c r="O98" s="228"/>
      <c r="P98" s="228">
        <f t="shared" si="9"/>
        <v>3.1392276422764223</v>
      </c>
      <c r="Q98" s="228">
        <v>1</v>
      </c>
      <c r="R98" s="19">
        <f t="shared" si="10"/>
        <v>5</v>
      </c>
      <c r="S98" s="228">
        <f t="shared" si="11"/>
        <v>1.8607723577235777</v>
      </c>
      <c r="T98" s="20">
        <v>3</v>
      </c>
      <c r="U98" s="20">
        <v>5</v>
      </c>
      <c r="V98" s="235">
        <f t="array" ref="V98">IF(ISERROR(L98/K98),"",L98/K98)</f>
        <v>1</v>
      </c>
      <c r="W98" s="20"/>
      <c r="X98" s="191">
        <f>50/60*5</f>
        <v>4.166666666666667</v>
      </c>
      <c r="Y98" s="191"/>
      <c r="Z98" s="191"/>
      <c r="AA98" s="191"/>
      <c r="AB98" s="20"/>
      <c r="AC98" s="20"/>
    </row>
    <row r="99" spans="1:29" s="2" customFormat="1" ht="21.95" hidden="1" customHeight="1">
      <c r="A99" s="226">
        <v>300089</v>
      </c>
      <c r="B99" s="223" t="s">
        <v>87</v>
      </c>
      <c r="C99" s="248" t="s">
        <v>318</v>
      </c>
      <c r="D99" s="248" t="s">
        <v>96</v>
      </c>
      <c r="E99" s="230" t="s">
        <v>42</v>
      </c>
      <c r="F99" s="27"/>
      <c r="G99" s="133"/>
      <c r="H99" s="133"/>
      <c r="I99" s="133"/>
      <c r="J99" s="133"/>
      <c r="K99" s="228">
        <f t="shared" si="7"/>
        <v>0</v>
      </c>
      <c r="L99" s="228">
        <f t="shared" si="8"/>
        <v>0</v>
      </c>
      <c r="M99" s="228">
        <v>618.6</v>
      </c>
      <c r="N99" s="228">
        <f>+M99*1000/(124*1*80*60)*T99</f>
        <v>3.117943548387097</v>
      </c>
      <c r="O99" s="228"/>
      <c r="P99" s="228">
        <f t="shared" si="9"/>
        <v>0</v>
      </c>
      <c r="Q99" s="228"/>
      <c r="R99" s="19">
        <f t="shared" si="10"/>
        <v>0</v>
      </c>
      <c r="S99" s="228">
        <f t="shared" si="11"/>
        <v>0</v>
      </c>
      <c r="T99" s="20">
        <v>3</v>
      </c>
      <c r="U99" s="20"/>
      <c r="V99" s="235" t="str">
        <f t="array" ref="V99">IF(ISERROR(L99/K99),"",L99/K99)</f>
        <v/>
      </c>
      <c r="W99" s="20"/>
      <c r="X99" s="191"/>
      <c r="Y99" s="191"/>
      <c r="Z99" s="191"/>
      <c r="AA99" s="191"/>
      <c r="AB99" s="20"/>
      <c r="AC99" s="20"/>
    </row>
    <row r="100" spans="1:29" s="2" customFormat="1" ht="22.5" hidden="1" customHeight="1">
      <c r="A100" s="226">
        <v>300128</v>
      </c>
      <c r="B100" s="223" t="s">
        <v>87</v>
      </c>
      <c r="C100" s="248" t="s">
        <v>112</v>
      </c>
      <c r="D100" s="248" t="s">
        <v>113</v>
      </c>
      <c r="E100" s="230" t="s">
        <v>35</v>
      </c>
      <c r="F100" s="27"/>
      <c r="G100" s="133"/>
      <c r="H100" s="133"/>
      <c r="I100" s="133"/>
      <c r="J100" s="133"/>
      <c r="K100" s="228">
        <f t="shared" si="7"/>
        <v>0</v>
      </c>
      <c r="L100" s="228">
        <f t="shared" si="8"/>
        <v>0</v>
      </c>
      <c r="M100" s="228">
        <v>621.29999999999995</v>
      </c>
      <c r="N100" s="228">
        <f t="shared" ref="N100:N105" si="12">+M100*1000/(130.5*1*80*60)*T100</f>
        <v>3.9674329501915708</v>
      </c>
      <c r="O100" s="228"/>
      <c r="P100" s="228">
        <f t="shared" si="9"/>
        <v>0</v>
      </c>
      <c r="Q100" s="228"/>
      <c r="R100" s="19">
        <f t="shared" si="10"/>
        <v>0</v>
      </c>
      <c r="S100" s="228">
        <f t="shared" si="11"/>
        <v>0</v>
      </c>
      <c r="T100" s="20">
        <v>4</v>
      </c>
      <c r="U100" s="20"/>
      <c r="V100" s="235" t="str">
        <f t="array" ref="V100">IF(ISERROR(L100/K100),"",L100/K100)</f>
        <v/>
      </c>
      <c r="W100" s="20"/>
      <c r="X100" s="191"/>
      <c r="Y100" s="191"/>
      <c r="Z100" s="191"/>
      <c r="AA100" s="191"/>
      <c r="AB100" s="20"/>
      <c r="AC100" s="20"/>
    </row>
    <row r="101" spans="1:29" s="2" customFormat="1" ht="21.95" hidden="1" customHeight="1">
      <c r="A101" s="226">
        <v>300129</v>
      </c>
      <c r="B101" s="223" t="s">
        <v>87</v>
      </c>
      <c r="C101" s="248" t="s">
        <v>112</v>
      </c>
      <c r="D101" s="248" t="s">
        <v>113</v>
      </c>
      <c r="E101" s="230" t="s">
        <v>41</v>
      </c>
      <c r="F101" s="27"/>
      <c r="G101" s="133"/>
      <c r="H101" s="133"/>
      <c r="I101" s="133"/>
      <c r="J101" s="133"/>
      <c r="K101" s="228">
        <f t="shared" si="7"/>
        <v>0</v>
      </c>
      <c r="L101" s="228">
        <f t="shared" si="8"/>
        <v>0</v>
      </c>
      <c r="M101" s="228">
        <v>621.29999999999995</v>
      </c>
      <c r="N101" s="228">
        <f t="shared" si="12"/>
        <v>3.9674329501915708</v>
      </c>
      <c r="O101" s="228"/>
      <c r="P101" s="228">
        <f t="shared" si="9"/>
        <v>0</v>
      </c>
      <c r="Q101" s="228"/>
      <c r="R101" s="19">
        <f t="shared" si="10"/>
        <v>0</v>
      </c>
      <c r="S101" s="228">
        <f t="shared" si="11"/>
        <v>0</v>
      </c>
      <c r="T101" s="20">
        <v>4</v>
      </c>
      <c r="U101" s="20"/>
      <c r="V101" s="235" t="str">
        <f t="array" ref="V101">IF(ISERROR(L101/K101),"",L101/K101)</f>
        <v/>
      </c>
      <c r="W101" s="20"/>
      <c r="X101" s="191"/>
      <c r="Y101" s="191"/>
      <c r="Z101" s="191"/>
      <c r="AA101" s="191"/>
      <c r="AB101" s="20"/>
      <c r="AC101" s="20"/>
    </row>
    <row r="102" spans="1:29" s="2" customFormat="1" ht="21.95" hidden="1" customHeight="1">
      <c r="A102" s="226">
        <v>300130</v>
      </c>
      <c r="B102" s="223" t="s">
        <v>87</v>
      </c>
      <c r="C102" s="248" t="s">
        <v>112</v>
      </c>
      <c r="D102" s="248" t="s">
        <v>113</v>
      </c>
      <c r="E102" s="230" t="s">
        <v>37</v>
      </c>
      <c r="F102" s="27"/>
      <c r="G102" s="133"/>
      <c r="H102" s="133"/>
      <c r="I102" s="133"/>
      <c r="J102" s="133"/>
      <c r="K102" s="228">
        <f t="shared" si="7"/>
        <v>0</v>
      </c>
      <c r="L102" s="228">
        <f t="shared" si="8"/>
        <v>0</v>
      </c>
      <c r="M102" s="228">
        <v>621.29999999999995</v>
      </c>
      <c r="N102" s="228">
        <f t="shared" si="12"/>
        <v>3.9674329501915708</v>
      </c>
      <c r="O102" s="228"/>
      <c r="P102" s="228">
        <f t="shared" si="9"/>
        <v>0</v>
      </c>
      <c r="Q102" s="228"/>
      <c r="R102" s="19">
        <f t="shared" si="10"/>
        <v>0</v>
      </c>
      <c r="S102" s="228">
        <f t="shared" si="11"/>
        <v>0</v>
      </c>
      <c r="T102" s="20">
        <v>4</v>
      </c>
      <c r="U102" s="20"/>
      <c r="V102" s="235" t="str">
        <f t="array" ref="V102">IF(ISERROR(L102/K102),"",L102/K102)</f>
        <v/>
      </c>
      <c r="W102" s="20"/>
      <c r="X102" s="191"/>
      <c r="Y102" s="191"/>
      <c r="Z102" s="191"/>
      <c r="AA102" s="191"/>
      <c r="AB102" s="20"/>
      <c r="AC102" s="20"/>
    </row>
    <row r="103" spans="1:29" s="2" customFormat="1" ht="21.95" hidden="1" customHeight="1">
      <c r="A103" s="226">
        <v>300423</v>
      </c>
      <c r="B103" s="223" t="s">
        <v>300</v>
      </c>
      <c r="C103" s="259" t="s">
        <v>296</v>
      </c>
      <c r="D103" s="260"/>
      <c r="E103" s="230" t="s">
        <v>297</v>
      </c>
      <c r="F103" s="27"/>
      <c r="G103" s="133"/>
      <c r="H103" s="133"/>
      <c r="I103" s="133"/>
      <c r="J103" s="133"/>
      <c r="K103" s="228">
        <f t="shared" si="7"/>
        <v>0</v>
      </c>
      <c r="L103" s="228">
        <f t="shared" si="8"/>
        <v>0</v>
      </c>
      <c r="M103" s="228">
        <v>524.1</v>
      </c>
      <c r="N103" s="228">
        <f t="shared" si="12"/>
        <v>3.3467432950191571</v>
      </c>
      <c r="O103" s="228"/>
      <c r="P103" s="228">
        <f t="shared" si="9"/>
        <v>0</v>
      </c>
      <c r="Q103" s="228"/>
      <c r="R103" s="19">
        <f t="shared" si="10"/>
        <v>0</v>
      </c>
      <c r="S103" s="228">
        <f t="shared" si="11"/>
        <v>0</v>
      </c>
      <c r="T103" s="20">
        <v>4</v>
      </c>
      <c r="U103" s="20"/>
      <c r="V103" s="235" t="str">
        <f t="array" ref="V103">IF(ISERROR(L103/K103),"",L103/K103)</f>
        <v/>
      </c>
      <c r="W103" s="20"/>
      <c r="X103" s="191"/>
      <c r="Y103" s="191"/>
      <c r="Z103" s="191"/>
      <c r="AA103" s="191"/>
      <c r="AB103" s="20"/>
      <c r="AC103" s="20"/>
    </row>
    <row r="104" spans="1:29" s="2" customFormat="1" ht="21.95" hidden="1" customHeight="1">
      <c r="A104" s="226">
        <v>300424</v>
      </c>
      <c r="B104" s="223" t="s">
        <v>300</v>
      </c>
      <c r="C104" s="259" t="s">
        <v>296</v>
      </c>
      <c r="D104" s="260"/>
      <c r="E104" s="230" t="s">
        <v>298</v>
      </c>
      <c r="F104" s="27"/>
      <c r="G104" s="133"/>
      <c r="H104" s="133"/>
      <c r="I104" s="133"/>
      <c r="J104" s="133"/>
      <c r="K104" s="228">
        <f t="shared" si="7"/>
        <v>0</v>
      </c>
      <c r="L104" s="228">
        <f t="shared" si="8"/>
        <v>0</v>
      </c>
      <c r="M104" s="228">
        <v>524.1</v>
      </c>
      <c r="N104" s="228">
        <f t="shared" si="12"/>
        <v>3.3467432950191571</v>
      </c>
      <c r="O104" s="228"/>
      <c r="P104" s="228">
        <f t="shared" si="9"/>
        <v>0</v>
      </c>
      <c r="Q104" s="228"/>
      <c r="R104" s="19">
        <f t="shared" si="10"/>
        <v>0</v>
      </c>
      <c r="S104" s="228">
        <f t="shared" si="11"/>
        <v>0</v>
      </c>
      <c r="T104" s="20">
        <v>4</v>
      </c>
      <c r="U104" s="20"/>
      <c r="V104" s="235" t="str">
        <f t="array" ref="V104">IF(ISERROR(L104/K104),"",L104/K104)</f>
        <v/>
      </c>
      <c r="W104" s="20"/>
      <c r="X104" s="191"/>
      <c r="Y104" s="191"/>
      <c r="Z104" s="191"/>
      <c r="AA104" s="191"/>
      <c r="AB104" s="20"/>
      <c r="AC104" s="20"/>
    </row>
    <row r="105" spans="1:29" s="2" customFormat="1" ht="21.95" hidden="1" customHeight="1">
      <c r="A105" s="226">
        <v>300425</v>
      </c>
      <c r="B105" s="223" t="s">
        <v>300</v>
      </c>
      <c r="C105" s="259" t="s">
        <v>296</v>
      </c>
      <c r="D105" s="260"/>
      <c r="E105" s="230" t="s">
        <v>299</v>
      </c>
      <c r="F105" s="27"/>
      <c r="G105" s="133"/>
      <c r="H105" s="133"/>
      <c r="I105" s="133"/>
      <c r="J105" s="133"/>
      <c r="K105" s="228">
        <f t="shared" si="7"/>
        <v>0</v>
      </c>
      <c r="L105" s="228">
        <f t="shared" si="8"/>
        <v>0</v>
      </c>
      <c r="M105" s="228">
        <v>524.1</v>
      </c>
      <c r="N105" s="228">
        <f t="shared" si="12"/>
        <v>3.3467432950191571</v>
      </c>
      <c r="O105" s="228"/>
      <c r="P105" s="228">
        <f t="shared" si="9"/>
        <v>0</v>
      </c>
      <c r="Q105" s="228"/>
      <c r="R105" s="19">
        <f t="shared" si="10"/>
        <v>0</v>
      </c>
      <c r="S105" s="228">
        <f t="shared" si="11"/>
        <v>0</v>
      </c>
      <c r="T105" s="20">
        <v>4</v>
      </c>
      <c r="U105" s="20"/>
      <c r="V105" s="235" t="str">
        <f t="array" ref="V105">IF(ISERROR(L105/K105),"",L105/K105)</f>
        <v/>
      </c>
      <c r="W105" s="20"/>
      <c r="X105" s="191"/>
      <c r="Y105" s="191"/>
      <c r="Z105" s="191"/>
      <c r="AA105" s="191"/>
      <c r="AB105" s="20"/>
      <c r="AC105" s="20"/>
    </row>
    <row r="106" spans="1:29" s="2" customFormat="1" ht="21.95" hidden="1" customHeight="1">
      <c r="A106" s="226">
        <v>300390</v>
      </c>
      <c r="B106" s="223" t="s">
        <v>300</v>
      </c>
      <c r="C106" s="259" t="s">
        <v>114</v>
      </c>
      <c r="D106" s="260"/>
      <c r="E106" s="230" t="s">
        <v>115</v>
      </c>
      <c r="F106" s="27"/>
      <c r="G106" s="133"/>
      <c r="H106" s="133"/>
      <c r="I106" s="133"/>
      <c r="J106" s="133"/>
      <c r="K106" s="228">
        <f t="shared" si="7"/>
        <v>0</v>
      </c>
      <c r="L106" s="228">
        <f t="shared" si="8"/>
        <v>0</v>
      </c>
      <c r="M106" s="228">
        <v>417.4</v>
      </c>
      <c r="N106" s="228">
        <f>+M106*1000/(87*1*80*60)*T106</f>
        <v>3.9980842911877397</v>
      </c>
      <c r="O106" s="228"/>
      <c r="P106" s="228">
        <f t="shared" si="9"/>
        <v>0</v>
      </c>
      <c r="Q106" s="228"/>
      <c r="R106" s="19">
        <f t="shared" si="10"/>
        <v>0</v>
      </c>
      <c r="S106" s="228">
        <f t="shared" si="11"/>
        <v>0</v>
      </c>
      <c r="T106" s="20">
        <v>4</v>
      </c>
      <c r="U106" s="20"/>
      <c r="V106" s="235" t="str">
        <f t="array" ref="V106">IF(ISERROR(L106/K106),"",L106/K106)</f>
        <v/>
      </c>
      <c r="W106" s="20"/>
      <c r="X106" s="191"/>
      <c r="Y106" s="191"/>
      <c r="Z106" s="191"/>
      <c r="AA106" s="191"/>
      <c r="AB106" s="20"/>
      <c r="AC106" s="20"/>
    </row>
    <row r="107" spans="1:29" s="2" customFormat="1" ht="21.95" hidden="1" customHeight="1">
      <c r="A107" s="226">
        <v>300391</v>
      </c>
      <c r="B107" s="223" t="s">
        <v>300</v>
      </c>
      <c r="C107" s="259" t="s">
        <v>114</v>
      </c>
      <c r="D107" s="260"/>
      <c r="E107" s="230" t="s">
        <v>117</v>
      </c>
      <c r="F107" s="27"/>
      <c r="G107" s="133"/>
      <c r="H107" s="133"/>
      <c r="I107" s="133"/>
      <c r="J107" s="133"/>
      <c r="K107" s="228">
        <f t="shared" si="7"/>
        <v>0</v>
      </c>
      <c r="L107" s="228">
        <f t="shared" si="8"/>
        <v>0</v>
      </c>
      <c r="M107" s="228">
        <v>417.4</v>
      </c>
      <c r="N107" s="228">
        <f>+M107*1000/(87*1*80*60)*T107</f>
        <v>3.9980842911877397</v>
      </c>
      <c r="O107" s="228"/>
      <c r="P107" s="228">
        <f t="shared" si="9"/>
        <v>0</v>
      </c>
      <c r="Q107" s="228"/>
      <c r="R107" s="19">
        <f t="shared" si="10"/>
        <v>0</v>
      </c>
      <c r="S107" s="228">
        <f t="shared" si="11"/>
        <v>0</v>
      </c>
      <c r="T107" s="20">
        <v>4</v>
      </c>
      <c r="U107" s="20"/>
      <c r="V107" s="235" t="str">
        <f t="array" ref="V107">IF(ISERROR(L107/K107),"",L107/K107)</f>
        <v/>
      </c>
      <c r="W107" s="20"/>
      <c r="X107" s="191"/>
      <c r="Y107" s="191"/>
      <c r="Z107" s="191"/>
      <c r="AA107" s="191"/>
      <c r="AB107" s="20"/>
      <c r="AC107" s="20"/>
    </row>
    <row r="108" spans="1:29" s="2" customFormat="1" ht="21.95" hidden="1" customHeight="1">
      <c r="A108" s="226">
        <v>300431</v>
      </c>
      <c r="B108" s="223" t="s">
        <v>300</v>
      </c>
      <c r="C108" s="259" t="s">
        <v>305</v>
      </c>
      <c r="D108" s="260"/>
      <c r="E108" s="230" t="s">
        <v>306</v>
      </c>
      <c r="F108" s="27"/>
      <c r="G108" s="133"/>
      <c r="H108" s="133"/>
      <c r="I108" s="133"/>
      <c r="J108" s="133"/>
      <c r="K108" s="228">
        <f t="shared" si="7"/>
        <v>0</v>
      </c>
      <c r="L108" s="228">
        <f t="shared" si="8"/>
        <v>0</v>
      </c>
      <c r="M108" s="228">
        <v>628.79999999999995</v>
      </c>
      <c r="N108" s="228">
        <f>+M108*1000/(87*1*80*60)*T108</f>
        <v>6.0229885057471266</v>
      </c>
      <c r="O108" s="228"/>
      <c r="P108" s="228">
        <f t="shared" si="9"/>
        <v>0</v>
      </c>
      <c r="Q108" s="228"/>
      <c r="R108" s="19">
        <f t="shared" si="10"/>
        <v>0</v>
      </c>
      <c r="S108" s="228">
        <f t="shared" si="11"/>
        <v>0</v>
      </c>
      <c r="T108" s="20">
        <v>4</v>
      </c>
      <c r="U108" s="20"/>
      <c r="V108" s="235" t="str">
        <f t="array" ref="V108">IF(ISERROR(L108/K108),"",L108/K108)</f>
        <v/>
      </c>
      <c r="W108" s="20"/>
      <c r="X108" s="191"/>
      <c r="Y108" s="191"/>
      <c r="Z108" s="191"/>
      <c r="AA108" s="191"/>
      <c r="AB108" s="20"/>
      <c r="AC108" s="20"/>
    </row>
    <row r="109" spans="1:29" s="2" customFormat="1" ht="21.95" hidden="1" customHeight="1">
      <c r="A109" s="226">
        <v>300432</v>
      </c>
      <c r="B109" s="223" t="s">
        <v>300</v>
      </c>
      <c r="C109" s="259" t="s">
        <v>305</v>
      </c>
      <c r="D109" s="260"/>
      <c r="E109" s="230" t="s">
        <v>307</v>
      </c>
      <c r="F109" s="27"/>
      <c r="G109" s="133"/>
      <c r="H109" s="133"/>
      <c r="I109" s="133"/>
      <c r="J109" s="133"/>
      <c r="K109" s="228">
        <f t="shared" si="7"/>
        <v>0</v>
      </c>
      <c r="L109" s="228">
        <f t="shared" si="8"/>
        <v>0</v>
      </c>
      <c r="M109" s="228">
        <v>628.79999999999995</v>
      </c>
      <c r="N109" s="228">
        <f>+M109*1000/(87*1*80*60)*T109</f>
        <v>6.0229885057471266</v>
      </c>
      <c r="O109" s="228"/>
      <c r="P109" s="228">
        <f t="shared" si="9"/>
        <v>0</v>
      </c>
      <c r="Q109" s="228"/>
      <c r="R109" s="19">
        <f t="shared" si="10"/>
        <v>0</v>
      </c>
      <c r="S109" s="228">
        <f t="shared" si="11"/>
        <v>0</v>
      </c>
      <c r="T109" s="20">
        <v>4</v>
      </c>
      <c r="U109" s="20"/>
      <c r="V109" s="235" t="str">
        <f t="array" ref="V109">IF(ISERROR(L109/K109),"",L109/K109)</f>
        <v/>
      </c>
      <c r="W109" s="20"/>
      <c r="X109" s="191"/>
      <c r="Y109" s="191"/>
      <c r="Z109" s="191"/>
      <c r="AA109" s="191"/>
      <c r="AB109" s="20"/>
      <c r="AC109" s="20"/>
    </row>
    <row r="110" spans="1:29" s="2" customFormat="1" ht="21.95" hidden="1" customHeight="1">
      <c r="A110" s="226">
        <v>300433</v>
      </c>
      <c r="B110" s="223" t="s">
        <v>300</v>
      </c>
      <c r="C110" s="259" t="s">
        <v>305</v>
      </c>
      <c r="D110" s="260"/>
      <c r="E110" s="134" t="s">
        <v>308</v>
      </c>
      <c r="F110" s="27"/>
      <c r="G110" s="133"/>
      <c r="H110" s="133"/>
      <c r="I110" s="133"/>
      <c r="J110" s="133"/>
      <c r="K110" s="228">
        <f t="shared" si="7"/>
        <v>0</v>
      </c>
      <c r="L110" s="228">
        <f t="shared" si="8"/>
        <v>0</v>
      </c>
      <c r="M110" s="228">
        <v>628.79999999999995</v>
      </c>
      <c r="N110" s="228">
        <f>+M110*1000/(87*1*80*60)*T110</f>
        <v>6.0229885057471266</v>
      </c>
      <c r="O110" s="228"/>
      <c r="P110" s="228">
        <f t="shared" si="9"/>
        <v>0</v>
      </c>
      <c r="Q110" s="228"/>
      <c r="R110" s="19">
        <f t="shared" si="10"/>
        <v>0</v>
      </c>
      <c r="S110" s="228">
        <f t="shared" si="11"/>
        <v>0</v>
      </c>
      <c r="T110" s="20">
        <v>4</v>
      </c>
      <c r="U110" s="20"/>
      <c r="V110" s="235" t="str">
        <f t="array" ref="V110">IF(ISERROR(L110/K110),"",L110/K110)</f>
        <v/>
      </c>
      <c r="W110" s="20"/>
      <c r="X110" s="191"/>
      <c r="Y110" s="191"/>
      <c r="Z110" s="191"/>
      <c r="AA110" s="191"/>
      <c r="AB110" s="20"/>
      <c r="AC110" s="20"/>
    </row>
    <row r="111" spans="1:29" s="2" customFormat="1" ht="21.95" hidden="1" customHeight="1">
      <c r="A111" s="226">
        <v>300074</v>
      </c>
      <c r="B111" s="223" t="s">
        <v>118</v>
      </c>
      <c r="C111" s="248" t="s">
        <v>119</v>
      </c>
      <c r="D111" s="248" t="s">
        <v>120</v>
      </c>
      <c r="E111" s="230" t="s">
        <v>54</v>
      </c>
      <c r="F111" s="27"/>
      <c r="G111" s="133"/>
      <c r="H111" s="133"/>
      <c r="I111" s="133"/>
      <c r="J111" s="133"/>
      <c r="K111" s="228">
        <f t="shared" si="7"/>
        <v>0</v>
      </c>
      <c r="L111" s="228">
        <f t="shared" si="8"/>
        <v>0</v>
      </c>
      <c r="M111" s="228">
        <v>290.8</v>
      </c>
      <c r="N111" s="228">
        <f>+M111*1000/(88*4*13*60)*T111</f>
        <v>3.1774475524475525</v>
      </c>
      <c r="O111" s="228"/>
      <c r="P111" s="228">
        <f t="shared" si="9"/>
        <v>0</v>
      </c>
      <c r="Q111" s="228"/>
      <c r="R111" s="19">
        <f t="shared" si="10"/>
        <v>0</v>
      </c>
      <c r="S111" s="228">
        <f t="shared" si="11"/>
        <v>0</v>
      </c>
      <c r="T111" s="20">
        <v>3</v>
      </c>
      <c r="U111" s="20"/>
      <c r="V111" s="235" t="str">
        <f t="array" ref="V111">IF(ISERROR(L111/K111),"",L111/K111)</f>
        <v/>
      </c>
      <c r="W111" s="20"/>
      <c r="X111" s="191"/>
      <c r="Y111" s="191"/>
      <c r="Z111" s="191"/>
      <c r="AA111" s="191"/>
      <c r="AB111" s="20"/>
      <c r="AC111" s="20"/>
    </row>
    <row r="112" spans="1:29" s="2" customFormat="1" ht="21.95" hidden="1" customHeight="1">
      <c r="A112" s="226">
        <v>300076</v>
      </c>
      <c r="B112" s="223" t="s">
        <v>118</v>
      </c>
      <c r="C112" s="248" t="s">
        <v>119</v>
      </c>
      <c r="D112" s="248" t="s">
        <v>120</v>
      </c>
      <c r="E112" s="230" t="s">
        <v>35</v>
      </c>
      <c r="F112" s="27"/>
      <c r="G112" s="133"/>
      <c r="H112" s="133"/>
      <c r="I112" s="133"/>
      <c r="J112" s="133"/>
      <c r="K112" s="228">
        <f t="shared" si="7"/>
        <v>0</v>
      </c>
      <c r="L112" s="228">
        <f t="shared" si="8"/>
        <v>0</v>
      </c>
      <c r="M112" s="228">
        <v>303.10000000000002</v>
      </c>
      <c r="N112" s="228">
        <f>+M112*1000/(88*4*12*60)*T112</f>
        <v>4.7837752525252526</v>
      </c>
      <c r="O112" s="228"/>
      <c r="P112" s="228">
        <f t="shared" si="9"/>
        <v>0</v>
      </c>
      <c r="Q112" s="228"/>
      <c r="R112" s="19">
        <f t="shared" si="10"/>
        <v>0</v>
      </c>
      <c r="S112" s="228">
        <f t="shared" si="11"/>
        <v>0</v>
      </c>
      <c r="T112" s="20">
        <v>4</v>
      </c>
      <c r="U112" s="20"/>
      <c r="V112" s="235" t="str">
        <f t="array" ref="V112">IF(ISERROR(L112/K112),"",L112/K112)</f>
        <v/>
      </c>
      <c r="W112" s="20"/>
      <c r="X112" s="191"/>
      <c r="Y112" s="191"/>
      <c r="Z112" s="191"/>
      <c r="AA112" s="191"/>
      <c r="AB112" s="20"/>
      <c r="AC112" s="20"/>
    </row>
    <row r="113" spans="1:29" s="2" customFormat="1" ht="21.95" hidden="1" customHeight="1">
      <c r="A113" s="226">
        <v>300096</v>
      </c>
      <c r="B113" s="223" t="s">
        <v>118</v>
      </c>
      <c r="C113" s="248" t="s">
        <v>121</v>
      </c>
      <c r="D113" s="248" t="s">
        <v>122</v>
      </c>
      <c r="E113" s="230" t="s">
        <v>37</v>
      </c>
      <c r="F113" s="27"/>
      <c r="G113" s="133"/>
      <c r="H113" s="133"/>
      <c r="I113" s="133"/>
      <c r="J113" s="133"/>
      <c r="K113" s="228">
        <f t="shared" si="7"/>
        <v>0</v>
      </c>
      <c r="L113" s="228">
        <f t="shared" si="8"/>
        <v>0</v>
      </c>
      <c r="M113" s="228">
        <v>480.13</v>
      </c>
      <c r="N113" s="228">
        <f>+M113*1000/(126.5*4*12*60)*T113</f>
        <v>2.6357597716293371</v>
      </c>
      <c r="O113" s="228"/>
      <c r="P113" s="228">
        <f t="shared" si="9"/>
        <v>0</v>
      </c>
      <c r="Q113" s="228"/>
      <c r="R113" s="19">
        <f t="shared" si="10"/>
        <v>0</v>
      </c>
      <c r="S113" s="228">
        <f t="shared" si="11"/>
        <v>0</v>
      </c>
      <c r="T113" s="20">
        <v>2</v>
      </c>
      <c r="U113" s="20"/>
      <c r="V113" s="235" t="str">
        <f t="array" ref="V113">IF(ISERROR(L113/K113),"",L113/K113)</f>
        <v/>
      </c>
      <c r="W113" s="20"/>
      <c r="X113" s="191"/>
      <c r="Y113" s="191"/>
      <c r="Z113" s="191"/>
      <c r="AA113" s="191"/>
      <c r="AB113" s="20"/>
      <c r="AC113" s="20"/>
    </row>
    <row r="114" spans="1:29" s="2" customFormat="1" ht="21.95" hidden="1" customHeight="1">
      <c r="A114" s="226"/>
      <c r="B114" s="223" t="s">
        <v>118</v>
      </c>
      <c r="C114" s="248" t="s">
        <v>121</v>
      </c>
      <c r="D114" s="248" t="s">
        <v>122</v>
      </c>
      <c r="E114" s="230" t="s">
        <v>35</v>
      </c>
      <c r="F114" s="27"/>
      <c r="G114" s="133"/>
      <c r="H114" s="133"/>
      <c r="I114" s="133"/>
      <c r="J114" s="133"/>
      <c r="K114" s="228">
        <f t="shared" si="7"/>
        <v>0</v>
      </c>
      <c r="L114" s="228">
        <f t="shared" si="8"/>
        <v>0</v>
      </c>
      <c r="M114" s="228">
        <v>480.13</v>
      </c>
      <c r="N114" s="228">
        <f>+M114*1000/(126.5*4*12*60)*T114</f>
        <v>2.6357597716293371</v>
      </c>
      <c r="O114" s="228"/>
      <c r="P114" s="228">
        <f t="shared" si="9"/>
        <v>0</v>
      </c>
      <c r="Q114" s="228"/>
      <c r="R114" s="19">
        <f t="shared" si="10"/>
        <v>0</v>
      </c>
      <c r="S114" s="228">
        <f t="shared" si="11"/>
        <v>0</v>
      </c>
      <c r="T114" s="20">
        <v>2</v>
      </c>
      <c r="U114" s="20"/>
      <c r="V114" s="235" t="str">
        <f t="array" ref="V114">IF(ISERROR(L114/K114),"",L114/K114)</f>
        <v/>
      </c>
      <c r="W114" s="20"/>
      <c r="X114" s="191"/>
      <c r="Y114" s="191"/>
      <c r="Z114" s="191"/>
      <c r="AA114" s="191"/>
      <c r="AB114" s="20"/>
      <c r="AC114" s="20"/>
    </row>
    <row r="115" spans="1:29" s="2" customFormat="1" ht="22.5" customHeight="1">
      <c r="A115" s="226">
        <v>300097</v>
      </c>
      <c r="B115" s="223">
        <v>6502</v>
      </c>
      <c r="C115" s="248" t="s">
        <v>121</v>
      </c>
      <c r="D115" s="248" t="s">
        <v>122</v>
      </c>
      <c r="E115" s="230" t="s">
        <v>63</v>
      </c>
      <c r="F115" s="27"/>
      <c r="G115" s="133">
        <v>6.27</v>
      </c>
      <c r="H115" s="133">
        <v>0.26666666666666666</v>
      </c>
      <c r="I115" s="133">
        <f>6+H115</f>
        <v>6.2666666666666666</v>
      </c>
      <c r="J115" s="133"/>
      <c r="K115" s="228">
        <f t="shared" si="7"/>
        <v>3010.4150999999997</v>
      </c>
      <c r="L115" s="228">
        <f t="shared" si="8"/>
        <v>3008.8146666666667</v>
      </c>
      <c r="M115" s="228">
        <v>480.13</v>
      </c>
      <c r="N115" s="228">
        <f>+M115*1000/(126.5*4*12*60)*T115</f>
        <v>2.6357597716293371</v>
      </c>
      <c r="O115" s="228"/>
      <c r="P115" s="228">
        <f t="shared" si="9"/>
        <v>16.51742790221051</v>
      </c>
      <c r="Q115" s="228">
        <v>7</v>
      </c>
      <c r="R115" s="19">
        <f t="shared" si="10"/>
        <v>14</v>
      </c>
      <c r="S115" s="228">
        <f t="shared" si="11"/>
        <v>-2.5174279022105104</v>
      </c>
      <c r="T115" s="20">
        <v>2</v>
      </c>
      <c r="U115" s="20">
        <v>2</v>
      </c>
      <c r="V115" s="235">
        <f t="array" ref="V115">IF(ISERROR(L115/K115),"",L115/K115)</f>
        <v>0.99946836788942062</v>
      </c>
      <c r="W115" s="20"/>
      <c r="X115" s="191"/>
      <c r="Y115" s="191"/>
      <c r="Z115" s="191"/>
      <c r="AA115" s="191">
        <v>2</v>
      </c>
      <c r="AB115" s="20"/>
      <c r="AC115" s="20"/>
    </row>
    <row r="116" spans="1:29" s="2" customFormat="1" ht="21.95" hidden="1" customHeight="1">
      <c r="A116" s="223">
        <v>300294</v>
      </c>
      <c r="B116" s="223" t="s">
        <v>118</v>
      </c>
      <c r="C116" s="248" t="s">
        <v>123</v>
      </c>
      <c r="D116" s="248"/>
      <c r="E116" s="230" t="s">
        <v>41</v>
      </c>
      <c r="F116" s="27"/>
      <c r="G116" s="133"/>
      <c r="H116" s="133"/>
      <c r="I116" s="133"/>
      <c r="J116" s="133"/>
      <c r="K116" s="228">
        <f t="shared" si="7"/>
        <v>0</v>
      </c>
      <c r="L116" s="228">
        <f t="shared" si="8"/>
        <v>0</v>
      </c>
      <c r="M116" s="228">
        <v>373.14</v>
      </c>
      <c r="N116" s="228">
        <f t="shared" ref="N116:N125" si="13">+M116*1000/(90*4*14*60)*T116</f>
        <v>3.7017857142857142</v>
      </c>
      <c r="O116" s="228"/>
      <c r="P116" s="228">
        <f t="shared" si="9"/>
        <v>0</v>
      </c>
      <c r="Q116" s="228"/>
      <c r="R116" s="19">
        <f t="shared" si="10"/>
        <v>0</v>
      </c>
      <c r="S116" s="228">
        <f t="shared" si="11"/>
        <v>0</v>
      </c>
      <c r="T116" s="20">
        <v>3</v>
      </c>
      <c r="U116" s="20"/>
      <c r="V116" s="235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223">
        <v>300295</v>
      </c>
      <c r="B117" s="223" t="s">
        <v>124</v>
      </c>
      <c r="C117" s="248" t="s">
        <v>125</v>
      </c>
      <c r="D117" s="248"/>
      <c r="E117" s="230" t="s">
        <v>126</v>
      </c>
      <c r="F117" s="27"/>
      <c r="G117" s="133"/>
      <c r="H117" s="133"/>
      <c r="I117" s="133"/>
      <c r="J117" s="133"/>
      <c r="K117" s="228">
        <f t="shared" si="7"/>
        <v>0</v>
      </c>
      <c r="L117" s="228">
        <f t="shared" si="8"/>
        <v>0</v>
      </c>
      <c r="M117" s="228">
        <v>373.14</v>
      </c>
      <c r="N117" s="228">
        <f t="shared" si="13"/>
        <v>3.7017857142857142</v>
      </c>
      <c r="O117" s="228"/>
      <c r="P117" s="228">
        <f t="shared" si="9"/>
        <v>0</v>
      </c>
      <c r="Q117" s="228"/>
      <c r="R117" s="19">
        <f t="shared" si="10"/>
        <v>0</v>
      </c>
      <c r="S117" s="228">
        <f t="shared" si="11"/>
        <v>0</v>
      </c>
      <c r="T117" s="20">
        <v>3</v>
      </c>
      <c r="U117" s="20"/>
      <c r="V117" s="235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223">
        <v>300258</v>
      </c>
      <c r="B118" s="223" t="s">
        <v>118</v>
      </c>
      <c r="C118" s="248" t="s">
        <v>123</v>
      </c>
      <c r="D118" s="248"/>
      <c r="E118" s="230" t="s">
        <v>42</v>
      </c>
      <c r="F118" s="27"/>
      <c r="G118" s="133"/>
      <c r="H118" s="133"/>
      <c r="I118" s="133"/>
      <c r="J118" s="133"/>
      <c r="K118" s="228">
        <f t="shared" si="7"/>
        <v>0</v>
      </c>
      <c r="L118" s="228">
        <f t="shared" si="8"/>
        <v>0</v>
      </c>
      <c r="M118" s="228">
        <v>373.14</v>
      </c>
      <c r="N118" s="228">
        <f t="shared" si="13"/>
        <v>3.7017857142857142</v>
      </c>
      <c r="O118" s="228"/>
      <c r="P118" s="228">
        <f t="shared" si="9"/>
        <v>0</v>
      </c>
      <c r="Q118" s="228"/>
      <c r="R118" s="19">
        <f t="shared" si="10"/>
        <v>0</v>
      </c>
      <c r="S118" s="228">
        <f t="shared" si="11"/>
        <v>0</v>
      </c>
      <c r="T118" s="20">
        <v>3</v>
      </c>
      <c r="U118" s="20"/>
      <c r="V118" s="235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223">
        <v>300256</v>
      </c>
      <c r="B119" s="223" t="s">
        <v>118</v>
      </c>
      <c r="C119" s="248" t="s">
        <v>123</v>
      </c>
      <c r="D119" s="248"/>
      <c r="E119" s="230" t="s">
        <v>74</v>
      </c>
      <c r="F119" s="27"/>
      <c r="G119" s="133"/>
      <c r="H119" s="133"/>
      <c r="I119" s="133"/>
      <c r="J119" s="133"/>
      <c r="K119" s="228">
        <f t="shared" si="7"/>
        <v>0</v>
      </c>
      <c r="L119" s="228">
        <f t="shared" si="8"/>
        <v>0</v>
      </c>
      <c r="M119" s="228">
        <v>373.14</v>
      </c>
      <c r="N119" s="228">
        <f t="shared" si="13"/>
        <v>3.7017857142857142</v>
      </c>
      <c r="O119" s="228"/>
      <c r="P119" s="228">
        <f t="shared" si="9"/>
        <v>0</v>
      </c>
      <c r="Q119" s="228"/>
      <c r="R119" s="19">
        <f t="shared" si="10"/>
        <v>0</v>
      </c>
      <c r="S119" s="228">
        <f t="shared" si="11"/>
        <v>0</v>
      </c>
      <c r="T119" s="20">
        <v>3</v>
      </c>
      <c r="U119" s="20"/>
      <c r="V119" s="235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223">
        <v>300259</v>
      </c>
      <c r="B120" s="223" t="s">
        <v>118</v>
      </c>
      <c r="C120" s="248" t="s">
        <v>123</v>
      </c>
      <c r="D120" s="248"/>
      <c r="E120" s="230" t="s">
        <v>40</v>
      </c>
      <c r="F120" s="27"/>
      <c r="G120" s="133"/>
      <c r="H120" s="133"/>
      <c r="I120" s="133"/>
      <c r="J120" s="133"/>
      <c r="K120" s="228">
        <f t="shared" si="7"/>
        <v>0</v>
      </c>
      <c r="L120" s="228">
        <f t="shared" si="8"/>
        <v>0</v>
      </c>
      <c r="M120" s="228">
        <v>373.14</v>
      </c>
      <c r="N120" s="228">
        <f t="shared" si="13"/>
        <v>3.7017857142857142</v>
      </c>
      <c r="O120" s="228"/>
      <c r="P120" s="228">
        <f t="shared" si="9"/>
        <v>0</v>
      </c>
      <c r="Q120" s="228"/>
      <c r="R120" s="19">
        <f t="shared" si="10"/>
        <v>0</v>
      </c>
      <c r="S120" s="228">
        <f t="shared" si="11"/>
        <v>0</v>
      </c>
      <c r="T120" s="20">
        <v>3</v>
      </c>
      <c r="U120" s="20"/>
      <c r="V120" s="235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223">
        <v>300345</v>
      </c>
      <c r="B121" s="223" t="s">
        <v>118</v>
      </c>
      <c r="C121" s="248" t="s">
        <v>127</v>
      </c>
      <c r="D121" s="248"/>
      <c r="E121" s="230" t="s">
        <v>74</v>
      </c>
      <c r="F121" s="27"/>
      <c r="G121" s="133"/>
      <c r="H121" s="133"/>
      <c r="I121" s="133"/>
      <c r="J121" s="133"/>
      <c r="K121" s="228">
        <f t="shared" si="7"/>
        <v>0</v>
      </c>
      <c r="L121" s="228">
        <f t="shared" si="8"/>
        <v>0</v>
      </c>
      <c r="M121" s="228">
        <v>373.14</v>
      </c>
      <c r="N121" s="228">
        <f t="shared" si="13"/>
        <v>3.7017857142857142</v>
      </c>
      <c r="O121" s="41"/>
      <c r="P121" s="228">
        <f t="shared" si="9"/>
        <v>0</v>
      </c>
      <c r="Q121" s="41"/>
      <c r="R121" s="19">
        <f t="shared" si="10"/>
        <v>0</v>
      </c>
      <c r="S121" s="228">
        <f t="shared" si="11"/>
        <v>0</v>
      </c>
      <c r="T121" s="20">
        <v>3</v>
      </c>
      <c r="U121" s="41"/>
      <c r="V121" s="235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223">
        <v>300346</v>
      </c>
      <c r="B122" s="223" t="s">
        <v>118</v>
      </c>
      <c r="C122" s="248" t="s">
        <v>127</v>
      </c>
      <c r="D122" s="248"/>
      <c r="E122" s="230" t="s">
        <v>42</v>
      </c>
      <c r="F122" s="27"/>
      <c r="G122" s="133"/>
      <c r="H122" s="133"/>
      <c r="I122" s="133"/>
      <c r="J122" s="133"/>
      <c r="K122" s="228">
        <f t="shared" si="7"/>
        <v>0</v>
      </c>
      <c r="L122" s="228">
        <f t="shared" si="8"/>
        <v>0</v>
      </c>
      <c r="M122" s="228">
        <v>373.14</v>
      </c>
      <c r="N122" s="228">
        <f t="shared" si="13"/>
        <v>3.7017857142857142</v>
      </c>
      <c r="O122" s="41"/>
      <c r="P122" s="228">
        <f t="shared" si="9"/>
        <v>0</v>
      </c>
      <c r="Q122" s="41"/>
      <c r="R122" s="19">
        <f t="shared" si="10"/>
        <v>0</v>
      </c>
      <c r="S122" s="228">
        <f t="shared" si="11"/>
        <v>0</v>
      </c>
      <c r="T122" s="20">
        <v>3</v>
      </c>
      <c r="U122" s="41"/>
      <c r="V122" s="235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223">
        <v>300347</v>
      </c>
      <c r="B123" s="223" t="s">
        <v>118</v>
      </c>
      <c r="C123" s="248" t="s">
        <v>127</v>
      </c>
      <c r="D123" s="248"/>
      <c r="E123" s="230" t="s">
        <v>41</v>
      </c>
      <c r="F123" s="27"/>
      <c r="G123" s="133"/>
      <c r="H123" s="133"/>
      <c r="I123" s="133"/>
      <c r="J123" s="133"/>
      <c r="K123" s="228">
        <f t="shared" si="7"/>
        <v>0</v>
      </c>
      <c r="L123" s="228">
        <f t="shared" si="8"/>
        <v>0</v>
      </c>
      <c r="M123" s="228">
        <v>373.14</v>
      </c>
      <c r="N123" s="228">
        <f t="shared" si="13"/>
        <v>3.7017857142857142</v>
      </c>
      <c r="O123" s="41"/>
      <c r="P123" s="228">
        <f t="shared" si="9"/>
        <v>0</v>
      </c>
      <c r="Q123" s="41"/>
      <c r="R123" s="19">
        <f t="shared" si="10"/>
        <v>0</v>
      </c>
      <c r="S123" s="228">
        <f t="shared" si="11"/>
        <v>0</v>
      </c>
      <c r="T123" s="20">
        <v>3</v>
      </c>
      <c r="U123" s="41"/>
      <c r="V123" s="235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223">
        <v>300348</v>
      </c>
      <c r="B124" s="223" t="s">
        <v>118</v>
      </c>
      <c r="C124" s="248" t="s">
        <v>127</v>
      </c>
      <c r="D124" s="248"/>
      <c r="E124" s="230" t="s">
        <v>126</v>
      </c>
      <c r="F124" s="27"/>
      <c r="G124" s="133"/>
      <c r="H124" s="133"/>
      <c r="I124" s="133"/>
      <c r="J124" s="133"/>
      <c r="K124" s="228">
        <f t="shared" si="7"/>
        <v>0</v>
      </c>
      <c r="L124" s="228">
        <f t="shared" si="8"/>
        <v>0</v>
      </c>
      <c r="M124" s="228">
        <v>373.14</v>
      </c>
      <c r="N124" s="228">
        <f t="shared" si="13"/>
        <v>3.7017857142857142</v>
      </c>
      <c r="O124" s="41"/>
      <c r="P124" s="228">
        <f t="shared" si="9"/>
        <v>0</v>
      </c>
      <c r="Q124" s="41"/>
      <c r="R124" s="19">
        <f t="shared" si="10"/>
        <v>0</v>
      </c>
      <c r="S124" s="228">
        <f t="shared" si="11"/>
        <v>0</v>
      </c>
      <c r="T124" s="20">
        <v>3</v>
      </c>
      <c r="U124" s="41"/>
      <c r="V124" s="235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223">
        <v>300349</v>
      </c>
      <c r="B125" s="223" t="s">
        <v>118</v>
      </c>
      <c r="C125" s="248" t="s">
        <v>127</v>
      </c>
      <c r="D125" s="248"/>
      <c r="E125" s="230" t="s">
        <v>40</v>
      </c>
      <c r="F125" s="27"/>
      <c r="G125" s="133"/>
      <c r="H125" s="133"/>
      <c r="I125" s="133"/>
      <c r="J125" s="133"/>
      <c r="K125" s="228">
        <f t="shared" si="7"/>
        <v>0</v>
      </c>
      <c r="L125" s="228">
        <f t="shared" si="8"/>
        <v>0</v>
      </c>
      <c r="M125" s="228">
        <v>373.14</v>
      </c>
      <c r="N125" s="228">
        <f t="shared" si="13"/>
        <v>3.7017857142857142</v>
      </c>
      <c r="O125" s="41"/>
      <c r="P125" s="228">
        <f t="shared" si="9"/>
        <v>0</v>
      </c>
      <c r="Q125" s="41"/>
      <c r="R125" s="19">
        <f t="shared" si="10"/>
        <v>0</v>
      </c>
      <c r="S125" s="228">
        <f t="shared" si="11"/>
        <v>0</v>
      </c>
      <c r="T125" s="20">
        <v>3</v>
      </c>
      <c r="U125" s="41"/>
      <c r="V125" s="235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223">
        <v>300298</v>
      </c>
      <c r="B126" s="223" t="s">
        <v>118</v>
      </c>
      <c r="C126" s="248" t="s">
        <v>128</v>
      </c>
      <c r="D126" s="248"/>
      <c r="E126" s="230" t="s">
        <v>54</v>
      </c>
      <c r="F126" s="27"/>
      <c r="G126" s="133"/>
      <c r="H126" s="133"/>
      <c r="I126" s="133"/>
      <c r="J126" s="133"/>
      <c r="K126" s="228">
        <f t="shared" si="7"/>
        <v>0</v>
      </c>
      <c r="L126" s="228">
        <f t="shared" si="8"/>
        <v>0</v>
      </c>
      <c r="M126" s="228">
        <v>380.63</v>
      </c>
      <c r="N126" s="228">
        <f t="shared" ref="N126:N131" si="14">+M126*1000/(94.7*4*15*60)*T126</f>
        <v>4.4659157573624313</v>
      </c>
      <c r="O126" s="228"/>
      <c r="P126" s="228">
        <f t="shared" si="9"/>
        <v>0</v>
      </c>
      <c r="Q126" s="228"/>
      <c r="R126" s="19">
        <f t="shared" si="10"/>
        <v>0</v>
      </c>
      <c r="S126" s="228">
        <f t="shared" si="11"/>
        <v>0</v>
      </c>
      <c r="T126" s="20">
        <v>4</v>
      </c>
      <c r="U126" s="20"/>
      <c r="V126" s="235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223">
        <v>300299</v>
      </c>
      <c r="B127" s="223" t="s">
        <v>118</v>
      </c>
      <c r="C127" s="248" t="s">
        <v>128</v>
      </c>
      <c r="D127" s="248"/>
      <c r="E127" s="230" t="s">
        <v>39</v>
      </c>
      <c r="F127" s="27"/>
      <c r="G127" s="133"/>
      <c r="H127" s="133"/>
      <c r="I127" s="133"/>
      <c r="J127" s="133"/>
      <c r="K127" s="228">
        <f t="shared" si="7"/>
        <v>0</v>
      </c>
      <c r="L127" s="228">
        <f t="shared" si="8"/>
        <v>0</v>
      </c>
      <c r="M127" s="228">
        <v>380.63</v>
      </c>
      <c r="N127" s="228">
        <f t="shared" si="14"/>
        <v>4.4659157573624313</v>
      </c>
      <c r="O127" s="228"/>
      <c r="P127" s="228">
        <f t="shared" si="9"/>
        <v>0</v>
      </c>
      <c r="Q127" s="228"/>
      <c r="R127" s="19">
        <f t="shared" si="10"/>
        <v>0</v>
      </c>
      <c r="S127" s="228">
        <f t="shared" si="11"/>
        <v>0</v>
      </c>
      <c r="T127" s="20">
        <v>4</v>
      </c>
      <c r="U127" s="20"/>
      <c r="V127" s="235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223">
        <v>300296</v>
      </c>
      <c r="B128" s="223" t="s">
        <v>118</v>
      </c>
      <c r="C128" s="248" t="s">
        <v>128</v>
      </c>
      <c r="D128" s="248"/>
      <c r="E128" s="230" t="s">
        <v>41</v>
      </c>
      <c r="F128" s="27"/>
      <c r="G128" s="133"/>
      <c r="H128" s="133"/>
      <c r="I128" s="133"/>
      <c r="J128" s="133"/>
      <c r="K128" s="228">
        <f t="shared" si="7"/>
        <v>0</v>
      </c>
      <c r="L128" s="228">
        <f t="shared" si="8"/>
        <v>0</v>
      </c>
      <c r="M128" s="228">
        <v>380.63</v>
      </c>
      <c r="N128" s="228">
        <f t="shared" si="14"/>
        <v>4.4659157573624313</v>
      </c>
      <c r="O128" s="228"/>
      <c r="P128" s="228">
        <f t="shared" si="9"/>
        <v>0</v>
      </c>
      <c r="Q128" s="228"/>
      <c r="R128" s="19">
        <f t="shared" si="10"/>
        <v>0</v>
      </c>
      <c r="S128" s="228">
        <f t="shared" si="11"/>
        <v>0</v>
      </c>
      <c r="T128" s="20">
        <v>4</v>
      </c>
      <c r="U128" s="20"/>
      <c r="V128" s="235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223">
        <v>300297</v>
      </c>
      <c r="B129" s="223" t="s">
        <v>118</v>
      </c>
      <c r="C129" s="248" t="s">
        <v>128</v>
      </c>
      <c r="D129" s="248"/>
      <c r="E129" s="230" t="s">
        <v>37</v>
      </c>
      <c r="F129" s="27"/>
      <c r="G129" s="133"/>
      <c r="H129" s="133"/>
      <c r="I129" s="133"/>
      <c r="J129" s="133"/>
      <c r="K129" s="228">
        <f t="shared" si="7"/>
        <v>0</v>
      </c>
      <c r="L129" s="228">
        <f t="shared" si="8"/>
        <v>0</v>
      </c>
      <c r="M129" s="228">
        <v>380.63</v>
      </c>
      <c r="N129" s="228">
        <f t="shared" si="14"/>
        <v>4.4659157573624313</v>
      </c>
      <c r="O129" s="228"/>
      <c r="P129" s="228">
        <f t="shared" si="9"/>
        <v>0</v>
      </c>
      <c r="Q129" s="228"/>
      <c r="R129" s="19">
        <f t="shared" si="10"/>
        <v>0</v>
      </c>
      <c r="S129" s="228">
        <f t="shared" si="11"/>
        <v>0</v>
      </c>
      <c r="T129" s="20">
        <v>4</v>
      </c>
      <c r="U129" s="20"/>
      <c r="V129" s="235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223">
        <v>300340</v>
      </c>
      <c r="B130" s="223" t="s">
        <v>118</v>
      </c>
      <c r="C130" s="259" t="s">
        <v>129</v>
      </c>
      <c r="D130" s="260"/>
      <c r="E130" s="230" t="s">
        <v>41</v>
      </c>
      <c r="F130" s="27"/>
      <c r="G130" s="133"/>
      <c r="H130" s="133"/>
      <c r="I130" s="133"/>
      <c r="J130" s="133"/>
      <c r="K130" s="228">
        <f t="shared" si="7"/>
        <v>0</v>
      </c>
      <c r="L130" s="228">
        <f t="shared" si="8"/>
        <v>0</v>
      </c>
      <c r="M130" s="228">
        <v>325.60000000000002</v>
      </c>
      <c r="N130" s="228">
        <f t="shared" si="14"/>
        <v>3.8202510852986036</v>
      </c>
      <c r="O130" s="228"/>
      <c r="P130" s="228">
        <f t="shared" si="9"/>
        <v>0</v>
      </c>
      <c r="Q130" s="228"/>
      <c r="R130" s="19">
        <f t="shared" si="10"/>
        <v>0</v>
      </c>
      <c r="S130" s="228">
        <f t="shared" si="11"/>
        <v>0</v>
      </c>
      <c r="T130" s="20">
        <v>4</v>
      </c>
      <c r="U130" s="20"/>
      <c r="V130" s="235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223">
        <v>300339</v>
      </c>
      <c r="B131" s="223" t="s">
        <v>118</v>
      </c>
      <c r="C131" s="259" t="s">
        <v>129</v>
      </c>
      <c r="D131" s="260"/>
      <c r="E131" s="230" t="s">
        <v>39</v>
      </c>
      <c r="F131" s="27"/>
      <c r="G131" s="133"/>
      <c r="H131" s="133"/>
      <c r="I131" s="133"/>
      <c r="J131" s="133"/>
      <c r="K131" s="228">
        <f t="shared" si="7"/>
        <v>0</v>
      </c>
      <c r="L131" s="228">
        <f t="shared" si="8"/>
        <v>0</v>
      </c>
      <c r="M131" s="228">
        <v>325.60000000000002</v>
      </c>
      <c r="N131" s="228">
        <f t="shared" si="14"/>
        <v>3.8202510852986036</v>
      </c>
      <c r="O131" s="228"/>
      <c r="P131" s="228">
        <f t="shared" si="9"/>
        <v>0</v>
      </c>
      <c r="Q131" s="228"/>
      <c r="R131" s="19">
        <f t="shared" si="10"/>
        <v>0</v>
      </c>
      <c r="S131" s="228">
        <f t="shared" si="11"/>
        <v>0</v>
      </c>
      <c r="T131" s="20">
        <v>4</v>
      </c>
      <c r="U131" s="20"/>
      <c r="V131" s="235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223">
        <v>300303</v>
      </c>
      <c r="B132" s="223" t="s">
        <v>118</v>
      </c>
      <c r="C132" s="248" t="s">
        <v>130</v>
      </c>
      <c r="D132" s="248" t="s">
        <v>131</v>
      </c>
      <c r="E132" s="230" t="s">
        <v>57</v>
      </c>
      <c r="F132" s="27"/>
      <c r="G132" s="133"/>
      <c r="H132" s="133"/>
      <c r="I132" s="133"/>
      <c r="J132" s="133"/>
      <c r="K132" s="228">
        <f t="shared" si="7"/>
        <v>0</v>
      </c>
      <c r="L132" s="228">
        <f t="shared" si="8"/>
        <v>0</v>
      </c>
      <c r="M132" s="228">
        <v>396.92</v>
      </c>
      <c r="N132" s="228">
        <f>+M132*1000/(113.8*4*15*60)*T132</f>
        <v>4.8442686975200155</v>
      </c>
      <c r="O132" s="228"/>
      <c r="P132" s="228">
        <f t="shared" si="9"/>
        <v>0</v>
      </c>
      <c r="Q132" s="228"/>
      <c r="R132" s="19">
        <f t="shared" si="10"/>
        <v>0</v>
      </c>
      <c r="S132" s="228">
        <f t="shared" si="11"/>
        <v>0</v>
      </c>
      <c r="T132" s="20">
        <v>5</v>
      </c>
      <c r="U132" s="20"/>
      <c r="V132" s="235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223">
        <v>300302</v>
      </c>
      <c r="B133" s="223" t="s">
        <v>118</v>
      </c>
      <c r="C133" s="248" t="s">
        <v>130</v>
      </c>
      <c r="D133" s="248" t="s">
        <v>131</v>
      </c>
      <c r="E133" s="230" t="s">
        <v>117</v>
      </c>
      <c r="F133" s="27"/>
      <c r="G133" s="133"/>
      <c r="H133" s="133"/>
      <c r="I133" s="133"/>
      <c r="J133" s="133"/>
      <c r="K133" s="228">
        <f t="shared" si="7"/>
        <v>0</v>
      </c>
      <c r="L133" s="228">
        <f t="shared" si="8"/>
        <v>0</v>
      </c>
      <c r="M133" s="228">
        <v>396.06</v>
      </c>
      <c r="N133" s="228">
        <f>+M133*1000/(113.8*4*15*60)*T133</f>
        <v>4.8337727006444053</v>
      </c>
      <c r="O133" s="228"/>
      <c r="P133" s="228">
        <f t="shared" si="9"/>
        <v>0</v>
      </c>
      <c r="Q133" s="228"/>
      <c r="R133" s="19">
        <f t="shared" si="10"/>
        <v>0</v>
      </c>
      <c r="S133" s="228">
        <f t="shared" si="11"/>
        <v>0</v>
      </c>
      <c r="T133" s="20">
        <v>5</v>
      </c>
      <c r="U133" s="20"/>
      <c r="V133" s="235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223">
        <v>300301</v>
      </c>
      <c r="B134" s="223" t="s">
        <v>118</v>
      </c>
      <c r="C134" s="248" t="s">
        <v>130</v>
      </c>
      <c r="D134" s="248" t="s">
        <v>131</v>
      </c>
      <c r="E134" s="230" t="s">
        <v>132</v>
      </c>
      <c r="F134" s="27"/>
      <c r="G134" s="133"/>
      <c r="H134" s="133"/>
      <c r="I134" s="133"/>
      <c r="J134" s="133"/>
      <c r="K134" s="228">
        <f t="shared" si="7"/>
        <v>0</v>
      </c>
      <c r="L134" s="228">
        <f t="shared" si="8"/>
        <v>0</v>
      </c>
      <c r="M134" s="228">
        <v>401.25</v>
      </c>
      <c r="N134" s="228">
        <f>+M134*1000/(113.8*4*15*60)*T134</f>
        <v>4.8971148213239601</v>
      </c>
      <c r="O134" s="228"/>
      <c r="P134" s="228">
        <f t="shared" si="9"/>
        <v>0</v>
      </c>
      <c r="Q134" s="228"/>
      <c r="R134" s="19">
        <f t="shared" si="10"/>
        <v>0</v>
      </c>
      <c r="S134" s="228">
        <f t="shared" si="11"/>
        <v>0</v>
      </c>
      <c r="T134" s="20">
        <v>5</v>
      </c>
      <c r="U134" s="20"/>
      <c r="V134" s="235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226">
        <v>300304</v>
      </c>
      <c r="B135" s="223" t="s">
        <v>118</v>
      </c>
      <c r="C135" s="248" t="s">
        <v>130</v>
      </c>
      <c r="D135" s="248"/>
      <c r="E135" s="230" t="s">
        <v>133</v>
      </c>
      <c r="F135" s="27"/>
      <c r="G135" s="133"/>
      <c r="H135" s="133"/>
      <c r="I135" s="133"/>
      <c r="J135" s="133"/>
      <c r="K135" s="228">
        <f t="shared" si="7"/>
        <v>0</v>
      </c>
      <c r="L135" s="228">
        <f t="shared" si="8"/>
        <v>0</v>
      </c>
      <c r="M135" s="228">
        <v>401.25</v>
      </c>
      <c r="N135" s="228">
        <f>+M135*1000/(113.8*4*15*60)*T135</f>
        <v>4.8971148213239601</v>
      </c>
      <c r="O135" s="228"/>
      <c r="P135" s="228">
        <f t="shared" si="9"/>
        <v>0</v>
      </c>
      <c r="Q135" s="228"/>
      <c r="R135" s="19">
        <f t="shared" si="10"/>
        <v>0</v>
      </c>
      <c r="S135" s="228">
        <f t="shared" si="11"/>
        <v>0</v>
      </c>
      <c r="T135" s="20">
        <v>5</v>
      </c>
      <c r="U135" s="20"/>
      <c r="V135" s="235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226">
        <v>300300</v>
      </c>
      <c r="B136" s="223" t="s">
        <v>118</v>
      </c>
      <c r="C136" s="248" t="s">
        <v>130</v>
      </c>
      <c r="D136" s="248" t="s">
        <v>131</v>
      </c>
      <c r="E136" s="230" t="s">
        <v>54</v>
      </c>
      <c r="F136" s="27"/>
      <c r="G136" s="133"/>
      <c r="H136" s="133"/>
      <c r="I136" s="133"/>
      <c r="J136" s="133"/>
      <c r="K136" s="228">
        <f t="shared" si="7"/>
        <v>0</v>
      </c>
      <c r="L136" s="228">
        <f t="shared" si="8"/>
        <v>0</v>
      </c>
      <c r="M136" s="228">
        <v>399.07</v>
      </c>
      <c r="N136" s="228">
        <f>+M136*1000/(113.8*4*15*60)*T136</f>
        <v>4.8705086897090411</v>
      </c>
      <c r="O136" s="228"/>
      <c r="P136" s="228">
        <f t="shared" si="9"/>
        <v>0</v>
      </c>
      <c r="Q136" s="228"/>
      <c r="R136" s="19">
        <f t="shared" si="10"/>
        <v>0</v>
      </c>
      <c r="S136" s="228">
        <f t="shared" si="11"/>
        <v>0</v>
      </c>
      <c r="T136" s="20">
        <v>5</v>
      </c>
      <c r="U136" s="20"/>
      <c r="V136" s="235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226">
        <v>300085</v>
      </c>
      <c r="B137" s="223">
        <v>6503</v>
      </c>
      <c r="C137" s="248" t="s">
        <v>134</v>
      </c>
      <c r="D137" s="248" t="s">
        <v>131</v>
      </c>
      <c r="E137" s="230" t="s">
        <v>135</v>
      </c>
      <c r="F137" s="27"/>
      <c r="G137" s="133"/>
      <c r="H137" s="133"/>
      <c r="I137" s="133"/>
      <c r="J137" s="133"/>
      <c r="K137" s="228">
        <f t="shared" si="7"/>
        <v>0</v>
      </c>
      <c r="L137" s="228">
        <f t="shared" si="8"/>
        <v>0</v>
      </c>
      <c r="M137" s="228">
        <v>394.3</v>
      </c>
      <c r="N137" s="228">
        <f>+M137*1000/(104.2*4*15*60)*T137</f>
        <v>6.3067818298144598</v>
      </c>
      <c r="O137" s="228"/>
      <c r="P137" s="228">
        <f t="shared" si="9"/>
        <v>0</v>
      </c>
      <c r="Q137" s="228"/>
      <c r="R137" s="19">
        <f t="shared" si="10"/>
        <v>0</v>
      </c>
      <c r="S137" s="228">
        <f t="shared" si="11"/>
        <v>0</v>
      </c>
      <c r="T137" s="20">
        <v>6</v>
      </c>
      <c r="U137" s="20"/>
      <c r="V137" s="235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226">
        <v>300087</v>
      </c>
      <c r="B138" s="223" t="s">
        <v>118</v>
      </c>
      <c r="C138" s="248" t="s">
        <v>134</v>
      </c>
      <c r="D138" s="248" t="s">
        <v>131</v>
      </c>
      <c r="E138" s="230" t="s">
        <v>80</v>
      </c>
      <c r="F138" s="27"/>
      <c r="G138" s="133"/>
      <c r="H138" s="133"/>
      <c r="I138" s="133"/>
      <c r="J138" s="133"/>
      <c r="K138" s="228">
        <f t="shared" si="7"/>
        <v>0</v>
      </c>
      <c r="L138" s="228">
        <f t="shared" si="8"/>
        <v>0</v>
      </c>
      <c r="M138" s="228">
        <v>380.1</v>
      </c>
      <c r="N138" s="228">
        <f>+M138*1000/(104.2*4*16*60)*T138</f>
        <v>4.7497300863723604</v>
      </c>
      <c r="O138" s="228"/>
      <c r="P138" s="228">
        <f t="shared" si="9"/>
        <v>0</v>
      </c>
      <c r="Q138" s="228"/>
      <c r="R138" s="19">
        <f t="shared" si="10"/>
        <v>0</v>
      </c>
      <c r="S138" s="228">
        <f t="shared" si="11"/>
        <v>0</v>
      </c>
      <c r="T138" s="20">
        <v>5</v>
      </c>
      <c r="U138" s="20"/>
      <c r="V138" s="235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226">
        <v>300387</v>
      </c>
      <c r="B139" s="223" t="s">
        <v>136</v>
      </c>
      <c r="C139" s="259" t="s">
        <v>137</v>
      </c>
      <c r="D139" s="260"/>
      <c r="E139" s="230" t="s">
        <v>57</v>
      </c>
      <c r="F139" s="27"/>
      <c r="G139" s="133"/>
      <c r="H139" s="133"/>
      <c r="I139" s="133"/>
      <c r="J139" s="133"/>
      <c r="K139" s="228">
        <f t="shared" si="7"/>
        <v>0</v>
      </c>
      <c r="L139" s="228">
        <f t="shared" si="8"/>
        <v>0</v>
      </c>
      <c r="M139" s="228">
        <v>352.29</v>
      </c>
      <c r="N139" s="228">
        <f>+M139*1000/(104.2*4*16*60)*T139</f>
        <v>4.4022162907869484</v>
      </c>
      <c r="O139" s="228"/>
      <c r="P139" s="228">
        <f t="shared" si="9"/>
        <v>0</v>
      </c>
      <c r="Q139" s="228"/>
      <c r="R139" s="19">
        <f t="shared" si="10"/>
        <v>0</v>
      </c>
      <c r="S139" s="228">
        <f t="shared" si="11"/>
        <v>0</v>
      </c>
      <c r="T139" s="20">
        <v>5</v>
      </c>
      <c r="U139" s="20"/>
      <c r="V139" s="235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226">
        <v>300388</v>
      </c>
      <c r="B140" s="223" t="s">
        <v>138</v>
      </c>
      <c r="C140" s="259" t="s">
        <v>137</v>
      </c>
      <c r="D140" s="260"/>
      <c r="E140" s="230" t="s">
        <v>117</v>
      </c>
      <c r="F140" s="27"/>
      <c r="G140" s="133"/>
      <c r="H140" s="133"/>
      <c r="I140" s="133"/>
      <c r="J140" s="133"/>
      <c r="K140" s="228">
        <f t="shared" si="7"/>
        <v>0</v>
      </c>
      <c r="L140" s="228">
        <f t="shared" si="8"/>
        <v>0</v>
      </c>
      <c r="M140" s="228">
        <v>352.29</v>
      </c>
      <c r="N140" s="228">
        <f>+M140*1000/(104.2*4*16*60)*T140</f>
        <v>4.4022162907869484</v>
      </c>
      <c r="O140" s="228"/>
      <c r="P140" s="228">
        <f t="shared" si="9"/>
        <v>0</v>
      </c>
      <c r="Q140" s="228"/>
      <c r="R140" s="19">
        <f t="shared" si="10"/>
        <v>0</v>
      </c>
      <c r="S140" s="228">
        <f t="shared" si="11"/>
        <v>0</v>
      </c>
      <c r="T140" s="20">
        <v>5</v>
      </c>
      <c r="U140" s="20"/>
      <c r="V140" s="235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226">
        <v>300123</v>
      </c>
      <c r="B141" s="223" t="s">
        <v>118</v>
      </c>
      <c r="C141" s="248" t="s">
        <v>139</v>
      </c>
      <c r="D141" s="248" t="s">
        <v>140</v>
      </c>
      <c r="E141" s="230" t="s">
        <v>135</v>
      </c>
      <c r="F141" s="27"/>
      <c r="G141" s="133"/>
      <c r="H141" s="133"/>
      <c r="I141" s="133"/>
      <c r="J141" s="133"/>
      <c r="K141" s="228">
        <f t="shared" si="7"/>
        <v>0</v>
      </c>
      <c r="L141" s="228">
        <f t="shared" si="8"/>
        <v>0</v>
      </c>
      <c r="M141" s="228">
        <v>557</v>
      </c>
      <c r="N141" s="228">
        <f>+M141*1000/(126.5*4*15*60)*T141</f>
        <v>6.1155028546332888</v>
      </c>
      <c r="O141" s="228"/>
      <c r="P141" s="228">
        <f t="shared" si="9"/>
        <v>0</v>
      </c>
      <c r="Q141" s="228"/>
      <c r="R141" s="19">
        <f t="shared" si="10"/>
        <v>0</v>
      </c>
      <c r="S141" s="228">
        <f t="shared" si="11"/>
        <v>0</v>
      </c>
      <c r="T141" s="20">
        <v>5</v>
      </c>
      <c r="U141" s="20"/>
      <c r="V141" s="235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226">
        <v>300270</v>
      </c>
      <c r="B142" s="223" t="s">
        <v>118</v>
      </c>
      <c r="C142" s="248" t="s">
        <v>141</v>
      </c>
      <c r="D142" s="248"/>
      <c r="E142" s="230" t="s">
        <v>142</v>
      </c>
      <c r="F142" s="27"/>
      <c r="G142" s="133"/>
      <c r="H142" s="133"/>
      <c r="I142" s="133"/>
      <c r="J142" s="133"/>
      <c r="K142" s="228">
        <f t="shared" si="7"/>
        <v>0</v>
      </c>
      <c r="L142" s="228">
        <f t="shared" si="8"/>
        <v>0</v>
      </c>
      <c r="M142" s="228">
        <v>485.7</v>
      </c>
      <c r="N142" s="228">
        <f>+M142*1000/(126.5*4*15*60)*T142</f>
        <v>4.2661396574440049</v>
      </c>
      <c r="O142" s="228"/>
      <c r="P142" s="228">
        <f t="shared" si="9"/>
        <v>0</v>
      </c>
      <c r="Q142" s="228"/>
      <c r="R142" s="19">
        <f t="shared" si="10"/>
        <v>0</v>
      </c>
      <c r="S142" s="228">
        <f t="shared" si="11"/>
        <v>0</v>
      </c>
      <c r="T142" s="20">
        <v>4</v>
      </c>
      <c r="U142" s="20"/>
      <c r="V142" s="235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226">
        <v>300336</v>
      </c>
      <c r="B143" s="223" t="s">
        <v>136</v>
      </c>
      <c r="C143" s="248" t="s">
        <v>143</v>
      </c>
      <c r="D143" s="248"/>
      <c r="E143" s="230" t="s">
        <v>84</v>
      </c>
      <c r="F143" s="27"/>
      <c r="G143" s="133"/>
      <c r="H143" s="133"/>
      <c r="I143" s="133"/>
      <c r="J143" s="133"/>
      <c r="K143" s="228">
        <f t="shared" si="7"/>
        <v>0</v>
      </c>
      <c r="L143" s="228">
        <f t="shared" si="8"/>
        <v>0</v>
      </c>
      <c r="M143" s="228">
        <v>411.4</v>
      </c>
      <c r="N143" s="228">
        <f>+M143*1000/(104.2*4*16*60)*T143</f>
        <v>2.0563419705694179</v>
      </c>
      <c r="O143" s="228"/>
      <c r="P143" s="228">
        <f t="shared" si="9"/>
        <v>0</v>
      </c>
      <c r="Q143" s="228"/>
      <c r="R143" s="19">
        <f t="shared" si="10"/>
        <v>0</v>
      </c>
      <c r="S143" s="228">
        <f t="shared" si="11"/>
        <v>0</v>
      </c>
      <c r="T143" s="20">
        <v>2</v>
      </c>
      <c r="U143" s="20"/>
      <c r="V143" s="235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226">
        <v>300337</v>
      </c>
      <c r="B144" s="223" t="s">
        <v>138</v>
      </c>
      <c r="C144" s="248" t="s">
        <v>143</v>
      </c>
      <c r="D144" s="248"/>
      <c r="E144" s="230" t="s">
        <v>49</v>
      </c>
      <c r="F144" s="27"/>
      <c r="G144" s="133"/>
      <c r="H144" s="133"/>
      <c r="I144" s="133"/>
      <c r="J144" s="133"/>
      <c r="K144" s="228">
        <f t="shared" si="7"/>
        <v>0</v>
      </c>
      <c r="L144" s="228">
        <f t="shared" si="8"/>
        <v>0</v>
      </c>
      <c r="M144" s="228">
        <v>411.4</v>
      </c>
      <c r="N144" s="228">
        <f>+M144*1000/(104.2*4*16*60)*T144</f>
        <v>2.0563419705694179</v>
      </c>
      <c r="O144" s="228"/>
      <c r="P144" s="228">
        <f t="shared" si="9"/>
        <v>0</v>
      </c>
      <c r="Q144" s="228"/>
      <c r="R144" s="19">
        <f t="shared" si="10"/>
        <v>0</v>
      </c>
      <c r="S144" s="228">
        <f t="shared" si="11"/>
        <v>0</v>
      </c>
      <c r="T144" s="20">
        <v>2</v>
      </c>
      <c r="U144" s="20"/>
      <c r="V144" s="235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226">
        <v>300338</v>
      </c>
      <c r="B145" s="223" t="s">
        <v>144</v>
      </c>
      <c r="C145" s="248" t="s">
        <v>143</v>
      </c>
      <c r="D145" s="248"/>
      <c r="E145" s="230" t="s">
        <v>85</v>
      </c>
      <c r="F145" s="27"/>
      <c r="G145" s="133"/>
      <c r="H145" s="133"/>
      <c r="I145" s="133"/>
      <c r="J145" s="133"/>
      <c r="K145" s="228">
        <f t="shared" si="7"/>
        <v>0</v>
      </c>
      <c r="L145" s="228">
        <f t="shared" si="8"/>
        <v>0</v>
      </c>
      <c r="M145" s="228">
        <v>411.4</v>
      </c>
      <c r="N145" s="228">
        <f>+M145*1000/(104.2*4*16*60)*T145</f>
        <v>2.0563419705694179</v>
      </c>
      <c r="O145" s="228"/>
      <c r="P145" s="228">
        <f t="shared" si="9"/>
        <v>0</v>
      </c>
      <c r="Q145" s="228"/>
      <c r="R145" s="19">
        <f t="shared" si="10"/>
        <v>0</v>
      </c>
      <c r="S145" s="228">
        <f t="shared" si="11"/>
        <v>0</v>
      </c>
      <c r="T145" s="20">
        <v>2</v>
      </c>
      <c r="U145" s="20"/>
      <c r="V145" s="235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226">
        <v>300309</v>
      </c>
      <c r="B146" s="223">
        <v>6504</v>
      </c>
      <c r="C146" s="248" t="s">
        <v>145</v>
      </c>
      <c r="D146" s="248"/>
      <c r="E146" s="230" t="s">
        <v>47</v>
      </c>
      <c r="F146" s="27"/>
      <c r="G146" s="133"/>
      <c r="H146" s="133"/>
      <c r="I146" s="133"/>
      <c r="J146" s="133"/>
      <c r="K146" s="228">
        <f t="shared" si="7"/>
        <v>0</v>
      </c>
      <c r="L146" s="228">
        <f t="shared" si="8"/>
        <v>0</v>
      </c>
      <c r="M146" s="228">
        <v>316.88</v>
      </c>
      <c r="N146" s="228">
        <f>+M146*1000/(75.2*4*16*60)*T146</f>
        <v>6.5841090425531918</v>
      </c>
      <c r="O146" s="228"/>
      <c r="P146" s="228">
        <f t="shared" si="9"/>
        <v>0</v>
      </c>
      <c r="Q146" s="228"/>
      <c r="R146" s="19">
        <f t="shared" si="10"/>
        <v>0</v>
      </c>
      <c r="S146" s="228">
        <f t="shared" si="11"/>
        <v>0</v>
      </c>
      <c r="T146" s="20">
        <v>6</v>
      </c>
      <c r="U146" s="20"/>
      <c r="V146" s="235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226">
        <v>300310</v>
      </c>
      <c r="B147" s="223">
        <v>6504</v>
      </c>
      <c r="C147" s="248" t="s">
        <v>145</v>
      </c>
      <c r="D147" s="248"/>
      <c r="E147" s="230" t="s">
        <v>146</v>
      </c>
      <c r="F147" s="27"/>
      <c r="G147" s="133"/>
      <c r="H147" s="133"/>
      <c r="I147" s="133"/>
      <c r="J147" s="133"/>
      <c r="K147" s="228">
        <f t="shared" si="7"/>
        <v>0</v>
      </c>
      <c r="L147" s="228">
        <f t="shared" si="8"/>
        <v>0</v>
      </c>
      <c r="M147" s="228">
        <v>316.88</v>
      </c>
      <c r="N147" s="228">
        <f>+M147*1000/(75.2*4*16*60)*T147</f>
        <v>6.5841090425531918</v>
      </c>
      <c r="O147" s="228"/>
      <c r="P147" s="228">
        <f t="shared" si="9"/>
        <v>0</v>
      </c>
      <c r="Q147" s="228"/>
      <c r="R147" s="19">
        <f t="shared" si="10"/>
        <v>0</v>
      </c>
      <c r="S147" s="228">
        <f t="shared" si="11"/>
        <v>0</v>
      </c>
      <c r="T147" s="20">
        <v>6</v>
      </c>
      <c r="U147" s="20"/>
      <c r="V147" s="235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226">
        <v>300312</v>
      </c>
      <c r="B148" s="223">
        <v>6504</v>
      </c>
      <c r="C148" s="248" t="s">
        <v>145</v>
      </c>
      <c r="D148" s="248"/>
      <c r="E148" s="230" t="s">
        <v>147</v>
      </c>
      <c r="F148" s="27"/>
      <c r="G148" s="133"/>
      <c r="H148" s="133"/>
      <c r="I148" s="133"/>
      <c r="J148" s="133"/>
      <c r="K148" s="228">
        <f t="shared" si="7"/>
        <v>0</v>
      </c>
      <c r="L148" s="228">
        <f t="shared" si="8"/>
        <v>0</v>
      </c>
      <c r="M148" s="228">
        <v>316.88</v>
      </c>
      <c r="N148" s="228">
        <f>+M148*1000/(75.2*4*16*60)*T148</f>
        <v>6.5841090425531918</v>
      </c>
      <c r="O148" s="228"/>
      <c r="P148" s="228">
        <f t="shared" si="9"/>
        <v>0</v>
      </c>
      <c r="Q148" s="228"/>
      <c r="R148" s="19">
        <f t="shared" si="10"/>
        <v>0</v>
      </c>
      <c r="S148" s="228">
        <f t="shared" si="11"/>
        <v>0</v>
      </c>
      <c r="T148" s="20">
        <v>6</v>
      </c>
      <c r="U148" s="20"/>
      <c r="V148" s="235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226">
        <v>300311</v>
      </c>
      <c r="B149" s="223">
        <v>6504</v>
      </c>
      <c r="C149" s="259" t="s">
        <v>145</v>
      </c>
      <c r="D149" s="260"/>
      <c r="E149" s="230" t="s">
        <v>74</v>
      </c>
      <c r="F149" s="27"/>
      <c r="G149" s="133"/>
      <c r="H149" s="133"/>
      <c r="I149" s="133"/>
      <c r="J149" s="133"/>
      <c r="K149" s="228">
        <f t="shared" si="7"/>
        <v>0</v>
      </c>
      <c r="L149" s="228">
        <f t="shared" si="8"/>
        <v>0</v>
      </c>
      <c r="M149" s="228">
        <v>316.88</v>
      </c>
      <c r="N149" s="228">
        <f>+M149*1000/(75.2*4*16*60)*T149</f>
        <v>6.5841090425531918</v>
      </c>
      <c r="O149" s="228"/>
      <c r="P149" s="228">
        <f t="shared" si="9"/>
        <v>0</v>
      </c>
      <c r="Q149" s="228"/>
      <c r="R149" s="19">
        <f t="shared" si="10"/>
        <v>0</v>
      </c>
      <c r="S149" s="228">
        <f t="shared" si="11"/>
        <v>0</v>
      </c>
      <c r="T149" s="20">
        <v>6</v>
      </c>
      <c r="U149" s="20"/>
      <c r="V149" s="235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226">
        <v>300399</v>
      </c>
      <c r="B150" s="223">
        <v>18501</v>
      </c>
      <c r="C150" s="259" t="s">
        <v>148</v>
      </c>
      <c r="D150" s="260"/>
      <c r="E150" s="230" t="s">
        <v>41</v>
      </c>
      <c r="F150" s="27"/>
      <c r="G150" s="133"/>
      <c r="H150" s="133"/>
      <c r="I150" s="133"/>
      <c r="J150" s="133"/>
      <c r="K150" s="228">
        <f t="shared" si="7"/>
        <v>0</v>
      </c>
      <c r="L150" s="228">
        <f t="shared" si="8"/>
        <v>0</v>
      </c>
      <c r="M150" s="228">
        <v>311.2</v>
      </c>
      <c r="N150" s="228">
        <f>+M150*1000/(100*4*16*60)*T150</f>
        <v>4.8624999999999998</v>
      </c>
      <c r="O150" s="228"/>
      <c r="P150" s="228">
        <f t="shared" si="9"/>
        <v>0</v>
      </c>
      <c r="Q150" s="228"/>
      <c r="R150" s="19">
        <f t="shared" si="10"/>
        <v>0</v>
      </c>
      <c r="S150" s="228">
        <f t="shared" si="11"/>
        <v>0</v>
      </c>
      <c r="T150" s="20">
        <v>6</v>
      </c>
      <c r="U150" s="20"/>
      <c r="V150" s="235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226">
        <v>300400</v>
      </c>
      <c r="B151" s="223">
        <v>18501</v>
      </c>
      <c r="C151" s="259" t="s">
        <v>148</v>
      </c>
      <c r="D151" s="260"/>
      <c r="E151" s="230" t="s">
        <v>66</v>
      </c>
      <c r="F151" s="27"/>
      <c r="G151" s="133"/>
      <c r="H151" s="133"/>
      <c r="I151" s="133"/>
      <c r="J151" s="133"/>
      <c r="K151" s="228">
        <f t="shared" si="7"/>
        <v>0</v>
      </c>
      <c r="L151" s="228">
        <f t="shared" si="8"/>
        <v>0</v>
      </c>
      <c r="M151" s="228">
        <v>311.2</v>
      </c>
      <c r="N151" s="228">
        <f>+M151*1000/(100*4*16*60)*T151</f>
        <v>4.8624999999999998</v>
      </c>
      <c r="O151" s="228"/>
      <c r="P151" s="228">
        <f t="shared" si="9"/>
        <v>0</v>
      </c>
      <c r="Q151" s="228"/>
      <c r="R151" s="19">
        <f t="shared" si="10"/>
        <v>0</v>
      </c>
      <c r="S151" s="228">
        <f t="shared" si="11"/>
        <v>0</v>
      </c>
      <c r="T151" s="20">
        <v>6</v>
      </c>
      <c r="U151" s="20"/>
      <c r="V151" s="235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226">
        <v>300401</v>
      </c>
      <c r="B152" s="223">
        <v>18501</v>
      </c>
      <c r="C152" s="259" t="s">
        <v>148</v>
      </c>
      <c r="D152" s="260"/>
      <c r="E152" s="230" t="s">
        <v>149</v>
      </c>
      <c r="F152" s="27"/>
      <c r="G152" s="133"/>
      <c r="H152" s="133"/>
      <c r="I152" s="133"/>
      <c r="J152" s="133"/>
      <c r="K152" s="228">
        <f t="shared" si="7"/>
        <v>0</v>
      </c>
      <c r="L152" s="228">
        <f t="shared" si="8"/>
        <v>0</v>
      </c>
      <c r="M152" s="228">
        <v>311.2</v>
      </c>
      <c r="N152" s="228">
        <f>+M152*1000/(100*4*16*60)*T152</f>
        <v>4.8624999999999998</v>
      </c>
      <c r="O152" s="228"/>
      <c r="P152" s="228">
        <f t="shared" si="9"/>
        <v>0</v>
      </c>
      <c r="Q152" s="228"/>
      <c r="R152" s="19">
        <f t="shared" si="10"/>
        <v>0</v>
      </c>
      <c r="S152" s="228">
        <f t="shared" si="11"/>
        <v>0</v>
      </c>
      <c r="T152" s="20">
        <v>6</v>
      </c>
      <c r="U152" s="20"/>
      <c r="V152" s="235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226">
        <v>300402</v>
      </c>
      <c r="B153" s="223">
        <v>18501</v>
      </c>
      <c r="C153" s="259" t="s">
        <v>150</v>
      </c>
      <c r="D153" s="260"/>
      <c r="E153" s="230" t="s">
        <v>151</v>
      </c>
      <c r="F153" s="27"/>
      <c r="G153" s="133"/>
      <c r="H153" s="133"/>
      <c r="I153" s="133"/>
      <c r="J153" s="133"/>
      <c r="K153" s="228">
        <f t="shared" si="7"/>
        <v>0</v>
      </c>
      <c r="L153" s="228">
        <f t="shared" si="8"/>
        <v>0</v>
      </c>
      <c r="M153" s="228">
        <v>465.3</v>
      </c>
      <c r="N153" s="228">
        <f>+M153*1000/(137*4*16*60)*T153</f>
        <v>5.3067974452554747</v>
      </c>
      <c r="O153" s="228"/>
      <c r="P153" s="228">
        <f t="shared" si="9"/>
        <v>0</v>
      </c>
      <c r="Q153" s="228"/>
      <c r="R153" s="19">
        <f t="shared" si="10"/>
        <v>0</v>
      </c>
      <c r="S153" s="228">
        <f t="shared" si="11"/>
        <v>0</v>
      </c>
      <c r="T153" s="20">
        <v>6</v>
      </c>
      <c r="U153" s="20"/>
      <c r="V153" s="235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226">
        <v>300403</v>
      </c>
      <c r="B154" s="223">
        <v>18501</v>
      </c>
      <c r="C154" s="259" t="s">
        <v>150</v>
      </c>
      <c r="D154" s="260"/>
      <c r="E154" s="230" t="s">
        <v>152</v>
      </c>
      <c r="F154" s="27"/>
      <c r="G154" s="133"/>
      <c r="H154" s="133"/>
      <c r="I154" s="133"/>
      <c r="J154" s="133"/>
      <c r="K154" s="228">
        <f t="shared" ref="K154:K190" si="15">G154*M154</f>
        <v>0</v>
      </c>
      <c r="L154" s="228">
        <f t="shared" ref="L154:L190" si="16">I154*M154</f>
        <v>0</v>
      </c>
      <c r="M154" s="228">
        <v>465.3</v>
      </c>
      <c r="N154" s="228">
        <f>+M154*1000/(137*4*16*60)*T154</f>
        <v>5.3067974452554747</v>
      </c>
      <c r="O154" s="228"/>
      <c r="P154" s="228">
        <f t="shared" ref="P154:P190" si="17">N154*I154+O154*U154</f>
        <v>0</v>
      </c>
      <c r="Q154" s="228"/>
      <c r="R154" s="19">
        <f t="shared" ref="R154:R190" si="18">Q154*U154</f>
        <v>0</v>
      </c>
      <c r="S154" s="228">
        <f t="shared" ref="S154:S190" si="19">R154-P154</f>
        <v>0</v>
      </c>
      <c r="T154" s="20">
        <v>6</v>
      </c>
      <c r="U154" s="20"/>
      <c r="V154" s="235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226">
        <v>300404</v>
      </c>
      <c r="B155" s="223">
        <v>18501</v>
      </c>
      <c r="C155" s="259" t="s">
        <v>150</v>
      </c>
      <c r="D155" s="260"/>
      <c r="E155" s="230" t="s">
        <v>70</v>
      </c>
      <c r="F155" s="27"/>
      <c r="G155" s="133"/>
      <c r="H155" s="133"/>
      <c r="I155" s="133"/>
      <c r="J155" s="133"/>
      <c r="K155" s="228">
        <f t="shared" si="15"/>
        <v>0</v>
      </c>
      <c r="L155" s="228">
        <f t="shared" si="16"/>
        <v>0</v>
      </c>
      <c r="M155" s="228">
        <v>465.3</v>
      </c>
      <c r="N155" s="228">
        <f>+M155*1000/(137*4*16*60)*T155</f>
        <v>5.3067974452554747</v>
      </c>
      <c r="O155" s="228"/>
      <c r="P155" s="228">
        <f t="shared" si="17"/>
        <v>0</v>
      </c>
      <c r="Q155" s="228"/>
      <c r="R155" s="19">
        <f t="shared" si="18"/>
        <v>0</v>
      </c>
      <c r="S155" s="228">
        <f t="shared" si="19"/>
        <v>0</v>
      </c>
      <c r="T155" s="20">
        <v>6</v>
      </c>
      <c r="U155" s="20"/>
      <c r="V155" s="235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226">
        <v>300405</v>
      </c>
      <c r="B156" s="223">
        <v>18501</v>
      </c>
      <c r="C156" s="259" t="s">
        <v>150</v>
      </c>
      <c r="D156" s="260"/>
      <c r="E156" s="230" t="s">
        <v>35</v>
      </c>
      <c r="F156" s="27"/>
      <c r="G156" s="133"/>
      <c r="H156" s="133"/>
      <c r="I156" s="133"/>
      <c r="J156" s="133"/>
      <c r="K156" s="228">
        <f t="shared" si="15"/>
        <v>0</v>
      </c>
      <c r="L156" s="228">
        <f t="shared" si="16"/>
        <v>0</v>
      </c>
      <c r="M156" s="228">
        <v>465.3</v>
      </c>
      <c r="N156" s="228">
        <f>+M156*1000/(137*4*16*60)*T156</f>
        <v>5.3067974452554747</v>
      </c>
      <c r="O156" s="228"/>
      <c r="P156" s="228">
        <f t="shared" si="17"/>
        <v>0</v>
      </c>
      <c r="Q156" s="228"/>
      <c r="R156" s="19">
        <f t="shared" si="18"/>
        <v>0</v>
      </c>
      <c r="S156" s="228">
        <f t="shared" si="19"/>
        <v>0</v>
      </c>
      <c r="T156" s="20">
        <v>6</v>
      </c>
      <c r="U156" s="20"/>
      <c r="V156" s="235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226">
        <v>300372</v>
      </c>
      <c r="B157" s="223">
        <v>18501</v>
      </c>
      <c r="C157" s="259" t="s">
        <v>153</v>
      </c>
      <c r="D157" s="260"/>
      <c r="E157" s="230" t="s">
        <v>47</v>
      </c>
      <c r="F157" s="27"/>
      <c r="G157" s="133"/>
      <c r="H157" s="133"/>
      <c r="I157" s="133"/>
      <c r="J157" s="133"/>
      <c r="K157" s="228">
        <f t="shared" si="15"/>
        <v>0</v>
      </c>
      <c r="L157" s="228">
        <f t="shared" si="16"/>
        <v>0</v>
      </c>
      <c r="M157" s="228">
        <v>420.58</v>
      </c>
      <c r="N157" s="228">
        <f>+M157*1000/(140*4*16*60)*T157</f>
        <v>4.6939732142857142</v>
      </c>
      <c r="O157" s="228"/>
      <c r="P157" s="228">
        <f t="shared" si="17"/>
        <v>0</v>
      </c>
      <c r="Q157" s="228"/>
      <c r="R157" s="19">
        <f t="shared" si="18"/>
        <v>0</v>
      </c>
      <c r="S157" s="228">
        <f t="shared" si="19"/>
        <v>0</v>
      </c>
      <c r="T157" s="20">
        <v>6</v>
      </c>
      <c r="U157" s="20"/>
      <c r="V157" s="235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226">
        <v>300373</v>
      </c>
      <c r="B158" s="223">
        <v>18501</v>
      </c>
      <c r="C158" s="259" t="s">
        <v>153</v>
      </c>
      <c r="D158" s="260"/>
      <c r="E158" s="230" t="s">
        <v>146</v>
      </c>
      <c r="F158" s="27"/>
      <c r="G158" s="133"/>
      <c r="H158" s="133"/>
      <c r="I158" s="133"/>
      <c r="J158" s="133"/>
      <c r="K158" s="228">
        <f t="shared" si="15"/>
        <v>0</v>
      </c>
      <c r="L158" s="228">
        <f t="shared" si="16"/>
        <v>0</v>
      </c>
      <c r="M158" s="228">
        <v>420.58</v>
      </c>
      <c r="N158" s="228">
        <f>+M158*1000/(140*4*16*60)*T158</f>
        <v>4.6939732142857142</v>
      </c>
      <c r="O158" s="228"/>
      <c r="P158" s="228">
        <f t="shared" si="17"/>
        <v>0</v>
      </c>
      <c r="Q158" s="228"/>
      <c r="R158" s="19">
        <f t="shared" si="18"/>
        <v>0</v>
      </c>
      <c r="S158" s="228">
        <f t="shared" si="19"/>
        <v>0</v>
      </c>
      <c r="T158" s="20">
        <v>6</v>
      </c>
      <c r="U158" s="20"/>
      <c r="V158" s="235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226">
        <v>300374</v>
      </c>
      <c r="B159" s="223">
        <v>18501</v>
      </c>
      <c r="C159" s="259" t="s">
        <v>153</v>
      </c>
      <c r="D159" s="260"/>
      <c r="E159" s="230" t="s">
        <v>147</v>
      </c>
      <c r="F159" s="27"/>
      <c r="G159" s="133"/>
      <c r="H159" s="133"/>
      <c r="I159" s="133"/>
      <c r="J159" s="133"/>
      <c r="K159" s="228">
        <f t="shared" si="15"/>
        <v>0</v>
      </c>
      <c r="L159" s="228">
        <f t="shared" si="16"/>
        <v>0</v>
      </c>
      <c r="M159" s="228">
        <v>420.58</v>
      </c>
      <c r="N159" s="228">
        <f>+M159*1000/(140*4*16*60)*T159</f>
        <v>4.6939732142857142</v>
      </c>
      <c r="O159" s="228"/>
      <c r="P159" s="228">
        <f t="shared" si="17"/>
        <v>0</v>
      </c>
      <c r="Q159" s="228"/>
      <c r="R159" s="19">
        <f t="shared" si="18"/>
        <v>0</v>
      </c>
      <c r="S159" s="228">
        <f t="shared" si="19"/>
        <v>0</v>
      </c>
      <c r="T159" s="20">
        <v>6</v>
      </c>
      <c r="U159" s="20"/>
      <c r="V159" s="235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226">
        <v>300375</v>
      </c>
      <c r="B160" s="223">
        <v>18501</v>
      </c>
      <c r="C160" s="259" t="s">
        <v>153</v>
      </c>
      <c r="D160" s="260"/>
      <c r="E160" s="230" t="s">
        <v>74</v>
      </c>
      <c r="F160" s="27"/>
      <c r="G160" s="133"/>
      <c r="H160" s="133"/>
      <c r="I160" s="133"/>
      <c r="J160" s="133"/>
      <c r="K160" s="228">
        <f t="shared" si="15"/>
        <v>0</v>
      </c>
      <c r="L160" s="228">
        <f t="shared" si="16"/>
        <v>0</v>
      </c>
      <c r="M160" s="228">
        <v>420.58</v>
      </c>
      <c r="N160" s="228">
        <f>+M160*1000/(140*4*16*60)*T160</f>
        <v>4.6939732142857142</v>
      </c>
      <c r="O160" s="228"/>
      <c r="P160" s="228">
        <f t="shared" si="17"/>
        <v>0</v>
      </c>
      <c r="Q160" s="228"/>
      <c r="R160" s="19">
        <f t="shared" si="18"/>
        <v>0</v>
      </c>
      <c r="S160" s="228">
        <f t="shared" si="19"/>
        <v>0</v>
      </c>
      <c r="T160" s="20">
        <v>6</v>
      </c>
      <c r="U160" s="20"/>
      <c r="V160" s="235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226">
        <v>300341</v>
      </c>
      <c r="B161" s="223">
        <v>18501</v>
      </c>
      <c r="C161" s="266" t="s">
        <v>154</v>
      </c>
      <c r="D161" s="267"/>
      <c r="E161" s="230" t="s">
        <v>39</v>
      </c>
      <c r="F161" s="27"/>
      <c r="G161" s="133"/>
      <c r="H161" s="133"/>
      <c r="I161" s="133"/>
      <c r="J161" s="133"/>
      <c r="K161" s="228">
        <f t="shared" si="15"/>
        <v>0</v>
      </c>
      <c r="L161" s="228">
        <f t="shared" si="16"/>
        <v>0</v>
      </c>
      <c r="M161" s="228">
        <v>439.3</v>
      </c>
      <c r="N161" s="228">
        <f t="shared" ref="N161:N167" si="20">+M161*1000/(169.7*4*13*60)*T161</f>
        <v>4.1485351223123761</v>
      </c>
      <c r="O161" s="228"/>
      <c r="P161" s="228">
        <f t="shared" si="17"/>
        <v>0</v>
      </c>
      <c r="Q161" s="228"/>
      <c r="R161" s="19">
        <f t="shared" si="18"/>
        <v>0</v>
      </c>
      <c r="S161" s="228">
        <f t="shared" si="19"/>
        <v>0</v>
      </c>
      <c r="T161" s="20">
        <v>5</v>
      </c>
      <c r="U161" s="20"/>
      <c r="V161" s="235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226">
        <v>300342</v>
      </c>
      <c r="B162" s="223">
        <v>18501</v>
      </c>
      <c r="C162" s="266" t="s">
        <v>154</v>
      </c>
      <c r="D162" s="267"/>
      <c r="E162" s="230" t="s">
        <v>80</v>
      </c>
      <c r="F162" s="27"/>
      <c r="G162" s="133"/>
      <c r="H162" s="133"/>
      <c r="I162" s="133"/>
      <c r="J162" s="133"/>
      <c r="K162" s="228">
        <f t="shared" si="15"/>
        <v>0</v>
      </c>
      <c r="L162" s="228">
        <f t="shared" si="16"/>
        <v>0</v>
      </c>
      <c r="M162" s="228">
        <v>439.3</v>
      </c>
      <c r="N162" s="228">
        <f t="shared" si="20"/>
        <v>4.1485351223123761</v>
      </c>
      <c r="O162" s="228"/>
      <c r="P162" s="228">
        <f t="shared" si="17"/>
        <v>0</v>
      </c>
      <c r="Q162" s="228"/>
      <c r="R162" s="19">
        <f t="shared" si="18"/>
        <v>0</v>
      </c>
      <c r="S162" s="228">
        <f t="shared" si="19"/>
        <v>0</v>
      </c>
      <c r="T162" s="20">
        <v>5</v>
      </c>
      <c r="U162" s="20"/>
      <c r="V162" s="235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226">
        <v>300343</v>
      </c>
      <c r="B163" s="223">
        <v>18501</v>
      </c>
      <c r="C163" s="266" t="s">
        <v>154</v>
      </c>
      <c r="D163" s="267"/>
      <c r="E163" s="230" t="s">
        <v>35</v>
      </c>
      <c r="F163" s="27"/>
      <c r="G163" s="133"/>
      <c r="H163" s="133"/>
      <c r="I163" s="133"/>
      <c r="J163" s="133"/>
      <c r="K163" s="228">
        <f t="shared" si="15"/>
        <v>0</v>
      </c>
      <c r="L163" s="228">
        <f t="shared" si="16"/>
        <v>0</v>
      </c>
      <c r="M163" s="228">
        <v>455.4</v>
      </c>
      <c r="N163" s="228">
        <f t="shared" si="20"/>
        <v>4.3005756765332483</v>
      </c>
      <c r="O163" s="228"/>
      <c r="P163" s="228">
        <f t="shared" si="17"/>
        <v>0</v>
      </c>
      <c r="Q163" s="228"/>
      <c r="R163" s="19">
        <f t="shared" si="18"/>
        <v>0</v>
      </c>
      <c r="S163" s="228">
        <f t="shared" si="19"/>
        <v>0</v>
      </c>
      <c r="T163" s="20">
        <v>5</v>
      </c>
      <c r="U163" s="20"/>
      <c r="V163" s="235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226">
        <v>300344</v>
      </c>
      <c r="B164" s="223">
        <v>18501</v>
      </c>
      <c r="C164" s="266" t="s">
        <v>154</v>
      </c>
      <c r="D164" s="267"/>
      <c r="E164" s="230" t="s">
        <v>40</v>
      </c>
      <c r="F164" s="27"/>
      <c r="G164" s="133"/>
      <c r="H164" s="133"/>
      <c r="I164" s="133"/>
      <c r="J164" s="133"/>
      <c r="K164" s="228">
        <f t="shared" si="15"/>
        <v>0</v>
      </c>
      <c r="L164" s="228">
        <f t="shared" si="16"/>
        <v>0</v>
      </c>
      <c r="M164" s="228">
        <v>455.4</v>
      </c>
      <c r="N164" s="228">
        <f t="shared" si="20"/>
        <v>4.3005756765332483</v>
      </c>
      <c r="O164" s="228"/>
      <c r="P164" s="228">
        <f t="shared" si="17"/>
        <v>0</v>
      </c>
      <c r="Q164" s="228"/>
      <c r="R164" s="19">
        <f t="shared" si="18"/>
        <v>0</v>
      </c>
      <c r="S164" s="228">
        <f t="shared" si="19"/>
        <v>0</v>
      </c>
      <c r="T164" s="20">
        <v>5</v>
      </c>
      <c r="U164" s="20"/>
      <c r="V164" s="235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226">
        <v>300396</v>
      </c>
      <c r="B165" s="223">
        <v>18501</v>
      </c>
      <c r="C165" s="266" t="s">
        <v>155</v>
      </c>
      <c r="D165" s="267"/>
      <c r="E165" s="230" t="s">
        <v>41</v>
      </c>
      <c r="F165" s="27"/>
      <c r="G165" s="133"/>
      <c r="H165" s="133"/>
      <c r="I165" s="133"/>
      <c r="J165" s="133"/>
      <c r="K165" s="228">
        <f t="shared" si="15"/>
        <v>0</v>
      </c>
      <c r="L165" s="228">
        <f t="shared" si="16"/>
        <v>0</v>
      </c>
      <c r="M165" s="228">
        <v>417.1</v>
      </c>
      <c r="N165" s="228">
        <f t="shared" si="20"/>
        <v>3.9388891407158937</v>
      </c>
      <c r="O165" s="228"/>
      <c r="P165" s="228">
        <f t="shared" si="17"/>
        <v>0</v>
      </c>
      <c r="Q165" s="228"/>
      <c r="R165" s="19">
        <f t="shared" si="18"/>
        <v>0</v>
      </c>
      <c r="S165" s="228">
        <f t="shared" si="19"/>
        <v>0</v>
      </c>
      <c r="T165" s="20">
        <v>5</v>
      </c>
      <c r="U165" s="20"/>
      <c r="V165" s="235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226">
        <v>300397</v>
      </c>
      <c r="B166" s="223">
        <v>18501</v>
      </c>
      <c r="C166" s="266" t="s">
        <v>155</v>
      </c>
      <c r="D166" s="267"/>
      <c r="E166" s="230" t="s">
        <v>66</v>
      </c>
      <c r="F166" s="27"/>
      <c r="G166" s="133"/>
      <c r="H166" s="133"/>
      <c r="I166" s="133"/>
      <c r="J166" s="133"/>
      <c r="K166" s="228">
        <f t="shared" si="15"/>
        <v>0</v>
      </c>
      <c r="L166" s="228">
        <f t="shared" si="16"/>
        <v>0</v>
      </c>
      <c r="M166" s="228">
        <v>417.1</v>
      </c>
      <c r="N166" s="228">
        <f t="shared" si="20"/>
        <v>3.9388891407158937</v>
      </c>
      <c r="O166" s="228"/>
      <c r="P166" s="228">
        <f t="shared" si="17"/>
        <v>0</v>
      </c>
      <c r="Q166" s="228"/>
      <c r="R166" s="19">
        <f t="shared" si="18"/>
        <v>0</v>
      </c>
      <c r="S166" s="228">
        <f t="shared" si="19"/>
        <v>0</v>
      </c>
      <c r="T166" s="20">
        <v>5</v>
      </c>
      <c r="U166" s="20"/>
      <c r="V166" s="235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226">
        <v>300398</v>
      </c>
      <c r="B167" s="223">
        <v>18501</v>
      </c>
      <c r="C167" s="266" t="s">
        <v>155</v>
      </c>
      <c r="D167" s="267"/>
      <c r="E167" s="230" t="s">
        <v>149</v>
      </c>
      <c r="F167" s="27"/>
      <c r="G167" s="133"/>
      <c r="H167" s="133"/>
      <c r="I167" s="133"/>
      <c r="J167" s="133"/>
      <c r="K167" s="228">
        <f t="shared" si="15"/>
        <v>0</v>
      </c>
      <c r="L167" s="228">
        <f t="shared" si="16"/>
        <v>0</v>
      </c>
      <c r="M167" s="228">
        <v>417.1</v>
      </c>
      <c r="N167" s="228">
        <f t="shared" si="20"/>
        <v>3.9388891407158937</v>
      </c>
      <c r="O167" s="228"/>
      <c r="P167" s="228">
        <f t="shared" si="17"/>
        <v>0</v>
      </c>
      <c r="Q167" s="228"/>
      <c r="R167" s="19">
        <f t="shared" si="18"/>
        <v>0</v>
      </c>
      <c r="S167" s="228">
        <f t="shared" si="19"/>
        <v>0</v>
      </c>
      <c r="T167" s="20">
        <v>5</v>
      </c>
      <c r="U167" s="20"/>
      <c r="V167" s="235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226">
        <v>300271</v>
      </c>
      <c r="B168" s="223">
        <v>18501</v>
      </c>
      <c r="C168" s="248" t="s">
        <v>156</v>
      </c>
      <c r="D168" s="248"/>
      <c r="E168" s="230" t="s">
        <v>142</v>
      </c>
      <c r="F168" s="27"/>
      <c r="G168" s="133"/>
      <c r="H168" s="133"/>
      <c r="I168" s="133"/>
      <c r="J168" s="133"/>
      <c r="K168" s="228">
        <f t="shared" si="15"/>
        <v>0</v>
      </c>
      <c r="L168" s="228">
        <f t="shared" si="16"/>
        <v>0</v>
      </c>
      <c r="M168" s="228">
        <v>580.1</v>
      </c>
      <c r="N168" s="228">
        <f>+M168*1000/(202*4*13*60)*T168</f>
        <v>3.6817720233561819</v>
      </c>
      <c r="O168" s="228"/>
      <c r="P168" s="228">
        <f t="shared" si="17"/>
        <v>0</v>
      </c>
      <c r="Q168" s="228"/>
      <c r="R168" s="19">
        <f t="shared" si="18"/>
        <v>0</v>
      </c>
      <c r="S168" s="228">
        <f t="shared" si="19"/>
        <v>0</v>
      </c>
      <c r="T168" s="20">
        <v>4</v>
      </c>
      <c r="U168" s="20"/>
      <c r="V168" s="235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226">
        <v>300009</v>
      </c>
      <c r="B169" s="223">
        <v>18501</v>
      </c>
      <c r="C169" s="248" t="s">
        <v>157</v>
      </c>
      <c r="D169" s="248" t="s">
        <v>158</v>
      </c>
      <c r="E169" s="230" t="s">
        <v>135</v>
      </c>
      <c r="F169" s="27"/>
      <c r="G169" s="133">
        <v>11</v>
      </c>
      <c r="H169" s="133"/>
      <c r="I169" s="133">
        <v>11</v>
      </c>
      <c r="J169" s="133"/>
      <c r="K169" s="228">
        <f t="shared" si="15"/>
        <v>5728.7999999999993</v>
      </c>
      <c r="L169" s="228">
        <f t="shared" si="16"/>
        <v>5728.7999999999993</v>
      </c>
      <c r="M169" s="228">
        <v>520.79999999999995</v>
      </c>
      <c r="N169" s="228">
        <f>+M169*1000/(188*4*13*60)*T169</f>
        <v>5.3273322422258591</v>
      </c>
      <c r="O169" s="228"/>
      <c r="P169" s="228">
        <f t="shared" si="17"/>
        <v>58.600654664484452</v>
      </c>
      <c r="Q169" s="228">
        <v>11</v>
      </c>
      <c r="R169" s="19">
        <f t="shared" si="18"/>
        <v>88</v>
      </c>
      <c r="S169" s="228">
        <f t="shared" si="19"/>
        <v>29.399345335515548</v>
      </c>
      <c r="T169" s="20">
        <v>6</v>
      </c>
      <c r="U169" s="20">
        <v>8</v>
      </c>
      <c r="V169" s="235">
        <f t="array" ref="V169">IF(ISERROR(L169/K169),"",L169/K169)</f>
        <v>1</v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226">
        <v>300010</v>
      </c>
      <c r="B170" s="223">
        <v>18501</v>
      </c>
      <c r="C170" s="248" t="s">
        <v>157</v>
      </c>
      <c r="D170" s="248" t="s">
        <v>158</v>
      </c>
      <c r="E170" s="230" t="s">
        <v>80</v>
      </c>
      <c r="F170" s="27"/>
      <c r="G170" s="133"/>
      <c r="H170" s="133"/>
      <c r="I170" s="133"/>
      <c r="J170" s="133"/>
      <c r="K170" s="228">
        <f t="shared" si="15"/>
        <v>0</v>
      </c>
      <c r="L170" s="228">
        <f t="shared" si="16"/>
        <v>0</v>
      </c>
      <c r="M170" s="228">
        <v>530.9</v>
      </c>
      <c r="N170" s="228">
        <f>+M170*1000/(188*4*13*60)*T170</f>
        <v>4.5255387343153304</v>
      </c>
      <c r="O170" s="228"/>
      <c r="P170" s="228">
        <f t="shared" si="17"/>
        <v>0</v>
      </c>
      <c r="Q170" s="228"/>
      <c r="R170" s="19">
        <f t="shared" si="18"/>
        <v>0</v>
      </c>
      <c r="S170" s="228">
        <f t="shared" si="19"/>
        <v>0</v>
      </c>
      <c r="T170" s="20">
        <v>5</v>
      </c>
      <c r="U170" s="20"/>
      <c r="V170" s="235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226">
        <v>300305</v>
      </c>
      <c r="B171" s="223">
        <v>18501</v>
      </c>
      <c r="C171" s="248" t="s">
        <v>159</v>
      </c>
      <c r="D171" s="248" t="s">
        <v>160</v>
      </c>
      <c r="E171" s="230" t="s">
        <v>57</v>
      </c>
      <c r="F171" s="27"/>
      <c r="G171" s="133"/>
      <c r="H171" s="133"/>
      <c r="I171" s="133"/>
      <c r="J171" s="133"/>
      <c r="K171" s="228">
        <f t="shared" si="15"/>
        <v>0</v>
      </c>
      <c r="L171" s="228">
        <f t="shared" si="16"/>
        <v>0</v>
      </c>
      <c r="M171" s="228">
        <v>530.20000000000005</v>
      </c>
      <c r="N171" s="228">
        <f t="shared" ref="N171:N176" si="21">+M171*1000/(202*4*13*60)*T171</f>
        <v>4.2063340949479562</v>
      </c>
      <c r="O171" s="228"/>
      <c r="P171" s="228">
        <f t="shared" si="17"/>
        <v>0</v>
      </c>
      <c r="Q171" s="228"/>
      <c r="R171" s="19">
        <f t="shared" si="18"/>
        <v>0</v>
      </c>
      <c r="S171" s="228">
        <f t="shared" si="19"/>
        <v>0</v>
      </c>
      <c r="T171" s="20">
        <v>5</v>
      </c>
      <c r="U171" s="20"/>
      <c r="V171" s="235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226">
        <v>300306</v>
      </c>
      <c r="B172" s="223">
        <v>18501</v>
      </c>
      <c r="C172" s="248" t="s">
        <v>159</v>
      </c>
      <c r="D172" s="248" t="s">
        <v>160</v>
      </c>
      <c r="E172" s="230" t="s">
        <v>117</v>
      </c>
      <c r="F172" s="27"/>
      <c r="G172" s="133"/>
      <c r="H172" s="133"/>
      <c r="I172" s="133"/>
      <c r="J172" s="133"/>
      <c r="K172" s="228">
        <f t="shared" si="15"/>
        <v>0</v>
      </c>
      <c r="L172" s="228">
        <f t="shared" si="16"/>
        <v>0</v>
      </c>
      <c r="M172" s="228">
        <v>538.79999999999995</v>
      </c>
      <c r="N172" s="228">
        <f t="shared" si="21"/>
        <v>4.2745620715917747</v>
      </c>
      <c r="O172" s="228"/>
      <c r="P172" s="228">
        <f t="shared" si="17"/>
        <v>0</v>
      </c>
      <c r="Q172" s="228"/>
      <c r="R172" s="19">
        <f t="shared" si="18"/>
        <v>0</v>
      </c>
      <c r="S172" s="228">
        <f t="shared" si="19"/>
        <v>0</v>
      </c>
      <c r="T172" s="20">
        <v>5</v>
      </c>
      <c r="U172" s="20"/>
      <c r="V172" s="235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226">
        <v>300307</v>
      </c>
      <c r="B173" s="223">
        <v>18501</v>
      </c>
      <c r="C173" s="248" t="s">
        <v>159</v>
      </c>
      <c r="D173" s="248" t="s">
        <v>160</v>
      </c>
      <c r="E173" s="230" t="s">
        <v>133</v>
      </c>
      <c r="F173" s="27"/>
      <c r="G173" s="133"/>
      <c r="H173" s="133"/>
      <c r="I173" s="133"/>
      <c r="J173" s="133"/>
      <c r="K173" s="228">
        <f t="shared" si="15"/>
        <v>0</v>
      </c>
      <c r="L173" s="228">
        <f t="shared" si="16"/>
        <v>0</v>
      </c>
      <c r="M173" s="228">
        <v>569</v>
      </c>
      <c r="N173" s="228">
        <f t="shared" si="21"/>
        <v>4.5141533384107637</v>
      </c>
      <c r="O173" s="228"/>
      <c r="P173" s="228">
        <f t="shared" si="17"/>
        <v>0</v>
      </c>
      <c r="Q173" s="228"/>
      <c r="R173" s="19">
        <f t="shared" si="18"/>
        <v>0</v>
      </c>
      <c r="S173" s="228">
        <f t="shared" si="19"/>
        <v>0</v>
      </c>
      <c r="T173" s="20">
        <v>5</v>
      </c>
      <c r="U173" s="20"/>
      <c r="V173" s="235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226">
        <v>300308</v>
      </c>
      <c r="B174" s="223">
        <v>18501</v>
      </c>
      <c r="C174" s="248" t="s">
        <v>159</v>
      </c>
      <c r="D174" s="248" t="s">
        <v>160</v>
      </c>
      <c r="E174" s="230" t="s">
        <v>132</v>
      </c>
      <c r="F174" s="27"/>
      <c r="G174" s="133"/>
      <c r="H174" s="133"/>
      <c r="I174" s="133"/>
      <c r="J174" s="133"/>
      <c r="K174" s="228">
        <f t="shared" si="15"/>
        <v>0</v>
      </c>
      <c r="L174" s="228">
        <f t="shared" si="16"/>
        <v>0</v>
      </c>
      <c r="M174" s="228">
        <v>523.6</v>
      </c>
      <c r="N174" s="228">
        <f t="shared" si="21"/>
        <v>4.1539730896166542</v>
      </c>
      <c r="O174" s="228"/>
      <c r="P174" s="228">
        <f t="shared" si="17"/>
        <v>0</v>
      </c>
      <c r="Q174" s="228"/>
      <c r="R174" s="19">
        <f t="shared" si="18"/>
        <v>0</v>
      </c>
      <c r="S174" s="228">
        <f t="shared" si="19"/>
        <v>0</v>
      </c>
      <c r="T174" s="20">
        <v>5</v>
      </c>
      <c r="U174" s="20"/>
      <c r="V174" s="235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226">
        <v>300182</v>
      </c>
      <c r="B175" s="223">
        <v>18501</v>
      </c>
      <c r="C175" s="248" t="s">
        <v>161</v>
      </c>
      <c r="D175" s="248" t="s">
        <v>160</v>
      </c>
      <c r="E175" s="230" t="s">
        <v>80</v>
      </c>
      <c r="F175" s="27"/>
      <c r="G175" s="133"/>
      <c r="H175" s="133"/>
      <c r="I175" s="133"/>
      <c r="J175" s="133"/>
      <c r="K175" s="228">
        <f t="shared" si="15"/>
        <v>0</v>
      </c>
      <c r="L175" s="228">
        <f t="shared" si="16"/>
        <v>0</v>
      </c>
      <c r="M175" s="228">
        <v>649.1</v>
      </c>
      <c r="N175" s="228">
        <f t="shared" si="21"/>
        <v>5.1496255394770252</v>
      </c>
      <c r="O175" s="228"/>
      <c r="P175" s="228">
        <f t="shared" si="17"/>
        <v>0</v>
      </c>
      <c r="Q175" s="228"/>
      <c r="R175" s="19">
        <f t="shared" si="18"/>
        <v>0</v>
      </c>
      <c r="S175" s="228">
        <f t="shared" si="19"/>
        <v>0</v>
      </c>
      <c r="T175" s="20">
        <v>5</v>
      </c>
      <c r="U175" s="20"/>
      <c r="V175" s="235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226">
        <v>300185</v>
      </c>
      <c r="B176" s="223">
        <v>18501</v>
      </c>
      <c r="C176" s="248" t="s">
        <v>161</v>
      </c>
      <c r="D176" s="248" t="s">
        <v>160</v>
      </c>
      <c r="E176" s="230" t="s">
        <v>135</v>
      </c>
      <c r="F176" s="27"/>
      <c r="G176" s="133"/>
      <c r="H176" s="133"/>
      <c r="I176" s="133"/>
      <c r="J176" s="133"/>
      <c r="K176" s="228">
        <f t="shared" si="15"/>
        <v>0</v>
      </c>
      <c r="L176" s="228">
        <f t="shared" si="16"/>
        <v>0</v>
      </c>
      <c r="M176" s="228">
        <v>638</v>
      </c>
      <c r="N176" s="228">
        <f t="shared" si="21"/>
        <v>6.0738766184310737</v>
      </c>
      <c r="O176" s="228"/>
      <c r="P176" s="228">
        <f t="shared" si="17"/>
        <v>0</v>
      </c>
      <c r="Q176" s="228"/>
      <c r="R176" s="19">
        <f t="shared" si="18"/>
        <v>0</v>
      </c>
      <c r="S176" s="228">
        <f t="shared" si="19"/>
        <v>0</v>
      </c>
      <c r="T176" s="20">
        <v>6</v>
      </c>
      <c r="U176" s="20"/>
      <c r="V176" s="235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226">
        <v>300272</v>
      </c>
      <c r="B177" s="223">
        <v>18502</v>
      </c>
      <c r="C177" s="248" t="s">
        <v>162</v>
      </c>
      <c r="D177" s="248"/>
      <c r="E177" s="230" t="s">
        <v>42</v>
      </c>
      <c r="F177" s="27"/>
      <c r="G177" s="133"/>
      <c r="H177" s="133"/>
      <c r="I177" s="133"/>
      <c r="J177" s="133"/>
      <c r="K177" s="228">
        <f t="shared" si="15"/>
        <v>0</v>
      </c>
      <c r="L177" s="228">
        <f t="shared" si="16"/>
        <v>0</v>
      </c>
      <c r="M177" s="228">
        <v>523.9</v>
      </c>
      <c r="N177" s="228">
        <f>+M177*1000/(128*4*13*60)*T177</f>
        <v>5.247395833333333</v>
      </c>
      <c r="O177" s="228"/>
      <c r="P177" s="228">
        <f t="shared" si="17"/>
        <v>0</v>
      </c>
      <c r="Q177" s="228"/>
      <c r="R177" s="19">
        <f t="shared" si="18"/>
        <v>0</v>
      </c>
      <c r="S177" s="228">
        <f t="shared" si="19"/>
        <v>0</v>
      </c>
      <c r="T177" s="20">
        <v>4</v>
      </c>
      <c r="U177" s="20"/>
      <c r="V177" s="235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226">
        <v>300273</v>
      </c>
      <c r="B178" s="223">
        <v>18502</v>
      </c>
      <c r="C178" s="248" t="s">
        <v>162</v>
      </c>
      <c r="D178" s="248"/>
      <c r="E178" s="230" t="s">
        <v>163</v>
      </c>
      <c r="F178" s="27"/>
      <c r="G178" s="133"/>
      <c r="H178" s="133"/>
      <c r="I178" s="133"/>
      <c r="J178" s="133"/>
      <c r="K178" s="228">
        <f t="shared" si="15"/>
        <v>0</v>
      </c>
      <c r="L178" s="228">
        <f t="shared" si="16"/>
        <v>0</v>
      </c>
      <c r="M178" s="228">
        <v>523.9</v>
      </c>
      <c r="N178" s="228">
        <f>+M178*1000/(128*4*13*60)*T178</f>
        <v>6.5592447916666661</v>
      </c>
      <c r="O178" s="228"/>
      <c r="P178" s="228">
        <f t="shared" si="17"/>
        <v>0</v>
      </c>
      <c r="Q178" s="228"/>
      <c r="R178" s="19">
        <f t="shared" si="18"/>
        <v>0</v>
      </c>
      <c r="S178" s="228">
        <f t="shared" si="19"/>
        <v>0</v>
      </c>
      <c r="T178" s="20">
        <v>5</v>
      </c>
      <c r="U178" s="20"/>
      <c r="V178" s="235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226">
        <v>300274</v>
      </c>
      <c r="B179" s="223">
        <v>18502</v>
      </c>
      <c r="C179" s="248" t="s">
        <v>162</v>
      </c>
      <c r="D179" s="248"/>
      <c r="E179" s="230" t="s">
        <v>146</v>
      </c>
      <c r="F179" s="27"/>
      <c r="G179" s="133"/>
      <c r="H179" s="133"/>
      <c r="I179" s="133"/>
      <c r="J179" s="133"/>
      <c r="K179" s="228">
        <f t="shared" si="15"/>
        <v>0</v>
      </c>
      <c r="L179" s="228">
        <f t="shared" si="16"/>
        <v>0</v>
      </c>
      <c r="M179" s="228">
        <v>523.9</v>
      </c>
      <c r="N179" s="228">
        <f>+M179*1000/(128*4*13*60)*T179</f>
        <v>5.247395833333333</v>
      </c>
      <c r="O179" s="228"/>
      <c r="P179" s="228">
        <f t="shared" si="17"/>
        <v>0</v>
      </c>
      <c r="Q179" s="228"/>
      <c r="R179" s="19">
        <f t="shared" si="18"/>
        <v>0</v>
      </c>
      <c r="S179" s="228">
        <f t="shared" si="19"/>
        <v>0</v>
      </c>
      <c r="T179" s="20">
        <v>4</v>
      </c>
      <c r="U179" s="20"/>
      <c r="V179" s="235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226">
        <v>300275</v>
      </c>
      <c r="B180" s="223">
        <v>18502</v>
      </c>
      <c r="C180" s="248" t="s">
        <v>162</v>
      </c>
      <c r="D180" s="248"/>
      <c r="E180" s="230" t="s">
        <v>164</v>
      </c>
      <c r="F180" s="27"/>
      <c r="G180" s="133"/>
      <c r="H180" s="133"/>
      <c r="I180" s="133"/>
      <c r="J180" s="133"/>
      <c r="K180" s="228">
        <f t="shared" si="15"/>
        <v>0</v>
      </c>
      <c r="L180" s="228">
        <f t="shared" si="16"/>
        <v>0</v>
      </c>
      <c r="M180" s="228">
        <v>523.9</v>
      </c>
      <c r="N180" s="228">
        <f>+M180*1000/(128*4*13*60)*T180</f>
        <v>5.247395833333333</v>
      </c>
      <c r="O180" s="228"/>
      <c r="P180" s="228">
        <f t="shared" si="17"/>
        <v>0</v>
      </c>
      <c r="Q180" s="228"/>
      <c r="R180" s="19">
        <f t="shared" si="18"/>
        <v>0</v>
      </c>
      <c r="S180" s="228">
        <f t="shared" si="19"/>
        <v>0</v>
      </c>
      <c r="T180" s="20">
        <v>4</v>
      </c>
      <c r="U180" s="20"/>
      <c r="V180" s="235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226">
        <v>300285</v>
      </c>
      <c r="B181" s="223">
        <v>13001</v>
      </c>
      <c r="C181" s="248" t="s">
        <v>165</v>
      </c>
      <c r="D181" s="248"/>
      <c r="E181" s="230" t="s">
        <v>37</v>
      </c>
      <c r="F181" s="27"/>
      <c r="G181" s="133"/>
      <c r="H181" s="133"/>
      <c r="I181" s="133"/>
      <c r="J181" s="133"/>
      <c r="K181" s="228">
        <f t="shared" si="15"/>
        <v>0</v>
      </c>
      <c r="L181" s="228">
        <f t="shared" si="16"/>
        <v>0</v>
      </c>
      <c r="M181" s="228">
        <v>438.7</v>
      </c>
      <c r="N181" s="228">
        <f t="shared" ref="N181:N186" si="22">+M181*1000/(90*4*18*60)*T181</f>
        <v>5.6417181069958842</v>
      </c>
      <c r="O181" s="228"/>
      <c r="P181" s="228">
        <f t="shared" si="17"/>
        <v>0</v>
      </c>
      <c r="Q181" s="228"/>
      <c r="R181" s="19">
        <f t="shared" si="18"/>
        <v>0</v>
      </c>
      <c r="S181" s="228">
        <f t="shared" si="19"/>
        <v>0</v>
      </c>
      <c r="T181" s="20">
        <v>5</v>
      </c>
      <c r="U181" s="20"/>
      <c r="V181" s="235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226">
        <v>300287</v>
      </c>
      <c r="B182" s="223">
        <v>13001</v>
      </c>
      <c r="C182" s="248" t="s">
        <v>165</v>
      </c>
      <c r="D182" s="248"/>
      <c r="E182" s="230" t="s">
        <v>57</v>
      </c>
      <c r="F182" s="27"/>
      <c r="G182" s="133"/>
      <c r="H182" s="133"/>
      <c r="I182" s="133"/>
      <c r="J182" s="133"/>
      <c r="K182" s="228">
        <f t="shared" si="15"/>
        <v>0</v>
      </c>
      <c r="L182" s="228">
        <f t="shared" si="16"/>
        <v>0</v>
      </c>
      <c r="M182" s="228">
        <v>438.7</v>
      </c>
      <c r="N182" s="228">
        <f t="shared" si="22"/>
        <v>5.6417181069958842</v>
      </c>
      <c r="O182" s="228"/>
      <c r="P182" s="228">
        <f t="shared" si="17"/>
        <v>0</v>
      </c>
      <c r="Q182" s="228"/>
      <c r="R182" s="19">
        <f t="shared" si="18"/>
        <v>0</v>
      </c>
      <c r="S182" s="228">
        <f t="shared" si="19"/>
        <v>0</v>
      </c>
      <c r="T182" s="20">
        <v>5</v>
      </c>
      <c r="U182" s="20"/>
      <c r="V182" s="235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226">
        <v>300284</v>
      </c>
      <c r="B183" s="223">
        <v>13001</v>
      </c>
      <c r="C183" s="248" t="s">
        <v>165</v>
      </c>
      <c r="D183" s="248"/>
      <c r="E183" s="230" t="s">
        <v>41</v>
      </c>
      <c r="F183" s="27"/>
      <c r="G183" s="133"/>
      <c r="H183" s="133"/>
      <c r="I183" s="133"/>
      <c r="J183" s="133"/>
      <c r="K183" s="228">
        <f t="shared" si="15"/>
        <v>0</v>
      </c>
      <c r="L183" s="228">
        <f t="shared" si="16"/>
        <v>0</v>
      </c>
      <c r="M183" s="228">
        <v>438.7</v>
      </c>
      <c r="N183" s="228">
        <f t="shared" si="22"/>
        <v>5.6417181069958842</v>
      </c>
      <c r="O183" s="228"/>
      <c r="P183" s="228">
        <f t="shared" si="17"/>
        <v>0</v>
      </c>
      <c r="Q183" s="228"/>
      <c r="R183" s="19">
        <f t="shared" si="18"/>
        <v>0</v>
      </c>
      <c r="S183" s="228">
        <f t="shared" si="19"/>
        <v>0</v>
      </c>
      <c r="T183" s="20">
        <v>5</v>
      </c>
      <c r="U183" s="20"/>
      <c r="V183" s="235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226">
        <v>300283</v>
      </c>
      <c r="B184" s="223">
        <v>13001</v>
      </c>
      <c r="C184" s="248" t="s">
        <v>165</v>
      </c>
      <c r="D184" s="248"/>
      <c r="E184" s="230" t="s">
        <v>35</v>
      </c>
      <c r="F184" s="27"/>
      <c r="G184" s="133"/>
      <c r="H184" s="133"/>
      <c r="I184" s="133"/>
      <c r="J184" s="133"/>
      <c r="K184" s="224">
        <f t="shared" si="15"/>
        <v>0</v>
      </c>
      <c r="L184" s="224">
        <f t="shared" si="16"/>
        <v>0</v>
      </c>
      <c r="M184" s="228">
        <v>438.7</v>
      </c>
      <c r="N184" s="228">
        <f t="shared" si="22"/>
        <v>5.6417181069958842</v>
      </c>
      <c r="O184" s="224"/>
      <c r="P184" s="228">
        <f t="shared" si="17"/>
        <v>0</v>
      </c>
      <c r="Q184" s="228"/>
      <c r="R184" s="19">
        <f t="shared" si="18"/>
        <v>0</v>
      </c>
      <c r="S184" s="228">
        <f t="shared" si="19"/>
        <v>0</v>
      </c>
      <c r="T184" s="20">
        <v>5</v>
      </c>
      <c r="U184" s="20"/>
      <c r="V184" s="235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226">
        <v>300289</v>
      </c>
      <c r="B185" s="223">
        <v>13001</v>
      </c>
      <c r="C185" s="248" t="s">
        <v>165</v>
      </c>
      <c r="D185" s="248"/>
      <c r="E185" s="230" t="s">
        <v>66</v>
      </c>
      <c r="F185" s="27"/>
      <c r="G185" s="133"/>
      <c r="H185" s="133"/>
      <c r="I185" s="133"/>
      <c r="J185" s="133"/>
      <c r="K185" s="224">
        <f t="shared" si="15"/>
        <v>0</v>
      </c>
      <c r="L185" s="224">
        <f t="shared" si="16"/>
        <v>0</v>
      </c>
      <c r="M185" s="228">
        <v>438.7</v>
      </c>
      <c r="N185" s="228">
        <f t="shared" si="22"/>
        <v>5.6417181069958842</v>
      </c>
      <c r="O185" s="224"/>
      <c r="P185" s="228">
        <f t="shared" si="17"/>
        <v>0</v>
      </c>
      <c r="Q185" s="228"/>
      <c r="R185" s="19">
        <f t="shared" si="18"/>
        <v>0</v>
      </c>
      <c r="S185" s="228">
        <f t="shared" si="19"/>
        <v>0</v>
      </c>
      <c r="T185" s="20">
        <v>5</v>
      </c>
      <c r="U185" s="20"/>
      <c r="V185" s="235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226">
        <v>300288</v>
      </c>
      <c r="B186" s="223">
        <v>13001</v>
      </c>
      <c r="C186" s="248" t="s">
        <v>165</v>
      </c>
      <c r="D186" s="248"/>
      <c r="E186" s="230" t="s">
        <v>166</v>
      </c>
      <c r="F186" s="27"/>
      <c r="G186" s="133"/>
      <c r="H186" s="133"/>
      <c r="I186" s="133"/>
      <c r="J186" s="133"/>
      <c r="K186" s="228">
        <f t="shared" si="15"/>
        <v>0</v>
      </c>
      <c r="L186" s="228">
        <f t="shared" si="16"/>
        <v>0</v>
      </c>
      <c r="M186" s="228">
        <v>438.7</v>
      </c>
      <c r="N186" s="228">
        <f t="shared" si="22"/>
        <v>5.6417181069958842</v>
      </c>
      <c r="O186" s="228"/>
      <c r="P186" s="228">
        <f t="shared" si="17"/>
        <v>0</v>
      </c>
      <c r="Q186" s="228"/>
      <c r="R186" s="19">
        <f t="shared" si="18"/>
        <v>0</v>
      </c>
      <c r="S186" s="228">
        <f t="shared" si="19"/>
        <v>0</v>
      </c>
      <c r="T186" s="20">
        <v>5</v>
      </c>
      <c r="U186" s="20"/>
      <c r="V186" s="235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225">
        <v>300355</v>
      </c>
      <c r="B187" s="223" t="s">
        <v>167</v>
      </c>
      <c r="C187" s="259" t="s">
        <v>168</v>
      </c>
      <c r="D187" s="260"/>
      <c r="E187" s="33" t="s">
        <v>35</v>
      </c>
      <c r="F187" s="27"/>
      <c r="G187" s="133"/>
      <c r="H187" s="133"/>
      <c r="I187" s="133"/>
      <c r="J187" s="133"/>
      <c r="K187" s="224">
        <f t="shared" si="15"/>
        <v>0</v>
      </c>
      <c r="L187" s="228">
        <f t="shared" si="16"/>
        <v>0</v>
      </c>
      <c r="M187" s="228">
        <v>438</v>
      </c>
      <c r="N187" s="228">
        <f>+M187*1000/(110*4*18*60)*T187</f>
        <v>4.6085858585858581</v>
      </c>
      <c r="O187" s="228"/>
      <c r="P187" s="228">
        <f t="shared" si="17"/>
        <v>0</v>
      </c>
      <c r="Q187" s="228"/>
      <c r="R187" s="19">
        <f t="shared" si="18"/>
        <v>0</v>
      </c>
      <c r="S187" s="228">
        <f t="shared" si="19"/>
        <v>0</v>
      </c>
      <c r="T187" s="20">
        <v>5</v>
      </c>
      <c r="U187" s="20"/>
      <c r="V187" s="235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225">
        <v>300356</v>
      </c>
      <c r="B188" s="223" t="s">
        <v>169</v>
      </c>
      <c r="C188" s="259" t="s">
        <v>168</v>
      </c>
      <c r="D188" s="260"/>
      <c r="E188" s="231" t="s">
        <v>41</v>
      </c>
      <c r="F188" s="27"/>
      <c r="G188" s="133"/>
      <c r="H188" s="133"/>
      <c r="I188" s="133"/>
      <c r="J188" s="133"/>
      <c r="K188" s="224">
        <f t="shared" si="15"/>
        <v>0</v>
      </c>
      <c r="L188" s="228">
        <f t="shared" si="16"/>
        <v>0</v>
      </c>
      <c r="M188" s="228">
        <v>438</v>
      </c>
      <c r="N188" s="228">
        <f>+M188*1000/(110*4*18*60)*T188</f>
        <v>4.6085858585858581</v>
      </c>
      <c r="O188" s="228"/>
      <c r="P188" s="228">
        <f t="shared" si="17"/>
        <v>0</v>
      </c>
      <c r="Q188" s="228"/>
      <c r="R188" s="19">
        <f t="shared" si="18"/>
        <v>0</v>
      </c>
      <c r="S188" s="228">
        <f t="shared" si="19"/>
        <v>0</v>
      </c>
      <c r="T188" s="20">
        <v>5</v>
      </c>
      <c r="U188" s="20"/>
      <c r="V188" s="235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225">
        <v>300357</v>
      </c>
      <c r="B189" s="223" t="s">
        <v>170</v>
      </c>
      <c r="C189" s="259" t="s">
        <v>168</v>
      </c>
      <c r="D189" s="260"/>
      <c r="E189" s="231" t="s">
        <v>37</v>
      </c>
      <c r="F189" s="27"/>
      <c r="G189" s="133"/>
      <c r="H189" s="133"/>
      <c r="I189" s="133"/>
      <c r="J189" s="133"/>
      <c r="K189" s="224">
        <f t="shared" si="15"/>
        <v>0</v>
      </c>
      <c r="L189" s="228">
        <f t="shared" si="16"/>
        <v>0</v>
      </c>
      <c r="M189" s="228">
        <v>438</v>
      </c>
      <c r="N189" s="228">
        <f>+M189*1000/(110*4*18*60)*T189</f>
        <v>4.6085858585858581</v>
      </c>
      <c r="O189" s="228"/>
      <c r="P189" s="228">
        <f t="shared" si="17"/>
        <v>0</v>
      </c>
      <c r="Q189" s="228"/>
      <c r="R189" s="19">
        <f t="shared" si="18"/>
        <v>0</v>
      </c>
      <c r="S189" s="228">
        <f t="shared" si="19"/>
        <v>0</v>
      </c>
      <c r="T189" s="20">
        <v>5</v>
      </c>
      <c r="U189" s="20"/>
      <c r="V189" s="235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225">
        <v>300358</v>
      </c>
      <c r="B190" s="223">
        <v>13002</v>
      </c>
      <c r="C190" s="259" t="s">
        <v>168</v>
      </c>
      <c r="D190" s="260"/>
      <c r="E190" s="231" t="s">
        <v>66</v>
      </c>
      <c r="F190" s="27"/>
      <c r="G190" s="133">
        <v>2</v>
      </c>
      <c r="H190" s="133"/>
      <c r="I190" s="133">
        <f>2-J190/400</f>
        <v>1.625</v>
      </c>
      <c r="J190" s="133">
        <v>150</v>
      </c>
      <c r="K190" s="224">
        <f t="shared" si="15"/>
        <v>876</v>
      </c>
      <c r="L190" s="228">
        <f t="shared" si="16"/>
        <v>711.75</v>
      </c>
      <c r="M190" s="228">
        <v>438</v>
      </c>
      <c r="N190" s="228">
        <f>+M190*1000/(110*4*18*60)*T190</f>
        <v>4.6085858585858581</v>
      </c>
      <c r="O190" s="228">
        <v>0.5</v>
      </c>
      <c r="P190" s="228">
        <f t="shared" si="17"/>
        <v>10.488952020202019</v>
      </c>
      <c r="Q190" s="228">
        <v>1.5</v>
      </c>
      <c r="R190" s="19">
        <f t="shared" si="18"/>
        <v>9</v>
      </c>
      <c r="S190" s="228">
        <f t="shared" si="19"/>
        <v>-1.488952020202019</v>
      </c>
      <c r="T190" s="20">
        <v>5</v>
      </c>
      <c r="U190" s="20">
        <v>6</v>
      </c>
      <c r="V190" s="235">
        <f t="array" ref="V190">IF(ISERROR(L190/K190),"",L190/K190)</f>
        <v>0.8125</v>
      </c>
      <c r="W190" s="20"/>
      <c r="X190" s="20"/>
      <c r="Y190" s="20"/>
      <c r="Z190" s="20"/>
      <c r="AA190" s="20"/>
      <c r="AB190" s="20"/>
      <c r="AC190" s="20"/>
    </row>
    <row r="191" spans="1:29" s="2" customFormat="1" ht="21.95" customHeight="1">
      <c r="A191" s="226">
        <v>300438</v>
      </c>
      <c r="B191" s="223">
        <v>13002</v>
      </c>
      <c r="C191" s="248" t="s">
        <v>312</v>
      </c>
      <c r="D191" s="248" t="s">
        <v>89</v>
      </c>
      <c r="E191" s="230" t="s">
        <v>35</v>
      </c>
      <c r="F191" s="27"/>
      <c r="G191" s="133">
        <v>3.67</v>
      </c>
      <c r="H191" s="133">
        <v>0.66666666666666663</v>
      </c>
      <c r="I191" s="133">
        <f>3+H191</f>
        <v>3.6666666666666665</v>
      </c>
      <c r="J191" s="133"/>
      <c r="K191" s="228">
        <f>G191*M191</f>
        <v>1235.3220000000001</v>
      </c>
      <c r="L191" s="228">
        <f>I191*M191</f>
        <v>1234.2</v>
      </c>
      <c r="M191" s="228">
        <v>336.6</v>
      </c>
      <c r="N191" s="228">
        <f>+M191*1000/(45*10*18*60)*T191</f>
        <v>1.3851851851851851</v>
      </c>
      <c r="O191" s="228"/>
      <c r="P191" s="228">
        <f>N191*I191+O191*U191</f>
        <v>5.0790123456790122</v>
      </c>
      <c r="Q191" s="228">
        <v>5.5</v>
      </c>
      <c r="R191" s="19">
        <f>Q191*U191</f>
        <v>33</v>
      </c>
      <c r="S191" s="228">
        <f>R191-P191</f>
        <v>27.920987654320989</v>
      </c>
      <c r="T191" s="20">
        <v>2</v>
      </c>
      <c r="U191" s="20">
        <v>6</v>
      </c>
      <c r="V191" s="235">
        <f t="array" ref="V191">IF(ISERROR(L191/K191),"",L191/K191)</f>
        <v>0.99909173478655766</v>
      </c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33"/>
      <c r="H192" s="133"/>
      <c r="I192" s="133"/>
      <c r="J192" s="133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235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33"/>
      <c r="H193" s="133"/>
      <c r="I193" s="133"/>
      <c r="J193" s="133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235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>
        <v>13002</v>
      </c>
      <c r="C194" s="248" t="s">
        <v>312</v>
      </c>
      <c r="D194" s="248" t="s">
        <v>89</v>
      </c>
      <c r="E194" s="166" t="s">
        <v>37</v>
      </c>
      <c r="F194" s="13"/>
      <c r="G194" s="133">
        <v>3</v>
      </c>
      <c r="H194" s="133"/>
      <c r="I194" s="133">
        <v>3</v>
      </c>
      <c r="J194" s="133"/>
      <c r="K194" s="164">
        <f>G194*M194</f>
        <v>1009.8000000000001</v>
      </c>
      <c r="L194" s="164">
        <f>I194*M194</f>
        <v>1009.8000000000001</v>
      </c>
      <c r="M194" s="164">
        <v>336.6</v>
      </c>
      <c r="N194" s="164">
        <f>+M194*1000/(45*10*18*60)*T194</f>
        <v>1.3851851851851851</v>
      </c>
      <c r="O194" s="164">
        <v>0.5</v>
      </c>
      <c r="P194" s="164">
        <f>N194*I194+O194*U194</f>
        <v>7.155555555555555</v>
      </c>
      <c r="Q194" s="164">
        <v>4</v>
      </c>
      <c r="R194" s="19">
        <f>Q194*U194</f>
        <v>24</v>
      </c>
      <c r="S194" s="164">
        <f>R194-P194</f>
        <v>16.844444444444445</v>
      </c>
      <c r="T194" s="20">
        <v>2</v>
      </c>
      <c r="U194" s="20">
        <v>6</v>
      </c>
      <c r="V194" s="235">
        <f t="array" ref="V194">IF(ISERROR(L194/K194),"",L194/K194)</f>
        <v>1</v>
      </c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235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235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235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235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54.570000000000007</v>
      </c>
      <c r="H199" s="164">
        <f t="array" ref="H199">SUM(IF(ISERROR(H6:H198),“”,H6:H198))</f>
        <v>1.0333333333333332</v>
      </c>
      <c r="I199" s="164">
        <f t="array" ref="I199">SUM(IF(ISERROR(I6:I198),“”,I6:I198))</f>
        <v>53.623333333333328</v>
      </c>
      <c r="J199" s="164">
        <f t="array" ref="J199">SUM(IF(ISERROR(J6:J198),“”,J6:J198))</f>
        <v>1080</v>
      </c>
      <c r="K199" s="164">
        <f t="array" ref="K199">SUM(IF(ISERROR(K6:K198),“”,K6:K198))</f>
        <v>26278.284099999997</v>
      </c>
      <c r="L199" s="56">
        <f>SUM(L6:L198)</f>
        <v>25815.451166666666</v>
      </c>
      <c r="M199" s="164"/>
      <c r="N199" s="164"/>
      <c r="O199" s="164">
        <f>SUM(O6:O190)</f>
        <v>1.5</v>
      </c>
      <c r="P199" s="56">
        <f>SUM((P6:P190),(W204:X209))</f>
        <v>312.73062126017157</v>
      </c>
      <c r="Q199" s="164"/>
      <c r="R199" s="56">
        <f>SUM((R6:R190),(Y204:Z209))</f>
        <v>375</v>
      </c>
      <c r="S199" s="164">
        <f t="array" ref="S199">SUM(IF(ISERROR(S6:S198),“”,S6:S198))</f>
        <v>63.03481083859387</v>
      </c>
      <c r="T199" s="164"/>
      <c r="U199" s="164"/>
      <c r="V199" s="161">
        <f>IF(ISERROR(L199/K199),"",L199/K199)</f>
        <v>0.98238724676344713</v>
      </c>
      <c r="W199" s="164">
        <f t="array" ref="W199">SUM(IF(ISERROR(W6:W198),“”,W6:W198))</f>
        <v>0</v>
      </c>
      <c r="X199" s="164">
        <f t="array" ref="X199">SUM(IF(ISERROR(X6:X198),“”,X6:X198))</f>
        <v>4.166666666666667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0.83394832336045754</v>
      </c>
      <c r="P200" s="274"/>
      <c r="Q200" s="274"/>
      <c r="R200" s="275"/>
      <c r="S200" s="44"/>
      <c r="T200" s="45"/>
      <c r="U200" s="45"/>
      <c r="V200" s="45"/>
      <c r="W200" s="276">
        <f>SUM(W199:AC199)</f>
        <v>6.166666666666667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150</v>
      </c>
      <c r="F202" s="279"/>
      <c r="G202" s="279">
        <v>150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4792.6000000000004</v>
      </c>
      <c r="F203" s="279"/>
      <c r="G203" s="279">
        <v>4936.6000000000004</v>
      </c>
      <c r="H203" s="279"/>
      <c r="I203" s="279">
        <f>G203-E203</f>
        <v>144</v>
      </c>
      <c r="J203" s="279"/>
      <c r="K203" s="281">
        <f t="array" ref="K203">IF(ISERROR(I203/E203),"",I203/E203)</f>
        <v>3.0046321412177106E-2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22</v>
      </c>
      <c r="T203" s="284"/>
      <c r="U203" s="284">
        <v>25</v>
      </c>
      <c r="V203" s="284"/>
      <c r="W203" s="283">
        <f t="shared" ref="W203:W210" si="28">S203*11</f>
        <v>242</v>
      </c>
      <c r="X203" s="283"/>
      <c r="Y203" s="283">
        <f t="shared" ref="Y203:Y210" si="29">U203*11</f>
        <v>275</v>
      </c>
      <c r="Z203" s="283"/>
      <c r="AA203" s="283">
        <f t="shared" ref="AA203:AA210" si="30">Y203-W203</f>
        <v>33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1669</v>
      </c>
      <c r="F204" s="279"/>
      <c r="G204" s="279">
        <v>1669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4</v>
      </c>
      <c r="T204" s="284"/>
      <c r="U204" s="284">
        <v>6</v>
      </c>
      <c r="V204" s="284"/>
      <c r="W204" s="283">
        <f t="shared" si="28"/>
        <v>44</v>
      </c>
      <c r="X204" s="283"/>
      <c r="Y204" s="283">
        <f t="shared" si="29"/>
        <v>66</v>
      </c>
      <c r="Z204" s="283"/>
      <c r="AA204" s="283">
        <f t="shared" si="30"/>
        <v>22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1</v>
      </c>
      <c r="V205" s="284"/>
      <c r="W205" s="283">
        <f t="shared" si="28"/>
        <v>8.25</v>
      </c>
      <c r="X205" s="283"/>
      <c r="Y205" s="283">
        <f t="shared" si="29"/>
        <v>11</v>
      </c>
      <c r="Z205" s="283"/>
      <c r="AA205" s="283">
        <f t="shared" si="30"/>
        <v>2.75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150995</v>
      </c>
      <c r="H206" s="286"/>
      <c r="I206" s="325">
        <v>150877</v>
      </c>
      <c r="J206" s="326"/>
      <c r="K206" s="289">
        <f>G206-I206</f>
        <v>118</v>
      </c>
      <c r="L206" s="289"/>
      <c r="M206" s="290">
        <f t="array" ref="M206">IF(ISERROR(K206/L199),"",K206/(L199/1000))</f>
        <v>4.5709059755795991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1</v>
      </c>
      <c r="V206" s="284"/>
      <c r="W206" s="283">
        <f t="shared" si="28"/>
        <v>8.25</v>
      </c>
      <c r="X206" s="283"/>
      <c r="Y206" s="283">
        <f t="shared" si="29"/>
        <v>11</v>
      </c>
      <c r="Z206" s="283"/>
      <c r="AA206" s="283">
        <f t="shared" si="30"/>
        <v>2.75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28681.8*120+44994.7*60</f>
        <v>6141498</v>
      </c>
      <c r="H207" s="286"/>
      <c r="I207" s="325">
        <v>6139746</v>
      </c>
      <c r="J207" s="326"/>
      <c r="K207" s="289">
        <f>G207-I207</f>
        <v>1752</v>
      </c>
      <c r="L207" s="289"/>
      <c r="M207" s="290">
        <f t="array" ref="M207">IF(ISERROR(K207/L199),"",K207/(L199/1000))</f>
        <v>67.866332789961504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0</v>
      </c>
      <c r="V207" s="284"/>
      <c r="W207" s="283">
        <f t="shared" si="28"/>
        <v>16.5</v>
      </c>
      <c r="X207" s="283"/>
      <c r="Y207" s="283">
        <f t="shared" si="29"/>
        <v>0</v>
      </c>
      <c r="Z207" s="283"/>
      <c r="AA207" s="283">
        <f t="shared" si="30"/>
        <v>-16.5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+I208+17</f>
        <v>27050</v>
      </c>
      <c r="H208" s="286"/>
      <c r="I208" s="285">
        <v>27033</v>
      </c>
      <c r="J208" s="286"/>
      <c r="K208" s="289">
        <f>G208-I208</f>
        <v>17</v>
      </c>
      <c r="L208" s="289"/>
      <c r="M208" s="293">
        <f t="array" ref="M208">IF(ISERROR(K208/L199),"",K208/(L199/1000))</f>
        <v>0.65852035241401008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2.56+2.24/2</f>
        <v>3.68</v>
      </c>
      <c r="L209" s="292"/>
      <c r="M209" s="294">
        <f t="array" ref="M209">IF(ISERROR((K209+K210)/L199),"",((K209+K210)*1000)/(L199/1000))</f>
        <v>142.55028805197395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6</v>
      </c>
      <c r="V209" s="284"/>
      <c r="W209" s="283">
        <f t="shared" si="28"/>
        <v>33</v>
      </c>
      <c r="X209" s="283"/>
      <c r="Y209" s="283">
        <f t="shared" si="29"/>
        <v>66</v>
      </c>
      <c r="Z209" s="283"/>
      <c r="AA209" s="283">
        <f t="shared" si="30"/>
        <v>33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33</v>
      </c>
      <c r="T210" s="284"/>
      <c r="U210" s="284">
        <f>SUM(U203:V209)</f>
        <v>40</v>
      </c>
      <c r="V210" s="284"/>
      <c r="W210" s="283">
        <f t="shared" si="28"/>
        <v>363</v>
      </c>
      <c r="X210" s="283"/>
      <c r="Y210" s="283">
        <f t="shared" si="29"/>
        <v>440</v>
      </c>
      <c r="Z210" s="283"/>
      <c r="AA210" s="283">
        <f t="shared" si="30"/>
        <v>77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4.6195652173913038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58.671479924242419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226">
        <v>300016</v>
      </c>
      <c r="B237" s="223">
        <v>3004</v>
      </c>
      <c r="C237" s="248" t="s">
        <v>51</v>
      </c>
      <c r="D237" s="248"/>
      <c r="E237" s="230" t="s">
        <v>38</v>
      </c>
      <c r="F237" s="229">
        <v>1569</v>
      </c>
      <c r="G237" s="228">
        <v>1.56</v>
      </c>
      <c r="H237" s="228">
        <v>0.56000000000000005</v>
      </c>
      <c r="I237" s="228">
        <f>1+H237</f>
        <v>1.56</v>
      </c>
      <c r="J237" s="228"/>
      <c r="K237" s="228">
        <f t="shared" si="31"/>
        <v>818.37600000000009</v>
      </c>
      <c r="L237" s="228">
        <f t="shared" si="32"/>
        <v>818.37600000000009</v>
      </c>
      <c r="M237" s="228">
        <v>524.6</v>
      </c>
      <c r="N237" s="228">
        <f>+M237*1000/(25.4*20*15*60)*T237</f>
        <v>3.4422572178477688</v>
      </c>
      <c r="O237" s="228"/>
      <c r="P237" s="228">
        <f t="shared" si="34"/>
        <v>5.3699212598425197</v>
      </c>
      <c r="Q237" s="228">
        <v>2</v>
      </c>
      <c r="R237" s="19">
        <f t="shared" si="35"/>
        <v>4</v>
      </c>
      <c r="S237" s="228">
        <f t="shared" si="36"/>
        <v>-1.3699212598425197</v>
      </c>
      <c r="T237" s="20">
        <v>3</v>
      </c>
      <c r="U237" s="20">
        <v>2</v>
      </c>
      <c r="V237" s="227">
        <f t="array" ref="V237">IF(ISERROR(L237/K237),"",L237/K237)</f>
        <v>1</v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26">
        <v>3000435</v>
      </c>
      <c r="B238" s="223">
        <v>3004</v>
      </c>
      <c r="C238" s="248" t="s">
        <v>51</v>
      </c>
      <c r="D238" s="248"/>
      <c r="E238" s="230" t="s">
        <v>309</v>
      </c>
      <c r="F238" s="27">
        <v>1568</v>
      </c>
      <c r="G238" s="228">
        <v>9.44</v>
      </c>
      <c r="H238" s="228"/>
      <c r="I238" s="228">
        <f>9-J238/500</f>
        <v>8.6999999999999993</v>
      </c>
      <c r="J238" s="228">
        <v>150</v>
      </c>
      <c r="K238" s="228">
        <f t="shared" si="31"/>
        <v>4952.2240000000002</v>
      </c>
      <c r="L238" s="228">
        <f t="shared" si="32"/>
        <v>4564.0199999999995</v>
      </c>
      <c r="M238" s="228">
        <v>524.6</v>
      </c>
      <c r="N238" s="228">
        <f>+M238*1000/(25.4*20*15*60)*T238</f>
        <v>3.4422572178477688</v>
      </c>
      <c r="O238" s="228">
        <v>0.5</v>
      </c>
      <c r="P238" s="228">
        <f t="shared" si="34"/>
        <v>30.947637795275586</v>
      </c>
      <c r="Q238" s="228">
        <v>9.5</v>
      </c>
      <c r="R238" s="19">
        <f t="shared" si="35"/>
        <v>19</v>
      </c>
      <c r="S238" s="228">
        <f t="shared" si="36"/>
        <v>-11.947637795275586</v>
      </c>
      <c r="T238" s="20">
        <v>3</v>
      </c>
      <c r="U238" s="20">
        <v>2</v>
      </c>
      <c r="V238" s="235">
        <f t="array" ref="V238">IF(ISERROR(L238/K238),"",L238/K238)</f>
        <v>0.9216101694915253</v>
      </c>
      <c r="W238" s="20"/>
      <c r="X238" s="20"/>
      <c r="Y238" s="20"/>
      <c r="Z238" s="20"/>
      <c r="AA238" s="20"/>
      <c r="AB238" s="20"/>
      <c r="AC238" s="20"/>
    </row>
    <row r="239" spans="1:29" s="2" customFormat="1" ht="21.95" hidden="1" customHeight="1">
      <c r="A239" s="226">
        <v>300276</v>
      </c>
      <c r="B239" s="223" t="s">
        <v>43</v>
      </c>
      <c r="C239" s="248" t="s">
        <v>53</v>
      </c>
      <c r="D239" s="248"/>
      <c r="E239" s="230" t="s">
        <v>41</v>
      </c>
      <c r="F239" s="27"/>
      <c r="G239" s="228"/>
      <c r="H239" s="228"/>
      <c r="I239" s="228"/>
      <c r="J239" s="228"/>
      <c r="K239" s="228">
        <f t="shared" si="31"/>
        <v>0</v>
      </c>
      <c r="L239" s="228">
        <f t="shared" si="32"/>
        <v>0</v>
      </c>
      <c r="M239" s="228">
        <v>266</v>
      </c>
      <c r="N239" s="228">
        <f>+M239*1000/(29.8*10*13*60)*T239</f>
        <v>3.4331440371708828</v>
      </c>
      <c r="O239" s="228"/>
      <c r="P239" s="228">
        <f t="shared" si="34"/>
        <v>0</v>
      </c>
      <c r="Q239" s="228"/>
      <c r="R239" s="19">
        <f t="shared" si="35"/>
        <v>0</v>
      </c>
      <c r="S239" s="228">
        <f t="shared" si="36"/>
        <v>0</v>
      </c>
      <c r="T239" s="20">
        <v>3</v>
      </c>
      <c r="U239" s="20"/>
      <c r="V239" s="235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s="2" customFormat="1" ht="21.95" hidden="1" customHeight="1">
      <c r="A240" s="226">
        <v>300277</v>
      </c>
      <c r="B240" s="223" t="s">
        <v>43</v>
      </c>
      <c r="C240" s="248" t="s">
        <v>53</v>
      </c>
      <c r="D240" s="248"/>
      <c r="E240" s="230" t="s">
        <v>39</v>
      </c>
      <c r="F240" s="27"/>
      <c r="G240" s="228"/>
      <c r="H240" s="228"/>
      <c r="I240" s="228"/>
      <c r="J240" s="228"/>
      <c r="K240" s="228">
        <f t="shared" si="31"/>
        <v>0</v>
      </c>
      <c r="L240" s="228">
        <f t="shared" si="32"/>
        <v>0</v>
      </c>
      <c r="M240" s="228">
        <v>266</v>
      </c>
      <c r="N240" s="228">
        <f>+M240*1000/(29.8*10*13*60)*T240</f>
        <v>3.4331440371708828</v>
      </c>
      <c r="O240" s="228"/>
      <c r="P240" s="228">
        <f t="shared" si="34"/>
        <v>0</v>
      </c>
      <c r="Q240" s="228"/>
      <c r="R240" s="19">
        <f t="shared" si="35"/>
        <v>0</v>
      </c>
      <c r="S240" s="228">
        <f t="shared" si="36"/>
        <v>0</v>
      </c>
      <c r="T240" s="20">
        <v>3</v>
      </c>
      <c r="U240" s="20"/>
      <c r="V240" s="235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s="2" customFormat="1" ht="21.95" hidden="1" customHeight="1">
      <c r="A241" s="226">
        <v>300278</v>
      </c>
      <c r="B241" s="223" t="s">
        <v>43</v>
      </c>
      <c r="C241" s="248" t="s">
        <v>53</v>
      </c>
      <c r="D241" s="248"/>
      <c r="E241" s="230" t="s">
        <v>54</v>
      </c>
      <c r="F241" s="27"/>
      <c r="G241" s="228"/>
      <c r="H241" s="228"/>
      <c r="I241" s="228"/>
      <c r="J241" s="228"/>
      <c r="K241" s="228">
        <f t="shared" si="31"/>
        <v>0</v>
      </c>
      <c r="L241" s="228">
        <f t="shared" si="32"/>
        <v>0</v>
      </c>
      <c r="M241" s="228">
        <v>266</v>
      </c>
      <c r="N241" s="228">
        <f>+M241*1000/(29.8*10*13*60)*T241</f>
        <v>3.4331440371708828</v>
      </c>
      <c r="O241" s="228"/>
      <c r="P241" s="228">
        <f t="shared" si="34"/>
        <v>0</v>
      </c>
      <c r="Q241" s="228"/>
      <c r="R241" s="19">
        <f t="shared" si="35"/>
        <v>0</v>
      </c>
      <c r="S241" s="228">
        <f t="shared" si="36"/>
        <v>0</v>
      </c>
      <c r="T241" s="20">
        <v>3</v>
      </c>
      <c r="U241" s="20"/>
      <c r="V241" s="235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226">
        <v>300027</v>
      </c>
      <c r="B242" s="223" t="s">
        <v>55</v>
      </c>
      <c r="C242" s="248" t="s">
        <v>56</v>
      </c>
      <c r="D242" s="248"/>
      <c r="E242" s="230" t="s">
        <v>54</v>
      </c>
      <c r="F242" s="229"/>
      <c r="G242" s="228"/>
      <c r="H242" s="228"/>
      <c r="I242" s="228"/>
      <c r="J242" s="228"/>
      <c r="K242" s="228">
        <f t="shared" si="31"/>
        <v>0</v>
      </c>
      <c r="L242" s="228">
        <f t="shared" si="32"/>
        <v>0</v>
      </c>
      <c r="M242" s="228">
        <v>550.4</v>
      </c>
      <c r="N242" s="228">
        <f>+M242*1000/(31*20*15*60)*T242</f>
        <v>2.9591397849462364</v>
      </c>
      <c r="O242" s="228"/>
      <c r="P242" s="228">
        <f t="shared" si="34"/>
        <v>0</v>
      </c>
      <c r="Q242" s="228"/>
      <c r="R242" s="19">
        <f t="shared" si="35"/>
        <v>0</v>
      </c>
      <c r="S242" s="228">
        <f t="shared" si="36"/>
        <v>0</v>
      </c>
      <c r="T242" s="20">
        <v>3</v>
      </c>
      <c r="U242" s="20"/>
      <c r="V242" s="235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226">
        <v>300028</v>
      </c>
      <c r="B243" s="223" t="s">
        <v>55</v>
      </c>
      <c r="C243" s="248" t="s">
        <v>56</v>
      </c>
      <c r="D243" s="248"/>
      <c r="E243" s="230" t="s">
        <v>35</v>
      </c>
      <c r="F243" s="229"/>
      <c r="G243" s="228"/>
      <c r="H243" s="228"/>
      <c r="I243" s="228"/>
      <c r="J243" s="228"/>
      <c r="K243" s="228">
        <f t="shared" si="31"/>
        <v>0</v>
      </c>
      <c r="L243" s="228">
        <f t="shared" si="32"/>
        <v>0</v>
      </c>
      <c r="M243" s="228">
        <v>550.4</v>
      </c>
      <c r="N243" s="228">
        <f>+M243*1000/(31*20*15*60)*T243</f>
        <v>2.9591397849462364</v>
      </c>
      <c r="O243" s="228"/>
      <c r="P243" s="228">
        <f t="shared" si="34"/>
        <v>0</v>
      </c>
      <c r="Q243" s="228"/>
      <c r="R243" s="19">
        <f t="shared" si="35"/>
        <v>0</v>
      </c>
      <c r="S243" s="228">
        <f t="shared" si="36"/>
        <v>0</v>
      </c>
      <c r="T243" s="20">
        <v>3</v>
      </c>
      <c r="U243" s="20"/>
      <c r="V243" s="235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226">
        <v>300029</v>
      </c>
      <c r="B244" s="223" t="s">
        <v>55</v>
      </c>
      <c r="C244" s="248" t="s">
        <v>56</v>
      </c>
      <c r="D244" s="248"/>
      <c r="E244" s="230" t="s">
        <v>57</v>
      </c>
      <c r="F244" s="229"/>
      <c r="G244" s="228"/>
      <c r="H244" s="228"/>
      <c r="I244" s="228"/>
      <c r="J244" s="228"/>
      <c r="K244" s="228">
        <f t="shared" si="31"/>
        <v>0</v>
      </c>
      <c r="L244" s="228">
        <f t="shared" si="32"/>
        <v>0</v>
      </c>
      <c r="M244" s="228">
        <v>550.4</v>
      </c>
      <c r="N244" s="228">
        <f>+M244*1000/(31*20*15*60)*T244</f>
        <v>2.9591397849462364</v>
      </c>
      <c r="O244" s="228"/>
      <c r="P244" s="228">
        <f t="shared" si="34"/>
        <v>0</v>
      </c>
      <c r="Q244" s="228"/>
      <c r="R244" s="19">
        <f t="shared" si="35"/>
        <v>0</v>
      </c>
      <c r="S244" s="228">
        <f t="shared" si="36"/>
        <v>0</v>
      </c>
      <c r="T244" s="20">
        <v>3</v>
      </c>
      <c r="U244" s="20"/>
      <c r="V244" s="235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226">
        <v>300026</v>
      </c>
      <c r="B245" s="223" t="s">
        <v>55</v>
      </c>
      <c r="C245" s="248" t="s">
        <v>56</v>
      </c>
      <c r="D245" s="248"/>
      <c r="E245" s="230" t="s">
        <v>37</v>
      </c>
      <c r="F245" s="229"/>
      <c r="G245" s="228"/>
      <c r="H245" s="228"/>
      <c r="I245" s="228"/>
      <c r="J245" s="228"/>
      <c r="K245" s="228">
        <f t="shared" si="31"/>
        <v>0</v>
      </c>
      <c r="L245" s="228">
        <f t="shared" si="32"/>
        <v>0</v>
      </c>
      <c r="M245" s="228">
        <v>550.4</v>
      </c>
      <c r="N245" s="228">
        <f>+M245*1000/(31*20*15*60)*T245</f>
        <v>2.9591397849462364</v>
      </c>
      <c r="O245" s="228"/>
      <c r="P245" s="228">
        <f t="shared" si="34"/>
        <v>0</v>
      </c>
      <c r="Q245" s="228"/>
      <c r="R245" s="19">
        <f t="shared" si="35"/>
        <v>0</v>
      </c>
      <c r="S245" s="228">
        <f t="shared" si="36"/>
        <v>0</v>
      </c>
      <c r="T245" s="20">
        <v>3</v>
      </c>
      <c r="U245" s="20"/>
      <c r="V245" s="235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226">
        <v>300032</v>
      </c>
      <c r="B246" s="223">
        <v>3002</v>
      </c>
      <c r="C246" s="248" t="s">
        <v>58</v>
      </c>
      <c r="D246" s="248" t="s">
        <v>59</v>
      </c>
      <c r="E246" s="230" t="s">
        <v>35</v>
      </c>
      <c r="F246" s="229"/>
      <c r="G246" s="228"/>
      <c r="H246" s="228"/>
      <c r="I246" s="228"/>
      <c r="J246" s="228"/>
      <c r="K246" s="228">
        <f t="shared" si="31"/>
        <v>0</v>
      </c>
      <c r="L246" s="228">
        <f t="shared" si="32"/>
        <v>0</v>
      </c>
      <c r="M246" s="228">
        <v>285.7</v>
      </c>
      <c r="N246" s="228">
        <f>+M246*1000/(31*10*13*60)*T246</f>
        <v>7.0893300248138953</v>
      </c>
      <c r="O246" s="228"/>
      <c r="P246" s="228">
        <f t="shared" si="34"/>
        <v>0</v>
      </c>
      <c r="Q246" s="228"/>
      <c r="R246" s="19">
        <f t="shared" si="35"/>
        <v>0</v>
      </c>
      <c r="S246" s="228">
        <f t="shared" si="36"/>
        <v>0</v>
      </c>
      <c r="T246" s="20">
        <v>6</v>
      </c>
      <c r="U246" s="20"/>
      <c r="V246" s="235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s="2" customFormat="1" ht="21.95" hidden="1" customHeight="1">
      <c r="A247" s="226">
        <v>300413</v>
      </c>
      <c r="B247" s="223">
        <v>3002</v>
      </c>
      <c r="C247" s="259" t="s">
        <v>304</v>
      </c>
      <c r="D247" s="260"/>
      <c r="E247" s="230" t="s">
        <v>302</v>
      </c>
      <c r="F247" s="27"/>
      <c r="G247" s="228"/>
      <c r="H247" s="228"/>
      <c r="I247" s="228"/>
      <c r="J247" s="228"/>
      <c r="K247" s="228">
        <f t="shared" si="31"/>
        <v>0</v>
      </c>
      <c r="L247" s="228">
        <f t="shared" si="32"/>
        <v>0</v>
      </c>
      <c r="M247" s="228">
        <v>528.79999999999995</v>
      </c>
      <c r="N247" s="228">
        <f>+M247*1000/(31*10*13*60)*T247</f>
        <v>6.5607940446650126</v>
      </c>
      <c r="O247" s="228"/>
      <c r="P247" s="228">
        <f t="shared" si="34"/>
        <v>0</v>
      </c>
      <c r="Q247" s="228"/>
      <c r="R247" s="19">
        <f t="shared" si="35"/>
        <v>0</v>
      </c>
      <c r="S247" s="228">
        <f t="shared" si="36"/>
        <v>0</v>
      </c>
      <c r="T247" s="20">
        <v>3</v>
      </c>
      <c r="U247" s="20"/>
      <c r="V247" s="235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s="2" customFormat="1" ht="21.95" hidden="1" customHeight="1">
      <c r="A248" s="226">
        <v>300414</v>
      </c>
      <c r="B248" s="223">
        <v>3002</v>
      </c>
      <c r="C248" s="259" t="s">
        <v>304</v>
      </c>
      <c r="D248" s="260"/>
      <c r="E248" s="230" t="s">
        <v>299</v>
      </c>
      <c r="F248" s="27"/>
      <c r="G248" s="228"/>
      <c r="H248" s="228"/>
      <c r="I248" s="228"/>
      <c r="J248" s="228"/>
      <c r="K248" s="228">
        <f t="shared" si="31"/>
        <v>0</v>
      </c>
      <c r="L248" s="228">
        <f t="shared" si="32"/>
        <v>0</v>
      </c>
      <c r="M248" s="228">
        <v>528.79999999999995</v>
      </c>
      <c r="N248" s="228">
        <f>+M248*1000/(31*10*13*60)*T248</f>
        <v>6.5607940446650126</v>
      </c>
      <c r="O248" s="228"/>
      <c r="P248" s="228">
        <f t="shared" si="34"/>
        <v>0</v>
      </c>
      <c r="Q248" s="228"/>
      <c r="R248" s="19">
        <f t="shared" si="35"/>
        <v>0</v>
      </c>
      <c r="S248" s="228">
        <f t="shared" si="36"/>
        <v>0</v>
      </c>
      <c r="T248" s="20">
        <v>3</v>
      </c>
      <c r="U248" s="20"/>
      <c r="V248" s="235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s="2" customFormat="1" ht="21.95" hidden="1" customHeight="1">
      <c r="A249" s="226">
        <v>300415</v>
      </c>
      <c r="B249" s="223">
        <v>3002</v>
      </c>
      <c r="C249" s="259" t="s">
        <v>304</v>
      </c>
      <c r="D249" s="260"/>
      <c r="E249" s="230" t="s">
        <v>303</v>
      </c>
      <c r="F249" s="27"/>
      <c r="G249" s="228"/>
      <c r="H249" s="228"/>
      <c r="I249" s="228"/>
      <c r="J249" s="228"/>
      <c r="K249" s="228">
        <f t="shared" si="31"/>
        <v>0</v>
      </c>
      <c r="L249" s="228">
        <f t="shared" si="32"/>
        <v>0</v>
      </c>
      <c r="M249" s="228">
        <v>528.79999999999995</v>
      </c>
      <c r="N249" s="228">
        <f>+M249*1000/(31*10*13*60)*T249</f>
        <v>6.5607940446650126</v>
      </c>
      <c r="O249" s="228"/>
      <c r="P249" s="228">
        <f t="shared" si="34"/>
        <v>0</v>
      </c>
      <c r="Q249" s="228"/>
      <c r="R249" s="19">
        <f t="shared" si="35"/>
        <v>0</v>
      </c>
      <c r="S249" s="228">
        <f t="shared" si="36"/>
        <v>0</v>
      </c>
      <c r="T249" s="20">
        <v>3</v>
      </c>
      <c r="U249" s="20"/>
      <c r="V249" s="235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226">
        <v>300035</v>
      </c>
      <c r="B250" s="223" t="s">
        <v>60</v>
      </c>
      <c r="C250" s="248" t="s">
        <v>61</v>
      </c>
      <c r="D250" s="248" t="s">
        <v>62</v>
      </c>
      <c r="E250" s="230" t="s">
        <v>35</v>
      </c>
      <c r="F250" s="229"/>
      <c r="G250" s="228"/>
      <c r="H250" s="228"/>
      <c r="I250" s="228"/>
      <c r="J250" s="228"/>
      <c r="K250" s="228">
        <f t="shared" si="31"/>
        <v>0</v>
      </c>
      <c r="L250" s="228">
        <f t="shared" si="32"/>
        <v>0</v>
      </c>
      <c r="M250" s="228">
        <v>366.93</v>
      </c>
      <c r="N250" s="228">
        <f>+M250*1000/(35.8*10*13*60)*T250</f>
        <v>2.6280618822518265</v>
      </c>
      <c r="O250" s="228"/>
      <c r="P250" s="228">
        <f t="shared" si="34"/>
        <v>0</v>
      </c>
      <c r="Q250" s="228"/>
      <c r="R250" s="19">
        <f t="shared" si="35"/>
        <v>0</v>
      </c>
      <c r="S250" s="228">
        <f t="shared" si="36"/>
        <v>0</v>
      </c>
      <c r="T250" s="20">
        <v>2</v>
      </c>
      <c r="U250" s="20"/>
      <c r="V250" s="235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226">
        <v>300036</v>
      </c>
      <c r="B251" s="223" t="s">
        <v>60</v>
      </c>
      <c r="C251" s="248" t="s">
        <v>61</v>
      </c>
      <c r="D251" s="248" t="s">
        <v>62</v>
      </c>
      <c r="E251" s="230" t="s">
        <v>63</v>
      </c>
      <c r="F251" s="229"/>
      <c r="G251" s="228"/>
      <c r="H251" s="228"/>
      <c r="I251" s="228"/>
      <c r="J251" s="228"/>
      <c r="K251" s="228">
        <f t="shared" si="31"/>
        <v>0</v>
      </c>
      <c r="L251" s="228">
        <f t="shared" si="32"/>
        <v>0</v>
      </c>
      <c r="M251" s="228">
        <v>366.93</v>
      </c>
      <c r="N251" s="228">
        <f>+M251*1000/(35.8*10*13*60)*T251</f>
        <v>2.6280618822518265</v>
      </c>
      <c r="O251" s="228"/>
      <c r="P251" s="228">
        <f t="shared" si="34"/>
        <v>0</v>
      </c>
      <c r="Q251" s="228"/>
      <c r="R251" s="19">
        <f t="shared" si="35"/>
        <v>0</v>
      </c>
      <c r="S251" s="228">
        <f t="shared" si="36"/>
        <v>0</v>
      </c>
      <c r="T251" s="20">
        <v>2</v>
      </c>
      <c r="U251" s="20"/>
      <c r="V251" s="235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226">
        <v>300037</v>
      </c>
      <c r="B252" s="223">
        <v>3602</v>
      </c>
      <c r="C252" s="248" t="s">
        <v>61</v>
      </c>
      <c r="D252" s="248" t="s">
        <v>62</v>
      </c>
      <c r="E252" s="230" t="s">
        <v>37</v>
      </c>
      <c r="F252" s="229">
        <v>1595</v>
      </c>
      <c r="G252" s="228">
        <v>8</v>
      </c>
      <c r="H252" s="228"/>
      <c r="I252" s="228">
        <f>8-J252/250</f>
        <v>7.8</v>
      </c>
      <c r="J252" s="228">
        <v>50</v>
      </c>
      <c r="K252" s="228">
        <f t="shared" si="31"/>
        <v>2935.44</v>
      </c>
      <c r="L252" s="228">
        <f t="shared" si="32"/>
        <v>2862.0540000000001</v>
      </c>
      <c r="M252" s="228">
        <v>366.93</v>
      </c>
      <c r="N252" s="228">
        <f>+M252*1000/(35.8*10*13*60)*T252</f>
        <v>2.6280618822518265</v>
      </c>
      <c r="O252" s="228"/>
      <c r="P252" s="228">
        <f t="shared" si="34"/>
        <v>20.498882681564247</v>
      </c>
      <c r="Q252" s="228">
        <v>10</v>
      </c>
      <c r="R252" s="19">
        <f t="shared" si="35"/>
        <v>30</v>
      </c>
      <c r="S252" s="228">
        <f t="shared" si="36"/>
        <v>9.5011173184357531</v>
      </c>
      <c r="T252" s="20">
        <v>2</v>
      </c>
      <c r="U252" s="20">
        <v>3</v>
      </c>
      <c r="V252" s="235">
        <f t="array" ref="V252">IF(ISERROR(L252/K252),"",L252/K252)</f>
        <v>0.97499999999999998</v>
      </c>
      <c r="W252" s="20"/>
      <c r="X252" s="20"/>
      <c r="Y252" s="20"/>
      <c r="Z252" s="20"/>
      <c r="AA252" s="20">
        <v>2</v>
      </c>
      <c r="AB252" s="20"/>
      <c r="AC252" s="20"/>
    </row>
    <row r="253" spans="1:29" s="2" customFormat="1" ht="21.95" hidden="1" customHeight="1">
      <c r="A253" s="226">
        <v>300038</v>
      </c>
      <c r="B253" s="223" t="s">
        <v>60</v>
      </c>
      <c r="C253" s="248" t="s">
        <v>64</v>
      </c>
      <c r="D253" s="248" t="s">
        <v>65</v>
      </c>
      <c r="E253" s="230" t="s">
        <v>35</v>
      </c>
      <c r="F253" s="229"/>
      <c r="G253" s="228"/>
      <c r="H253" s="228"/>
      <c r="I253" s="228"/>
      <c r="J253" s="228"/>
      <c r="K253" s="228">
        <f t="shared" si="31"/>
        <v>0</v>
      </c>
      <c r="L253" s="228">
        <f t="shared" si="32"/>
        <v>0</v>
      </c>
      <c r="M253" s="228">
        <v>301.14</v>
      </c>
      <c r="N253" s="228">
        <f>+M253*1000/(35.8*10*13*60)*T253</f>
        <v>5.3921357971637294</v>
      </c>
      <c r="O253" s="228"/>
      <c r="P253" s="228">
        <f t="shared" si="34"/>
        <v>0</v>
      </c>
      <c r="Q253" s="228"/>
      <c r="R253" s="19">
        <f t="shared" si="35"/>
        <v>0</v>
      </c>
      <c r="S253" s="228">
        <f t="shared" si="36"/>
        <v>0</v>
      </c>
      <c r="T253" s="20">
        <v>5</v>
      </c>
      <c r="U253" s="20"/>
      <c r="V253" s="235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226">
        <v>300039</v>
      </c>
      <c r="B254" s="223" t="s">
        <v>60</v>
      </c>
      <c r="C254" s="248" t="s">
        <v>64</v>
      </c>
      <c r="D254" s="248" t="s">
        <v>65</v>
      </c>
      <c r="E254" s="230" t="s">
        <v>66</v>
      </c>
      <c r="F254" s="229"/>
      <c r="G254" s="228"/>
      <c r="H254" s="228"/>
      <c r="I254" s="228"/>
      <c r="J254" s="228"/>
      <c r="K254" s="228">
        <f t="shared" si="31"/>
        <v>0</v>
      </c>
      <c r="L254" s="228">
        <f t="shared" si="32"/>
        <v>0</v>
      </c>
      <c r="M254" s="228">
        <v>310.39999999999998</v>
      </c>
      <c r="N254" s="228">
        <f>+M254*1000/(35.8*10*13*60)*T254</f>
        <v>5.557942988110586</v>
      </c>
      <c r="O254" s="228"/>
      <c r="P254" s="228">
        <f t="shared" si="34"/>
        <v>0</v>
      </c>
      <c r="Q254" s="228"/>
      <c r="R254" s="19">
        <f t="shared" si="35"/>
        <v>0</v>
      </c>
      <c r="S254" s="228">
        <f t="shared" si="36"/>
        <v>0</v>
      </c>
      <c r="T254" s="20">
        <v>5</v>
      </c>
      <c r="U254" s="20"/>
      <c r="V254" s="235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226">
        <v>300416</v>
      </c>
      <c r="B255" s="223" t="s">
        <v>67</v>
      </c>
      <c r="C255" s="259" t="s">
        <v>68</v>
      </c>
      <c r="D255" s="260"/>
      <c r="E255" s="230" t="s">
        <v>69</v>
      </c>
      <c r="F255" s="229"/>
      <c r="G255" s="228"/>
      <c r="H255" s="228"/>
      <c r="I255" s="228"/>
      <c r="J255" s="228"/>
      <c r="K255" s="228">
        <f t="shared" si="31"/>
        <v>0</v>
      </c>
      <c r="L255" s="228">
        <f t="shared" si="32"/>
        <v>0</v>
      </c>
      <c r="M255" s="228">
        <v>385.6</v>
      </c>
      <c r="N255" s="228">
        <f>+M255*1000/(25.4*20*15*60)*T255</f>
        <v>2.5301837270341205</v>
      </c>
      <c r="O255" s="228"/>
      <c r="P255" s="228">
        <f t="shared" si="34"/>
        <v>0</v>
      </c>
      <c r="Q255" s="228"/>
      <c r="R255" s="19">
        <f t="shared" si="35"/>
        <v>0</v>
      </c>
      <c r="S255" s="228">
        <f t="shared" si="36"/>
        <v>0</v>
      </c>
      <c r="T255" s="20">
        <v>3</v>
      </c>
      <c r="U255" s="20"/>
      <c r="V255" s="235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226">
        <v>300417</v>
      </c>
      <c r="B256" s="223" t="s">
        <v>67</v>
      </c>
      <c r="C256" s="259" t="s">
        <v>68</v>
      </c>
      <c r="D256" s="260"/>
      <c r="E256" s="230" t="s">
        <v>70</v>
      </c>
      <c r="F256" s="229"/>
      <c r="G256" s="228"/>
      <c r="H256" s="228"/>
      <c r="I256" s="228"/>
      <c r="J256" s="228"/>
      <c r="K256" s="228">
        <f t="shared" si="31"/>
        <v>0</v>
      </c>
      <c r="L256" s="228">
        <f t="shared" si="32"/>
        <v>0</v>
      </c>
      <c r="M256" s="228">
        <v>385.6</v>
      </c>
      <c r="N256" s="228">
        <f>+M256*1000/(25.4*20*15*60)*T256</f>
        <v>2.5301837270341205</v>
      </c>
      <c r="O256" s="228"/>
      <c r="P256" s="228">
        <f t="shared" si="34"/>
        <v>0</v>
      </c>
      <c r="Q256" s="228"/>
      <c r="R256" s="19">
        <f t="shared" si="35"/>
        <v>0</v>
      </c>
      <c r="S256" s="228">
        <f t="shared" si="36"/>
        <v>0</v>
      </c>
      <c r="T256" s="20">
        <v>3</v>
      </c>
      <c r="U256" s="20"/>
      <c r="V256" s="235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226">
        <v>300418</v>
      </c>
      <c r="B257" s="223" t="s">
        <v>67</v>
      </c>
      <c r="C257" s="259" t="s">
        <v>68</v>
      </c>
      <c r="D257" s="260"/>
      <c r="E257" s="230" t="s">
        <v>71</v>
      </c>
      <c r="F257" s="229"/>
      <c r="G257" s="228"/>
      <c r="H257" s="228"/>
      <c r="I257" s="228"/>
      <c r="J257" s="228"/>
      <c r="K257" s="228">
        <f t="shared" si="31"/>
        <v>0</v>
      </c>
      <c r="L257" s="228">
        <f t="shared" si="32"/>
        <v>0</v>
      </c>
      <c r="M257" s="228">
        <v>385.6</v>
      </c>
      <c r="N257" s="228">
        <f>+M257*1000/(25.4*20*15*60)*T257</f>
        <v>2.5301837270341205</v>
      </c>
      <c r="O257" s="228"/>
      <c r="P257" s="228">
        <f t="shared" si="34"/>
        <v>0</v>
      </c>
      <c r="Q257" s="228"/>
      <c r="R257" s="19">
        <f t="shared" si="35"/>
        <v>0</v>
      </c>
      <c r="S257" s="228">
        <f t="shared" si="36"/>
        <v>0</v>
      </c>
      <c r="T257" s="20">
        <v>3</v>
      </c>
      <c r="U257" s="20"/>
      <c r="V257" s="235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226">
        <v>300419</v>
      </c>
      <c r="B258" s="223" t="s">
        <v>67</v>
      </c>
      <c r="C258" s="259" t="s">
        <v>68</v>
      </c>
      <c r="D258" s="260"/>
      <c r="E258" s="230" t="s">
        <v>72</v>
      </c>
      <c r="F258" s="229"/>
      <c r="G258" s="228"/>
      <c r="H258" s="228"/>
      <c r="I258" s="228"/>
      <c r="J258" s="228"/>
      <c r="K258" s="228">
        <f t="shared" si="31"/>
        <v>0</v>
      </c>
      <c r="L258" s="228">
        <f t="shared" si="32"/>
        <v>0</v>
      </c>
      <c r="M258" s="228">
        <v>385.6</v>
      </c>
      <c r="N258" s="228">
        <f>+M258*1000/(25.4*20*15*60)*T258</f>
        <v>2.5301837270341205</v>
      </c>
      <c r="O258" s="228"/>
      <c r="P258" s="228">
        <f t="shared" si="34"/>
        <v>0</v>
      </c>
      <c r="Q258" s="228"/>
      <c r="R258" s="19">
        <f t="shared" si="35"/>
        <v>0</v>
      </c>
      <c r="S258" s="228">
        <f t="shared" si="36"/>
        <v>0</v>
      </c>
      <c r="T258" s="20">
        <v>3</v>
      </c>
      <c r="U258" s="20"/>
      <c r="V258" s="235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226">
        <v>300260</v>
      </c>
      <c r="B259" s="223" t="s">
        <v>67</v>
      </c>
      <c r="C259" s="248" t="s">
        <v>73</v>
      </c>
      <c r="D259" s="248"/>
      <c r="E259" s="230" t="s">
        <v>74</v>
      </c>
      <c r="F259" s="229"/>
      <c r="G259" s="228"/>
      <c r="H259" s="228"/>
      <c r="I259" s="228"/>
      <c r="J259" s="228"/>
      <c r="K259" s="228">
        <f t="shared" si="31"/>
        <v>0</v>
      </c>
      <c r="L259" s="228">
        <f t="shared" si="32"/>
        <v>0</v>
      </c>
      <c r="M259" s="228">
        <v>434.33</v>
      </c>
      <c r="N259" s="228">
        <f>+M259*1000/(42.7*10*15*60)*T259</f>
        <v>2.2603695029924538</v>
      </c>
      <c r="O259" s="228"/>
      <c r="P259" s="228">
        <f t="shared" si="34"/>
        <v>0</v>
      </c>
      <c r="Q259" s="228"/>
      <c r="R259" s="19">
        <f t="shared" si="35"/>
        <v>0</v>
      </c>
      <c r="S259" s="228">
        <f t="shared" si="36"/>
        <v>0</v>
      </c>
      <c r="T259" s="20">
        <v>2</v>
      </c>
      <c r="U259" s="20"/>
      <c r="V259" s="235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226">
        <v>300261</v>
      </c>
      <c r="B260" s="223" t="s">
        <v>67</v>
      </c>
      <c r="C260" s="248" t="s">
        <v>73</v>
      </c>
      <c r="D260" s="248"/>
      <c r="E260" s="230" t="s">
        <v>41</v>
      </c>
      <c r="F260" s="229"/>
      <c r="G260" s="228"/>
      <c r="H260" s="228"/>
      <c r="I260" s="228"/>
      <c r="J260" s="228"/>
      <c r="K260" s="228">
        <f t="shared" si="31"/>
        <v>0</v>
      </c>
      <c r="L260" s="228">
        <f t="shared" si="32"/>
        <v>0</v>
      </c>
      <c r="M260" s="228">
        <v>434.33</v>
      </c>
      <c r="N260" s="228">
        <f>+M260*1000/(42.7*10*15*60)*T260</f>
        <v>2.2603695029924538</v>
      </c>
      <c r="O260" s="228"/>
      <c r="P260" s="228">
        <f t="shared" si="34"/>
        <v>0</v>
      </c>
      <c r="Q260" s="228"/>
      <c r="R260" s="19">
        <f t="shared" si="35"/>
        <v>0</v>
      </c>
      <c r="S260" s="228">
        <f t="shared" si="36"/>
        <v>0</v>
      </c>
      <c r="T260" s="20">
        <v>2</v>
      </c>
      <c r="U260" s="20"/>
      <c r="V260" s="235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226">
        <v>300262</v>
      </c>
      <c r="B261" s="223" t="s">
        <v>67</v>
      </c>
      <c r="C261" s="248" t="s">
        <v>73</v>
      </c>
      <c r="D261" s="248"/>
      <c r="E261" s="230" t="s">
        <v>39</v>
      </c>
      <c r="F261" s="229"/>
      <c r="G261" s="228"/>
      <c r="H261" s="228"/>
      <c r="I261" s="228"/>
      <c r="J261" s="228"/>
      <c r="K261" s="228">
        <f t="shared" si="31"/>
        <v>0</v>
      </c>
      <c r="L261" s="228">
        <f t="shared" si="32"/>
        <v>0</v>
      </c>
      <c r="M261" s="228">
        <v>434.33</v>
      </c>
      <c r="N261" s="228">
        <f>+M261*1000/(42.7*10*15*60)*T261</f>
        <v>2.2603695029924538</v>
      </c>
      <c r="O261" s="228"/>
      <c r="P261" s="228">
        <f t="shared" si="34"/>
        <v>0</v>
      </c>
      <c r="Q261" s="228"/>
      <c r="R261" s="19">
        <f t="shared" si="35"/>
        <v>0</v>
      </c>
      <c r="S261" s="228">
        <f t="shared" si="36"/>
        <v>0</v>
      </c>
      <c r="T261" s="20">
        <v>2</v>
      </c>
      <c r="U261" s="20"/>
      <c r="V261" s="235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226">
        <v>300263</v>
      </c>
      <c r="B262" s="223" t="s">
        <v>67</v>
      </c>
      <c r="C262" s="248" t="s">
        <v>73</v>
      </c>
      <c r="D262" s="248"/>
      <c r="E262" s="230" t="s">
        <v>54</v>
      </c>
      <c r="F262" s="229"/>
      <c r="G262" s="228"/>
      <c r="H262" s="228"/>
      <c r="I262" s="228"/>
      <c r="J262" s="228"/>
      <c r="K262" s="228">
        <f t="shared" si="31"/>
        <v>0</v>
      </c>
      <c r="L262" s="228">
        <f t="shared" si="32"/>
        <v>0</v>
      </c>
      <c r="M262" s="228">
        <v>434.33</v>
      </c>
      <c r="N262" s="228">
        <f>+M262*1000/(42.7*10*15*60)*T262</f>
        <v>2.2603695029924538</v>
      </c>
      <c r="O262" s="228"/>
      <c r="P262" s="228">
        <f t="shared" si="34"/>
        <v>0</v>
      </c>
      <c r="Q262" s="228"/>
      <c r="R262" s="19">
        <f t="shared" si="35"/>
        <v>0</v>
      </c>
      <c r="S262" s="228">
        <f t="shared" si="36"/>
        <v>0</v>
      </c>
      <c r="T262" s="20">
        <v>2</v>
      </c>
      <c r="U262" s="20"/>
      <c r="V262" s="235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226">
        <v>300051</v>
      </c>
      <c r="B263" s="223" t="s">
        <v>67</v>
      </c>
      <c r="C263" s="248" t="s">
        <v>75</v>
      </c>
      <c r="D263" s="248" t="s">
        <v>76</v>
      </c>
      <c r="E263" s="230" t="s">
        <v>40</v>
      </c>
      <c r="F263" s="229"/>
      <c r="G263" s="228"/>
      <c r="H263" s="228"/>
      <c r="I263" s="228"/>
      <c r="J263" s="228"/>
      <c r="K263" s="228">
        <f t="shared" si="31"/>
        <v>0</v>
      </c>
      <c r="L263" s="228">
        <f t="shared" si="32"/>
        <v>0</v>
      </c>
      <c r="M263" s="228">
        <v>545.9</v>
      </c>
      <c r="N263" s="228">
        <f>+M263*1000/(41.5*10*16*60)*T263</f>
        <v>2.7404618473895583</v>
      </c>
      <c r="O263" s="228"/>
      <c r="P263" s="228">
        <f t="shared" si="34"/>
        <v>0</v>
      </c>
      <c r="Q263" s="228"/>
      <c r="R263" s="19">
        <f t="shared" si="35"/>
        <v>0</v>
      </c>
      <c r="S263" s="228">
        <f t="shared" si="36"/>
        <v>0</v>
      </c>
      <c r="T263" s="22">
        <v>2</v>
      </c>
      <c r="U263" s="20"/>
      <c r="V263" s="235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226">
        <v>300052</v>
      </c>
      <c r="B264" s="223" t="s">
        <v>67</v>
      </c>
      <c r="C264" s="248" t="s">
        <v>75</v>
      </c>
      <c r="D264" s="248" t="s">
        <v>76</v>
      </c>
      <c r="E264" s="230" t="s">
        <v>39</v>
      </c>
      <c r="F264" s="229"/>
      <c r="G264" s="228"/>
      <c r="H264" s="228"/>
      <c r="I264" s="228"/>
      <c r="J264" s="228"/>
      <c r="K264" s="228">
        <f t="shared" si="31"/>
        <v>0</v>
      </c>
      <c r="L264" s="228">
        <f t="shared" si="32"/>
        <v>0</v>
      </c>
      <c r="M264" s="228">
        <v>545.9</v>
      </c>
      <c r="N264" s="228">
        <f>+M264*1000/(41.5*10*16*60)*T264</f>
        <v>2.7404618473895583</v>
      </c>
      <c r="O264" s="228"/>
      <c r="P264" s="228">
        <f t="shared" si="34"/>
        <v>0</v>
      </c>
      <c r="Q264" s="228"/>
      <c r="R264" s="19">
        <f t="shared" si="35"/>
        <v>0</v>
      </c>
      <c r="S264" s="228">
        <f t="shared" si="36"/>
        <v>0</v>
      </c>
      <c r="T264" s="20">
        <v>2</v>
      </c>
      <c r="U264" s="20"/>
      <c r="V264" s="235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226">
        <v>300054</v>
      </c>
      <c r="B265" s="223">
        <v>4503</v>
      </c>
      <c r="C265" s="248" t="s">
        <v>75</v>
      </c>
      <c r="D265" s="248" t="s">
        <v>76</v>
      </c>
      <c r="E265" s="230" t="s">
        <v>38</v>
      </c>
      <c r="F265" s="229">
        <v>1571</v>
      </c>
      <c r="G265" s="228">
        <v>2.4</v>
      </c>
      <c r="H265" s="228"/>
      <c r="I265" s="228">
        <f>2-J265/500</f>
        <v>1.7</v>
      </c>
      <c r="J265" s="228">
        <v>150</v>
      </c>
      <c r="K265" s="228">
        <f t="shared" si="31"/>
        <v>1310.1599999999999</v>
      </c>
      <c r="L265" s="228">
        <f t="shared" si="32"/>
        <v>928.03</v>
      </c>
      <c r="M265" s="228">
        <v>545.9</v>
      </c>
      <c r="N265" s="228">
        <f>+M265*1000/(41.5*10*16*60)*T265</f>
        <v>2.7404618473895583</v>
      </c>
      <c r="O265" s="228">
        <v>0.5</v>
      </c>
      <c r="P265" s="228">
        <f t="shared" si="34"/>
        <v>5.6587851405622489</v>
      </c>
      <c r="Q265" s="228">
        <v>9.5</v>
      </c>
      <c r="R265" s="19">
        <f t="shared" si="35"/>
        <v>19</v>
      </c>
      <c r="S265" s="228">
        <f t="shared" si="36"/>
        <v>13.341214859437752</v>
      </c>
      <c r="T265" s="20">
        <v>2</v>
      </c>
      <c r="U265" s="20">
        <v>2</v>
      </c>
      <c r="V265" s="235">
        <f t="array" ref="V265">IF(ISERROR(L265/K265),"",L265/K265)</f>
        <v>0.70833333333333337</v>
      </c>
      <c r="W265" s="20"/>
      <c r="X265" s="191">
        <f>60/60*2</f>
        <v>2</v>
      </c>
      <c r="Y265" s="20"/>
      <c r="Z265" s="20"/>
      <c r="AA265" s="20"/>
      <c r="AB265" s="20"/>
      <c r="AC265" s="20"/>
    </row>
    <row r="266" spans="1:29" s="2" customFormat="1" ht="21.95" customHeight="1">
      <c r="A266" s="226">
        <v>300436</v>
      </c>
      <c r="B266" s="223">
        <v>4503</v>
      </c>
      <c r="C266" s="248" t="s">
        <v>75</v>
      </c>
      <c r="D266" s="248" t="s">
        <v>76</v>
      </c>
      <c r="E266" s="230" t="s">
        <v>309</v>
      </c>
      <c r="F266" s="27">
        <v>1570</v>
      </c>
      <c r="G266" s="228">
        <v>5.6</v>
      </c>
      <c r="H266" s="228">
        <v>0.6</v>
      </c>
      <c r="I266" s="228">
        <f>5+H266</f>
        <v>5.6</v>
      </c>
      <c r="J266" s="228"/>
      <c r="K266" s="228">
        <f t="shared" si="31"/>
        <v>3057.0399999999995</v>
      </c>
      <c r="L266" s="228">
        <f t="shared" si="32"/>
        <v>3057.0399999999995</v>
      </c>
      <c r="M266" s="228">
        <v>545.9</v>
      </c>
      <c r="N266" s="228">
        <f>+M266*1000/(41.5*10*16*60)*T266</f>
        <v>2.7404618473895583</v>
      </c>
      <c r="O266" s="228"/>
      <c r="P266" s="228">
        <f t="shared" si="34"/>
        <v>15.346586345381526</v>
      </c>
      <c r="Q266" s="228">
        <v>2</v>
      </c>
      <c r="R266" s="19">
        <f t="shared" si="35"/>
        <v>4</v>
      </c>
      <c r="S266" s="228">
        <f t="shared" si="36"/>
        <v>-11.346586345381526</v>
      </c>
      <c r="T266" s="20">
        <v>2</v>
      </c>
      <c r="U266" s="20">
        <v>2</v>
      </c>
      <c r="V266" s="235">
        <f t="array" ref="V266">IF(ISERROR(L266/K266),"",L266/K266)</f>
        <v>1</v>
      </c>
      <c r="W266" s="20"/>
      <c r="X266" s="191"/>
      <c r="Y266" s="20"/>
      <c r="Z266" s="20"/>
      <c r="AA266" s="20"/>
      <c r="AB266" s="20"/>
      <c r="AC266" s="20"/>
    </row>
    <row r="267" spans="1:29" s="2" customFormat="1" ht="21.95" hidden="1" customHeight="1">
      <c r="A267" s="226">
        <v>300050</v>
      </c>
      <c r="B267" s="223" t="s">
        <v>67</v>
      </c>
      <c r="C267" s="248" t="s">
        <v>77</v>
      </c>
      <c r="D267" s="248" t="s">
        <v>78</v>
      </c>
      <c r="E267" s="230" t="s">
        <v>79</v>
      </c>
      <c r="F267" s="229"/>
      <c r="G267" s="228"/>
      <c r="H267" s="228"/>
      <c r="I267" s="228"/>
      <c r="J267" s="228"/>
      <c r="K267" s="228">
        <f t="shared" si="31"/>
        <v>0</v>
      </c>
      <c r="L267" s="228">
        <f t="shared" si="32"/>
        <v>0</v>
      </c>
      <c r="M267" s="228">
        <v>427.5</v>
      </c>
      <c r="N267" s="228">
        <f>+M267*1000/(45*10*14*60)*T267</f>
        <v>5.6547619047619051</v>
      </c>
      <c r="O267" s="228"/>
      <c r="P267" s="228">
        <f t="shared" si="34"/>
        <v>0</v>
      </c>
      <c r="Q267" s="228"/>
      <c r="R267" s="19">
        <f t="shared" si="35"/>
        <v>0</v>
      </c>
      <c r="S267" s="228">
        <f t="shared" si="36"/>
        <v>0</v>
      </c>
      <c r="T267" s="20">
        <v>5</v>
      </c>
      <c r="U267" s="20"/>
      <c r="V267" s="235" t="str">
        <f t="array" ref="V267">IF(ISERROR(L267/K267),"",L267/K267)</f>
        <v/>
      </c>
      <c r="W267" s="20"/>
      <c r="X267" s="191"/>
      <c r="Y267" s="20"/>
      <c r="Z267" s="20"/>
      <c r="AA267" s="20"/>
      <c r="AB267" s="20"/>
      <c r="AC267" s="20"/>
    </row>
    <row r="268" spans="1:29" s="2" customFormat="1" ht="21.95" hidden="1" customHeight="1">
      <c r="A268" s="226">
        <v>300045</v>
      </c>
      <c r="B268" s="223" t="s">
        <v>67</v>
      </c>
      <c r="C268" s="248" t="s">
        <v>77</v>
      </c>
      <c r="D268" s="248" t="s">
        <v>78</v>
      </c>
      <c r="E268" s="230" t="s">
        <v>35</v>
      </c>
      <c r="F268" s="229"/>
      <c r="G268" s="228"/>
      <c r="H268" s="228"/>
      <c r="I268" s="228"/>
      <c r="J268" s="228"/>
      <c r="K268" s="228">
        <f t="shared" si="31"/>
        <v>0</v>
      </c>
      <c r="L268" s="228">
        <f t="shared" si="32"/>
        <v>0</v>
      </c>
      <c r="M268" s="228">
        <v>406.6</v>
      </c>
      <c r="N268" s="228">
        <f>+M268*1000/(45*10*13*60)*T268</f>
        <v>5.7920227920227916</v>
      </c>
      <c r="O268" s="228"/>
      <c r="P268" s="228">
        <f t="shared" si="34"/>
        <v>0</v>
      </c>
      <c r="Q268" s="228"/>
      <c r="R268" s="19">
        <f t="shared" si="35"/>
        <v>0</v>
      </c>
      <c r="S268" s="228">
        <f t="shared" si="36"/>
        <v>0</v>
      </c>
      <c r="T268" s="20">
        <v>5</v>
      </c>
      <c r="U268" s="20"/>
      <c r="V268" s="235" t="str">
        <f t="array" ref="V268">IF(ISERROR(L268/K268),"",L268/K268)</f>
        <v/>
      </c>
      <c r="W268" s="20"/>
      <c r="X268" s="191"/>
      <c r="Y268" s="20"/>
      <c r="Z268" s="20"/>
      <c r="AA268" s="20"/>
      <c r="AB268" s="20"/>
      <c r="AC268" s="20"/>
    </row>
    <row r="269" spans="1:29" s="2" customFormat="1" ht="21.95" hidden="1" customHeight="1">
      <c r="A269" s="226">
        <v>300422</v>
      </c>
      <c r="B269" s="223" t="s">
        <v>67</v>
      </c>
      <c r="C269" s="259" t="s">
        <v>301</v>
      </c>
      <c r="D269" s="260"/>
      <c r="E269" s="230" t="s">
        <v>54</v>
      </c>
      <c r="F269" s="229"/>
      <c r="G269" s="228"/>
      <c r="H269" s="228"/>
      <c r="I269" s="228"/>
      <c r="J269" s="228"/>
      <c r="K269" s="228">
        <f t="shared" si="31"/>
        <v>0</v>
      </c>
      <c r="L269" s="228">
        <f t="shared" si="32"/>
        <v>0</v>
      </c>
      <c r="M269" s="228">
        <v>429.8</v>
      </c>
      <c r="N269" s="228">
        <f>+M269*1000/(45*10*13*60)*T269</f>
        <v>3.6735042735042738</v>
      </c>
      <c r="O269" s="228"/>
      <c r="P269" s="228">
        <f t="shared" si="34"/>
        <v>0</v>
      </c>
      <c r="Q269" s="228"/>
      <c r="R269" s="19">
        <f t="shared" si="35"/>
        <v>0</v>
      </c>
      <c r="S269" s="228">
        <f t="shared" si="36"/>
        <v>0</v>
      </c>
      <c r="T269" s="20">
        <v>3</v>
      </c>
      <c r="U269" s="20"/>
      <c r="V269" s="235" t="str">
        <f t="array" ref="V269">IF(ISERROR(L269/K269),"",L269/K269)</f>
        <v/>
      </c>
      <c r="W269" s="20"/>
      <c r="X269" s="191"/>
      <c r="Y269" s="20"/>
      <c r="Z269" s="20"/>
      <c r="AA269" s="20"/>
      <c r="AB269" s="20"/>
      <c r="AC269" s="20"/>
    </row>
    <row r="270" spans="1:29" s="2" customFormat="1" ht="21.95" hidden="1" customHeight="1">
      <c r="A270" s="226">
        <v>300421</v>
      </c>
      <c r="B270" s="223" t="s">
        <v>67</v>
      </c>
      <c r="C270" s="259" t="s">
        <v>301</v>
      </c>
      <c r="D270" s="260"/>
      <c r="E270" s="230" t="s">
        <v>80</v>
      </c>
      <c r="F270" s="229"/>
      <c r="G270" s="228"/>
      <c r="H270" s="228"/>
      <c r="I270" s="228"/>
      <c r="J270" s="228"/>
      <c r="K270" s="228">
        <f t="shared" si="31"/>
        <v>0</v>
      </c>
      <c r="L270" s="228">
        <f t="shared" si="32"/>
        <v>0</v>
      </c>
      <c r="M270" s="228">
        <v>429.8</v>
      </c>
      <c r="N270" s="228">
        <f>+M270*1000/(45*10*13*60)*T270</f>
        <v>3.6735042735042738</v>
      </c>
      <c r="O270" s="228"/>
      <c r="P270" s="228">
        <f t="shared" si="34"/>
        <v>0</v>
      </c>
      <c r="Q270" s="228"/>
      <c r="R270" s="19">
        <f t="shared" si="35"/>
        <v>0</v>
      </c>
      <c r="S270" s="228">
        <f t="shared" si="36"/>
        <v>0</v>
      </c>
      <c r="T270" s="20">
        <v>3</v>
      </c>
      <c r="U270" s="20"/>
      <c r="V270" s="235" t="str">
        <f t="array" ref="V270">IF(ISERROR(L270/K270),"",L270/K270)</f>
        <v/>
      </c>
      <c r="W270" s="20"/>
      <c r="X270" s="191"/>
      <c r="Y270" s="20"/>
      <c r="Z270" s="20"/>
      <c r="AA270" s="20"/>
      <c r="AB270" s="20"/>
      <c r="AC270" s="20"/>
    </row>
    <row r="271" spans="1:29" s="2" customFormat="1" ht="21.95" hidden="1" customHeight="1">
      <c r="A271" s="226">
        <v>300149</v>
      </c>
      <c r="B271" s="223" t="s">
        <v>67</v>
      </c>
      <c r="C271" s="248" t="s">
        <v>81</v>
      </c>
      <c r="D271" s="248" t="s">
        <v>82</v>
      </c>
      <c r="E271" s="230" t="s">
        <v>80</v>
      </c>
      <c r="F271" s="229"/>
      <c r="G271" s="228"/>
      <c r="H271" s="228"/>
      <c r="I271" s="228"/>
      <c r="J271" s="228"/>
      <c r="K271" s="228">
        <f t="shared" si="31"/>
        <v>0</v>
      </c>
      <c r="L271" s="228">
        <f t="shared" si="32"/>
        <v>0</v>
      </c>
      <c r="M271" s="228">
        <v>589.1</v>
      </c>
      <c r="N271" s="228">
        <f>+M271*1000/(67.1*10*13*60)*T271</f>
        <v>3.3767052619511633</v>
      </c>
      <c r="O271" s="228"/>
      <c r="P271" s="228">
        <f t="shared" si="34"/>
        <v>0</v>
      </c>
      <c r="Q271" s="228"/>
      <c r="R271" s="19">
        <f t="shared" si="35"/>
        <v>0</v>
      </c>
      <c r="S271" s="228">
        <f t="shared" si="36"/>
        <v>0</v>
      </c>
      <c r="T271" s="20">
        <v>3</v>
      </c>
      <c r="U271" s="20"/>
      <c r="V271" s="235" t="str">
        <f t="array" ref="V271">IF(ISERROR(L271/K271),"",L271/K271)</f>
        <v/>
      </c>
      <c r="W271" s="20"/>
      <c r="X271" s="191"/>
      <c r="Y271" s="20"/>
      <c r="Z271" s="20"/>
      <c r="AA271" s="20"/>
      <c r="AB271" s="20"/>
      <c r="AC271" s="20"/>
    </row>
    <row r="272" spans="1:29" s="2" customFormat="1" ht="21.95" hidden="1" customHeight="1">
      <c r="A272" s="226">
        <v>300150</v>
      </c>
      <c r="B272" s="223" t="s">
        <v>67</v>
      </c>
      <c r="C272" s="248" t="s">
        <v>81</v>
      </c>
      <c r="D272" s="248" t="s">
        <v>82</v>
      </c>
      <c r="E272" s="230" t="s">
        <v>54</v>
      </c>
      <c r="F272" s="229"/>
      <c r="G272" s="228"/>
      <c r="H272" s="228"/>
      <c r="I272" s="228"/>
      <c r="J272" s="228"/>
      <c r="K272" s="228">
        <f t="shared" si="31"/>
        <v>0</v>
      </c>
      <c r="L272" s="228">
        <f t="shared" si="32"/>
        <v>0</v>
      </c>
      <c r="M272" s="228">
        <v>589.1</v>
      </c>
      <c r="N272" s="228">
        <f>+M272*1000/(67.1*10*13*60)*T272</f>
        <v>3.3767052619511633</v>
      </c>
      <c r="O272" s="228"/>
      <c r="P272" s="228">
        <f t="shared" si="34"/>
        <v>0</v>
      </c>
      <c r="Q272" s="228"/>
      <c r="R272" s="19">
        <f t="shared" si="35"/>
        <v>0</v>
      </c>
      <c r="S272" s="228">
        <f t="shared" si="36"/>
        <v>0</v>
      </c>
      <c r="T272" s="20">
        <v>3</v>
      </c>
      <c r="U272" s="20"/>
      <c r="V272" s="235" t="str">
        <f t="array" ref="V272">IF(ISERROR(L272/K272),"",L272/K272)</f>
        <v/>
      </c>
      <c r="W272" s="20"/>
      <c r="X272" s="191"/>
      <c r="Y272" s="20"/>
      <c r="Z272" s="20"/>
      <c r="AA272" s="20"/>
      <c r="AB272" s="20"/>
      <c r="AC272" s="20"/>
    </row>
    <row r="273" spans="1:29" s="2" customFormat="1" ht="21.95" hidden="1" customHeight="1">
      <c r="A273" s="226">
        <v>300330</v>
      </c>
      <c r="B273" s="223" t="s">
        <v>67</v>
      </c>
      <c r="C273" s="259" t="s">
        <v>83</v>
      </c>
      <c r="D273" s="260"/>
      <c r="E273" s="230" t="s">
        <v>84</v>
      </c>
      <c r="F273" s="229"/>
      <c r="G273" s="228"/>
      <c r="H273" s="228"/>
      <c r="I273" s="228"/>
      <c r="J273" s="228"/>
      <c r="K273" s="228">
        <f t="shared" si="31"/>
        <v>0</v>
      </c>
      <c r="L273" s="228">
        <f t="shared" si="32"/>
        <v>0</v>
      </c>
      <c r="M273" s="228">
        <v>416.3</v>
      </c>
      <c r="N273" s="228">
        <f t="shared" ref="N273:N278" si="37">+M273*1000/(45*10*18*60)*T273</f>
        <v>1.7131687242798355</v>
      </c>
      <c r="O273" s="228"/>
      <c r="P273" s="228">
        <f t="shared" si="34"/>
        <v>0</v>
      </c>
      <c r="Q273" s="228"/>
      <c r="R273" s="19">
        <f t="shared" si="35"/>
        <v>0</v>
      </c>
      <c r="S273" s="228">
        <f t="shared" si="36"/>
        <v>0</v>
      </c>
      <c r="T273" s="20">
        <v>2</v>
      </c>
      <c r="U273" s="20"/>
      <c r="V273" s="235" t="str">
        <f t="array" ref="V273">IF(ISERROR(L273/K273),"",L273/K273)</f>
        <v/>
      </c>
      <c r="W273" s="20"/>
      <c r="X273" s="191"/>
      <c r="Y273" s="20"/>
      <c r="Z273" s="20"/>
      <c r="AA273" s="20"/>
      <c r="AB273" s="20"/>
      <c r="AC273" s="20"/>
    </row>
    <row r="274" spans="1:29" s="2" customFormat="1" ht="21.95" hidden="1" customHeight="1">
      <c r="A274" s="226">
        <v>300331</v>
      </c>
      <c r="B274" s="223" t="s">
        <v>67</v>
      </c>
      <c r="C274" s="259" t="s">
        <v>83</v>
      </c>
      <c r="D274" s="260"/>
      <c r="E274" s="230" t="s">
        <v>49</v>
      </c>
      <c r="F274" s="229"/>
      <c r="G274" s="228"/>
      <c r="H274" s="228"/>
      <c r="I274" s="228"/>
      <c r="J274" s="228"/>
      <c r="K274" s="228">
        <f t="shared" si="31"/>
        <v>0</v>
      </c>
      <c r="L274" s="228">
        <f t="shared" si="32"/>
        <v>0</v>
      </c>
      <c r="M274" s="228">
        <v>416.3</v>
      </c>
      <c r="N274" s="228">
        <f t="shared" si="37"/>
        <v>1.7131687242798355</v>
      </c>
      <c r="O274" s="228"/>
      <c r="P274" s="228">
        <f t="shared" si="34"/>
        <v>0</v>
      </c>
      <c r="Q274" s="228"/>
      <c r="R274" s="19">
        <f t="shared" si="35"/>
        <v>0</v>
      </c>
      <c r="S274" s="228">
        <f t="shared" si="36"/>
        <v>0</v>
      </c>
      <c r="T274" s="20">
        <v>2</v>
      </c>
      <c r="U274" s="20"/>
      <c r="V274" s="235" t="str">
        <f t="array" ref="V274">IF(ISERROR(L274/K274),"",L274/K274)</f>
        <v/>
      </c>
      <c r="W274" s="20"/>
      <c r="X274" s="191"/>
      <c r="Y274" s="20"/>
      <c r="Z274" s="20"/>
      <c r="AA274" s="20"/>
      <c r="AB274" s="20"/>
      <c r="AC274" s="20"/>
    </row>
    <row r="275" spans="1:29" s="2" customFormat="1" ht="21.95" hidden="1" customHeight="1">
      <c r="A275" s="226">
        <v>300332</v>
      </c>
      <c r="B275" s="223" t="s">
        <v>67</v>
      </c>
      <c r="C275" s="259" t="s">
        <v>83</v>
      </c>
      <c r="D275" s="260"/>
      <c r="E275" s="230" t="s">
        <v>85</v>
      </c>
      <c r="F275" s="229"/>
      <c r="G275" s="228"/>
      <c r="H275" s="228"/>
      <c r="I275" s="228"/>
      <c r="J275" s="228"/>
      <c r="K275" s="228">
        <f t="shared" si="31"/>
        <v>0</v>
      </c>
      <c r="L275" s="228">
        <f t="shared" si="32"/>
        <v>0</v>
      </c>
      <c r="M275" s="228">
        <v>416.3</v>
      </c>
      <c r="N275" s="228">
        <f t="shared" si="37"/>
        <v>1.7131687242798355</v>
      </c>
      <c r="O275" s="228"/>
      <c r="P275" s="228">
        <f t="shared" si="34"/>
        <v>0</v>
      </c>
      <c r="Q275" s="228"/>
      <c r="R275" s="19">
        <f t="shared" si="35"/>
        <v>0</v>
      </c>
      <c r="S275" s="228">
        <f t="shared" si="36"/>
        <v>0</v>
      </c>
      <c r="T275" s="20">
        <v>2</v>
      </c>
      <c r="U275" s="20"/>
      <c r="V275" s="235" t="str">
        <f t="array" ref="V275">IF(ISERROR(L275/K275),"",L275/K275)</f>
        <v/>
      </c>
      <c r="W275" s="20"/>
      <c r="X275" s="191"/>
      <c r="Y275" s="20"/>
      <c r="Z275" s="20"/>
      <c r="AA275" s="20"/>
      <c r="AB275" s="20"/>
      <c r="AC275" s="20"/>
    </row>
    <row r="276" spans="1:29" s="2" customFormat="1" ht="21.95" hidden="1" customHeight="1">
      <c r="A276" s="226">
        <v>300333</v>
      </c>
      <c r="B276" s="223" t="s">
        <v>67</v>
      </c>
      <c r="C276" s="259" t="s">
        <v>86</v>
      </c>
      <c r="D276" s="260"/>
      <c r="E276" s="230" t="s">
        <v>84</v>
      </c>
      <c r="F276" s="229"/>
      <c r="G276" s="228"/>
      <c r="H276" s="228"/>
      <c r="I276" s="228"/>
      <c r="J276" s="228"/>
      <c r="K276" s="228">
        <f t="shared" si="31"/>
        <v>0</v>
      </c>
      <c r="L276" s="228">
        <f t="shared" si="32"/>
        <v>0</v>
      </c>
      <c r="M276" s="228">
        <v>416.3</v>
      </c>
      <c r="N276" s="228">
        <f t="shared" si="37"/>
        <v>1.7131687242798355</v>
      </c>
      <c r="O276" s="228"/>
      <c r="P276" s="228">
        <f t="shared" si="34"/>
        <v>0</v>
      </c>
      <c r="Q276" s="228"/>
      <c r="R276" s="19">
        <f t="shared" si="35"/>
        <v>0</v>
      </c>
      <c r="S276" s="228">
        <f t="shared" si="36"/>
        <v>0</v>
      </c>
      <c r="T276" s="20">
        <v>2</v>
      </c>
      <c r="U276" s="20"/>
      <c r="V276" s="235" t="str">
        <f t="array" ref="V276">IF(ISERROR(L276/K276),"",L276/K276)</f>
        <v/>
      </c>
      <c r="W276" s="20"/>
      <c r="X276" s="191"/>
      <c r="Y276" s="20"/>
      <c r="Z276" s="20"/>
      <c r="AA276" s="20"/>
      <c r="AB276" s="20"/>
      <c r="AC276" s="20"/>
    </row>
    <row r="277" spans="1:29" s="2" customFormat="1" ht="21.95" hidden="1" customHeight="1">
      <c r="A277" s="226">
        <v>300334</v>
      </c>
      <c r="B277" s="223" t="s">
        <v>67</v>
      </c>
      <c r="C277" s="259" t="s">
        <v>86</v>
      </c>
      <c r="D277" s="260"/>
      <c r="E277" s="230" t="s">
        <v>85</v>
      </c>
      <c r="F277" s="229"/>
      <c r="G277" s="228"/>
      <c r="H277" s="228"/>
      <c r="I277" s="228"/>
      <c r="J277" s="228"/>
      <c r="K277" s="228">
        <f t="shared" si="31"/>
        <v>0</v>
      </c>
      <c r="L277" s="228">
        <f t="shared" si="32"/>
        <v>0</v>
      </c>
      <c r="M277" s="228">
        <v>416.3</v>
      </c>
      <c r="N277" s="228">
        <f t="shared" si="37"/>
        <v>1.7131687242798355</v>
      </c>
      <c r="O277" s="228"/>
      <c r="P277" s="228">
        <f t="shared" si="34"/>
        <v>0</v>
      </c>
      <c r="Q277" s="228"/>
      <c r="R277" s="19">
        <f t="shared" si="35"/>
        <v>0</v>
      </c>
      <c r="S277" s="228">
        <f t="shared" si="36"/>
        <v>0</v>
      </c>
      <c r="T277" s="20">
        <v>2</v>
      </c>
      <c r="U277" s="20"/>
      <c r="V277" s="235" t="str">
        <f t="array" ref="V277">IF(ISERROR(L277/K277),"",L277/K277)</f>
        <v/>
      </c>
      <c r="W277" s="20"/>
      <c r="X277" s="191"/>
      <c r="Y277" s="20"/>
      <c r="Z277" s="20"/>
      <c r="AA277" s="20"/>
      <c r="AB277" s="20"/>
      <c r="AC277" s="20"/>
    </row>
    <row r="278" spans="1:29" s="2" customFormat="1" ht="21.95" hidden="1" customHeight="1">
      <c r="A278" s="226">
        <v>300335</v>
      </c>
      <c r="B278" s="223" t="s">
        <v>67</v>
      </c>
      <c r="C278" s="259" t="s">
        <v>86</v>
      </c>
      <c r="D278" s="260"/>
      <c r="E278" s="230" t="s">
        <v>49</v>
      </c>
      <c r="F278" s="229"/>
      <c r="G278" s="228"/>
      <c r="H278" s="228"/>
      <c r="I278" s="228"/>
      <c r="J278" s="228"/>
      <c r="K278" s="228">
        <f t="shared" si="31"/>
        <v>0</v>
      </c>
      <c r="L278" s="228">
        <f t="shared" si="32"/>
        <v>0</v>
      </c>
      <c r="M278" s="228">
        <v>416.3</v>
      </c>
      <c r="N278" s="228">
        <f t="shared" si="37"/>
        <v>1.7131687242798355</v>
      </c>
      <c r="O278" s="228"/>
      <c r="P278" s="228">
        <f t="shared" si="34"/>
        <v>0</v>
      </c>
      <c r="Q278" s="228"/>
      <c r="R278" s="19">
        <f t="shared" si="35"/>
        <v>0</v>
      </c>
      <c r="S278" s="228">
        <f t="shared" si="36"/>
        <v>0</v>
      </c>
      <c r="T278" s="20">
        <v>2</v>
      </c>
      <c r="U278" s="20"/>
      <c r="V278" s="235" t="str">
        <f t="array" ref="V278">IF(ISERROR(L278/K278),"",L278/K278)</f>
        <v/>
      </c>
      <c r="W278" s="20"/>
      <c r="X278" s="191"/>
      <c r="Y278" s="20"/>
      <c r="Z278" s="20"/>
      <c r="AA278" s="20"/>
      <c r="AB278" s="20"/>
      <c r="AC278" s="20"/>
    </row>
    <row r="279" spans="1:29" s="2" customFormat="1" ht="21.95" hidden="1" customHeight="1">
      <c r="A279" s="226">
        <v>300291</v>
      </c>
      <c r="B279" s="223" t="s">
        <v>87</v>
      </c>
      <c r="C279" s="248" t="s">
        <v>88</v>
      </c>
      <c r="D279" s="248" t="s">
        <v>89</v>
      </c>
      <c r="E279" s="230" t="s">
        <v>42</v>
      </c>
      <c r="F279" s="229"/>
      <c r="G279" s="228"/>
      <c r="H279" s="228"/>
      <c r="I279" s="228"/>
      <c r="J279" s="228"/>
      <c r="K279" s="228">
        <f t="shared" si="31"/>
        <v>0</v>
      </c>
      <c r="L279" s="228">
        <f t="shared" si="32"/>
        <v>0</v>
      </c>
      <c r="M279" s="228">
        <v>517.79999999999995</v>
      </c>
      <c r="N279" s="228">
        <f>+M279*1000/(66.6*1*110*60)*T279</f>
        <v>4.7119847119847122</v>
      </c>
      <c r="O279" s="228"/>
      <c r="P279" s="228">
        <f t="shared" si="34"/>
        <v>0</v>
      </c>
      <c r="Q279" s="228"/>
      <c r="R279" s="19">
        <f t="shared" si="35"/>
        <v>0</v>
      </c>
      <c r="S279" s="228">
        <f t="shared" si="36"/>
        <v>0</v>
      </c>
      <c r="T279" s="20">
        <v>4</v>
      </c>
      <c r="U279" s="20"/>
      <c r="V279" s="235" t="str">
        <f t="array" ref="V279">IF(ISERROR(L279/K279),"",L279/K279)</f>
        <v/>
      </c>
      <c r="W279" s="20"/>
      <c r="X279" s="191"/>
      <c r="Y279" s="20"/>
      <c r="Z279" s="20"/>
      <c r="AA279" s="20"/>
      <c r="AB279" s="20"/>
      <c r="AC279" s="20"/>
    </row>
    <row r="280" spans="1:29" s="2" customFormat="1" ht="21.95" hidden="1" customHeight="1">
      <c r="A280" s="226">
        <v>300292</v>
      </c>
      <c r="B280" s="223" t="s">
        <v>87</v>
      </c>
      <c r="C280" s="248" t="s">
        <v>88</v>
      </c>
      <c r="D280" s="248" t="s">
        <v>89</v>
      </c>
      <c r="E280" s="230" t="s">
        <v>41</v>
      </c>
      <c r="F280" s="229"/>
      <c r="G280" s="228"/>
      <c r="H280" s="228"/>
      <c r="I280" s="228"/>
      <c r="J280" s="228"/>
      <c r="K280" s="228">
        <f t="shared" si="31"/>
        <v>0</v>
      </c>
      <c r="L280" s="228">
        <f t="shared" si="32"/>
        <v>0</v>
      </c>
      <c r="M280" s="228">
        <v>517.79999999999995</v>
      </c>
      <c r="N280" s="228">
        <f>+M280*1000/(66.8*1*110*60)*T280</f>
        <v>4.6978769733260748</v>
      </c>
      <c r="O280" s="228"/>
      <c r="P280" s="228">
        <f t="shared" si="34"/>
        <v>0</v>
      </c>
      <c r="Q280" s="228"/>
      <c r="R280" s="19">
        <f t="shared" si="35"/>
        <v>0</v>
      </c>
      <c r="S280" s="228">
        <f t="shared" si="36"/>
        <v>0</v>
      </c>
      <c r="T280" s="20">
        <v>4</v>
      </c>
      <c r="U280" s="20"/>
      <c r="V280" s="235" t="str">
        <f t="array" ref="V280">IF(ISERROR(L280/K280),"",L280/K280)</f>
        <v/>
      </c>
      <c r="W280" s="20"/>
      <c r="X280" s="191"/>
      <c r="Y280" s="20"/>
      <c r="Z280" s="20"/>
      <c r="AA280" s="20"/>
      <c r="AB280" s="20"/>
      <c r="AC280" s="20"/>
    </row>
    <row r="281" spans="1:29" s="2" customFormat="1" ht="21.95" hidden="1" customHeight="1">
      <c r="A281" s="226">
        <v>300293</v>
      </c>
      <c r="B281" s="223" t="s">
        <v>87</v>
      </c>
      <c r="C281" s="248" t="s">
        <v>88</v>
      </c>
      <c r="D281" s="248" t="s">
        <v>89</v>
      </c>
      <c r="E281" s="230" t="s">
        <v>57</v>
      </c>
      <c r="F281" s="229"/>
      <c r="G281" s="228"/>
      <c r="H281" s="228"/>
      <c r="I281" s="228"/>
      <c r="J281" s="228"/>
      <c r="K281" s="228">
        <f t="shared" si="31"/>
        <v>0</v>
      </c>
      <c r="L281" s="228">
        <f t="shared" si="32"/>
        <v>0</v>
      </c>
      <c r="M281" s="228">
        <v>517.9</v>
      </c>
      <c r="N281" s="228">
        <f>+M281*1000/(67.1*1*110*60)*T281</f>
        <v>4.6777762724111467</v>
      </c>
      <c r="O281" s="228"/>
      <c r="P281" s="228">
        <f t="shared" si="34"/>
        <v>0</v>
      </c>
      <c r="Q281" s="228"/>
      <c r="R281" s="19">
        <f t="shared" si="35"/>
        <v>0</v>
      </c>
      <c r="S281" s="228">
        <f t="shared" si="36"/>
        <v>0</v>
      </c>
      <c r="T281" s="20">
        <v>4</v>
      </c>
      <c r="U281" s="20"/>
      <c r="V281" s="235" t="str">
        <f t="array" ref="V281">IF(ISERROR(L281/K281),"",L281/K281)</f>
        <v/>
      </c>
      <c r="W281" s="20"/>
      <c r="X281" s="191"/>
      <c r="Y281" s="20"/>
      <c r="Z281" s="20"/>
      <c r="AA281" s="20"/>
      <c r="AB281" s="20"/>
      <c r="AC281" s="20"/>
    </row>
    <row r="282" spans="1:29" s="2" customFormat="1" ht="21.95" hidden="1" customHeight="1">
      <c r="A282" s="226">
        <v>300290</v>
      </c>
      <c r="B282" s="223" t="s">
        <v>87</v>
      </c>
      <c r="C282" s="248" t="s">
        <v>88</v>
      </c>
      <c r="D282" s="248" t="s">
        <v>89</v>
      </c>
      <c r="E282" s="230" t="s">
        <v>35</v>
      </c>
      <c r="F282" s="229"/>
      <c r="G282" s="228"/>
      <c r="H282" s="228"/>
      <c r="I282" s="228"/>
      <c r="J282" s="228"/>
      <c r="K282" s="228">
        <f t="shared" si="31"/>
        <v>0</v>
      </c>
      <c r="L282" s="228">
        <f t="shared" si="32"/>
        <v>0</v>
      </c>
      <c r="M282" s="228">
        <v>520</v>
      </c>
      <c r="N282" s="228">
        <f>+M282*1000/(67.5*1*110*60)*T282</f>
        <v>4.6689113355780023</v>
      </c>
      <c r="O282" s="228"/>
      <c r="P282" s="228">
        <f t="shared" si="34"/>
        <v>0</v>
      </c>
      <c r="Q282" s="228"/>
      <c r="R282" s="19">
        <f t="shared" si="35"/>
        <v>0</v>
      </c>
      <c r="S282" s="228">
        <f t="shared" si="36"/>
        <v>0</v>
      </c>
      <c r="T282" s="20">
        <v>4</v>
      </c>
      <c r="U282" s="20"/>
      <c r="V282" s="235" t="str">
        <f t="array" ref="V282">IF(ISERROR(L282/K282),"",L282/K282)</f>
        <v/>
      </c>
      <c r="W282" s="20"/>
      <c r="X282" s="191"/>
      <c r="Y282" s="20"/>
      <c r="Z282" s="20"/>
      <c r="AA282" s="20"/>
      <c r="AB282" s="20"/>
      <c r="AC282" s="20"/>
    </row>
    <row r="283" spans="1:29" s="2" customFormat="1" ht="21.95" hidden="1" customHeight="1">
      <c r="A283" s="226">
        <v>300389</v>
      </c>
      <c r="B283" s="223" t="s">
        <v>87</v>
      </c>
      <c r="C283" s="248" t="s">
        <v>316</v>
      </c>
      <c r="D283" s="248" t="s">
        <v>89</v>
      </c>
      <c r="E283" s="230" t="s">
        <v>35</v>
      </c>
      <c r="F283" s="229"/>
      <c r="G283" s="228"/>
      <c r="H283" s="228"/>
      <c r="I283" s="228"/>
      <c r="J283" s="228"/>
      <c r="K283" s="228">
        <f t="shared" si="31"/>
        <v>0</v>
      </c>
      <c r="L283" s="228">
        <f t="shared" si="32"/>
        <v>0</v>
      </c>
      <c r="M283" s="228">
        <v>429.4</v>
      </c>
      <c r="N283" s="228">
        <f>+M283*1000/(47*1*110*60)*T283</f>
        <v>5.5370728562217923</v>
      </c>
      <c r="O283" s="228"/>
      <c r="P283" s="228">
        <f t="shared" si="34"/>
        <v>0</v>
      </c>
      <c r="Q283" s="228"/>
      <c r="R283" s="19">
        <f t="shared" si="35"/>
        <v>0</v>
      </c>
      <c r="S283" s="228">
        <f t="shared" si="36"/>
        <v>0</v>
      </c>
      <c r="T283" s="20">
        <v>4</v>
      </c>
      <c r="U283" s="20"/>
      <c r="V283" s="235" t="str">
        <f t="array" ref="V283">IF(ISERROR(L283/K283),"",L283/K283)</f>
        <v/>
      </c>
      <c r="W283" s="20"/>
      <c r="X283" s="191"/>
      <c r="Y283" s="20"/>
      <c r="Z283" s="20"/>
      <c r="AA283" s="20"/>
      <c r="AB283" s="20"/>
      <c r="AC283" s="20"/>
    </row>
    <row r="284" spans="1:29" s="2" customFormat="1" ht="21.95" hidden="1" customHeight="1">
      <c r="A284" s="226">
        <v>300058</v>
      </c>
      <c r="B284" s="223" t="s">
        <v>87</v>
      </c>
      <c r="C284" s="248" t="s">
        <v>316</v>
      </c>
      <c r="D284" s="248" t="s">
        <v>89</v>
      </c>
      <c r="E284" s="230" t="s">
        <v>42</v>
      </c>
      <c r="F284" s="229"/>
      <c r="G284" s="228"/>
      <c r="H284" s="228"/>
      <c r="I284" s="228"/>
      <c r="J284" s="228"/>
      <c r="K284" s="228">
        <f t="shared" si="31"/>
        <v>0</v>
      </c>
      <c r="L284" s="228">
        <f t="shared" si="32"/>
        <v>0</v>
      </c>
      <c r="M284" s="228">
        <v>419.2</v>
      </c>
      <c r="N284" s="228">
        <f>+M284*1000/(51.5*1*110*60)*T284</f>
        <v>4.9332156516622536</v>
      </c>
      <c r="O284" s="228"/>
      <c r="P284" s="228">
        <f t="shared" si="34"/>
        <v>0</v>
      </c>
      <c r="Q284" s="228"/>
      <c r="R284" s="19">
        <f t="shared" si="35"/>
        <v>0</v>
      </c>
      <c r="S284" s="228">
        <f t="shared" si="36"/>
        <v>0</v>
      </c>
      <c r="T284" s="20">
        <v>4</v>
      </c>
      <c r="U284" s="20"/>
      <c r="V284" s="235" t="str">
        <f t="array" ref="V284">IF(ISERROR(L284/K284),"",L284/K284)</f>
        <v/>
      </c>
      <c r="W284" s="20"/>
      <c r="X284" s="191"/>
      <c r="Y284" s="20"/>
      <c r="Z284" s="20"/>
      <c r="AA284" s="20"/>
      <c r="AB284" s="20"/>
      <c r="AC284" s="20"/>
    </row>
    <row r="285" spans="1:29" s="2" customFormat="1" ht="21.95" customHeight="1">
      <c r="A285" s="226">
        <v>300061</v>
      </c>
      <c r="B285" s="223">
        <v>5001</v>
      </c>
      <c r="C285" s="248" t="s">
        <v>317</v>
      </c>
      <c r="D285" s="248" t="s">
        <v>96</v>
      </c>
      <c r="E285" s="230" t="s">
        <v>41</v>
      </c>
      <c r="F285" s="229">
        <v>1600</v>
      </c>
      <c r="G285" s="228">
        <v>4.12</v>
      </c>
      <c r="H285" s="228"/>
      <c r="I285" s="228">
        <f>4-J285/400</f>
        <v>3.875</v>
      </c>
      <c r="J285" s="228">
        <v>50</v>
      </c>
      <c r="K285" s="228">
        <f t="shared" si="31"/>
        <v>1723.808</v>
      </c>
      <c r="L285" s="228">
        <f t="shared" si="32"/>
        <v>1621.3</v>
      </c>
      <c r="M285" s="228">
        <v>418.4</v>
      </c>
      <c r="N285" s="228">
        <f>+M285*1000/(51*1*110*60)*T285</f>
        <v>4.9720736779560308</v>
      </c>
      <c r="O285" s="228">
        <v>0.5</v>
      </c>
      <c r="P285" s="228">
        <f t="shared" si="34"/>
        <v>21.266785502079621</v>
      </c>
      <c r="Q285" s="228">
        <v>5</v>
      </c>
      <c r="R285" s="19">
        <f t="shared" si="35"/>
        <v>20</v>
      </c>
      <c r="S285" s="228">
        <f t="shared" si="36"/>
        <v>-1.266785502079621</v>
      </c>
      <c r="T285" s="20">
        <v>4</v>
      </c>
      <c r="U285" s="20">
        <v>4</v>
      </c>
      <c r="V285" s="235">
        <f t="array" ref="V285">IF(ISERROR(L285/K285),"",L285/K285)</f>
        <v>0.94053398058252424</v>
      </c>
      <c r="W285" s="20"/>
      <c r="X285" s="191">
        <f>35/60*4</f>
        <v>2.3333333333333335</v>
      </c>
      <c r="Y285" s="20"/>
      <c r="Z285" s="20"/>
      <c r="AA285" s="20"/>
      <c r="AB285" s="20"/>
      <c r="AC285" s="20"/>
    </row>
    <row r="286" spans="1:29" s="2" customFormat="1" ht="21.95" hidden="1" customHeight="1">
      <c r="A286" s="226">
        <v>300064</v>
      </c>
      <c r="B286" s="223">
        <v>5002</v>
      </c>
      <c r="C286" s="248" t="s">
        <v>317</v>
      </c>
      <c r="D286" s="248" t="s">
        <v>96</v>
      </c>
      <c r="E286" s="230" t="s">
        <v>35</v>
      </c>
      <c r="F286" s="229"/>
      <c r="G286" s="228"/>
      <c r="H286" s="228"/>
      <c r="I286" s="228"/>
      <c r="J286" s="228"/>
      <c r="K286" s="228">
        <f t="shared" ref="K286:K362" si="38">G286*M286</f>
        <v>0</v>
      </c>
      <c r="L286" s="228">
        <f t="shared" ref="L286:L362" si="39">I286*M286</f>
        <v>0</v>
      </c>
      <c r="M286" s="228">
        <v>419.2</v>
      </c>
      <c r="N286" s="228">
        <f>+M286*1000/(51.9*1*110*60)*T286</f>
        <v>4.8951947217843168</v>
      </c>
      <c r="O286" s="228"/>
      <c r="P286" s="228">
        <f t="shared" ref="P286:P362" si="40">N286*I286+O286*U286</f>
        <v>0</v>
      </c>
      <c r="Q286" s="228"/>
      <c r="R286" s="19">
        <f t="shared" ref="R286:R362" si="41">Q286*U286</f>
        <v>0</v>
      </c>
      <c r="S286" s="228">
        <f t="shared" ref="S286:S362" si="42">R286-P286</f>
        <v>0</v>
      </c>
      <c r="T286" s="20">
        <v>4</v>
      </c>
      <c r="U286" s="20"/>
      <c r="V286" s="235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226">
        <v>300060</v>
      </c>
      <c r="B287" s="223">
        <v>5001</v>
      </c>
      <c r="C287" s="248" t="s">
        <v>317</v>
      </c>
      <c r="D287" s="248" t="s">
        <v>96</v>
      </c>
      <c r="E287" s="230" t="s">
        <v>57</v>
      </c>
      <c r="F287" s="229">
        <v>1574</v>
      </c>
      <c r="G287" s="228">
        <v>4.88</v>
      </c>
      <c r="H287" s="228">
        <v>0.875</v>
      </c>
      <c r="I287" s="228">
        <f>4+H287</f>
        <v>4.875</v>
      </c>
      <c r="J287" s="228"/>
      <c r="K287" s="228">
        <f t="shared" si="38"/>
        <v>2034.4719999999998</v>
      </c>
      <c r="L287" s="228">
        <f t="shared" si="39"/>
        <v>2032.3874999999998</v>
      </c>
      <c r="M287" s="228">
        <v>416.9</v>
      </c>
      <c r="N287" s="228">
        <f>+M287*1000/(51*1*110*60)*T287</f>
        <v>4.9542483660130721</v>
      </c>
      <c r="O287" s="228"/>
      <c r="P287" s="228">
        <f t="shared" si="40"/>
        <v>24.151960784313726</v>
      </c>
      <c r="Q287" s="228">
        <v>6.5</v>
      </c>
      <c r="R287" s="19">
        <f t="shared" si="41"/>
        <v>26</v>
      </c>
      <c r="S287" s="228">
        <f t="shared" si="42"/>
        <v>1.8480392156862742</v>
      </c>
      <c r="T287" s="20">
        <v>4</v>
      </c>
      <c r="U287" s="20">
        <v>4</v>
      </c>
      <c r="V287" s="235">
        <f t="array" ref="V287">IF(ISERROR(L287/K287),"",L287/K287)</f>
        <v>0.99897540983606559</v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226">
        <v>300068</v>
      </c>
      <c r="B288" s="223" t="s">
        <v>87</v>
      </c>
      <c r="C288" s="248" t="s">
        <v>98</v>
      </c>
      <c r="D288" s="248" t="s">
        <v>99</v>
      </c>
      <c r="E288" s="230" t="s">
        <v>37</v>
      </c>
      <c r="F288" s="229"/>
      <c r="G288" s="228"/>
      <c r="H288" s="228"/>
      <c r="I288" s="228"/>
      <c r="J288" s="228"/>
      <c r="K288" s="228">
        <f t="shared" si="38"/>
        <v>0</v>
      </c>
      <c r="L288" s="228">
        <f t="shared" si="39"/>
        <v>0</v>
      </c>
      <c r="M288" s="228">
        <v>438.4</v>
      </c>
      <c r="N288" s="228">
        <f>+M288*1000/(50*1*120*60)*T288</f>
        <v>4.8711111111111114</v>
      </c>
      <c r="O288" s="228"/>
      <c r="P288" s="228">
        <f t="shared" si="40"/>
        <v>0</v>
      </c>
      <c r="Q288" s="228"/>
      <c r="R288" s="19">
        <f t="shared" si="41"/>
        <v>0</v>
      </c>
      <c r="S288" s="228">
        <f t="shared" si="42"/>
        <v>0</v>
      </c>
      <c r="T288" s="20">
        <v>4</v>
      </c>
      <c r="U288" s="20"/>
      <c r="V288" s="235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226">
        <v>300065</v>
      </c>
      <c r="B289" s="223" t="s">
        <v>87</v>
      </c>
      <c r="C289" s="248" t="s">
        <v>98</v>
      </c>
      <c r="D289" s="248" t="s">
        <v>99</v>
      </c>
      <c r="E289" s="230" t="s">
        <v>35</v>
      </c>
      <c r="F289" s="229"/>
      <c r="G289" s="228"/>
      <c r="H289" s="228"/>
      <c r="I289" s="228"/>
      <c r="J289" s="228"/>
      <c r="K289" s="228">
        <f t="shared" si="38"/>
        <v>0</v>
      </c>
      <c r="L289" s="228">
        <f t="shared" si="39"/>
        <v>0</v>
      </c>
      <c r="M289" s="228">
        <v>438.8</v>
      </c>
      <c r="N289" s="228">
        <f>+M289*1000/(50*1*120*60)*T289</f>
        <v>4.8755555555555556</v>
      </c>
      <c r="O289" s="228"/>
      <c r="P289" s="228">
        <f t="shared" si="40"/>
        <v>0</v>
      </c>
      <c r="Q289" s="228"/>
      <c r="R289" s="19">
        <f t="shared" si="41"/>
        <v>0</v>
      </c>
      <c r="S289" s="228">
        <f t="shared" si="42"/>
        <v>0</v>
      </c>
      <c r="T289" s="20">
        <v>4</v>
      </c>
      <c r="U289" s="226"/>
      <c r="V289" s="235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226">
        <v>300066</v>
      </c>
      <c r="B290" s="223" t="s">
        <v>87</v>
      </c>
      <c r="C290" s="248" t="s">
        <v>98</v>
      </c>
      <c r="D290" s="248" t="s">
        <v>99</v>
      </c>
      <c r="E290" s="230" t="s">
        <v>66</v>
      </c>
      <c r="F290" s="229"/>
      <c r="G290" s="228"/>
      <c r="H290" s="228"/>
      <c r="I290" s="228"/>
      <c r="J290" s="228"/>
      <c r="K290" s="228">
        <f t="shared" si="38"/>
        <v>0</v>
      </c>
      <c r="L290" s="228">
        <f t="shared" si="39"/>
        <v>0</v>
      </c>
      <c r="M290" s="228">
        <v>438.4</v>
      </c>
      <c r="N290" s="228">
        <f>+M290*1000/(50*1*120*60)*T290</f>
        <v>4.8711111111111114</v>
      </c>
      <c r="O290" s="228"/>
      <c r="P290" s="228">
        <f t="shared" si="40"/>
        <v>0</v>
      </c>
      <c r="Q290" s="228"/>
      <c r="R290" s="19">
        <f t="shared" si="41"/>
        <v>0</v>
      </c>
      <c r="S290" s="228">
        <f t="shared" si="42"/>
        <v>0</v>
      </c>
      <c r="T290" s="20">
        <v>4</v>
      </c>
      <c r="U290" s="226"/>
      <c r="V290" s="235" t="str">
        <f t="array" ref="V290">IF(ISERROR(L290/K290),"",L290/K290)</f>
        <v/>
      </c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226">
        <v>300067</v>
      </c>
      <c r="B291" s="223" t="s">
        <v>87</v>
      </c>
      <c r="C291" s="248" t="s">
        <v>98</v>
      </c>
      <c r="D291" s="248" t="s">
        <v>99</v>
      </c>
      <c r="E291" s="230" t="s">
        <v>41</v>
      </c>
      <c r="F291" s="229"/>
      <c r="G291" s="228"/>
      <c r="H291" s="228"/>
      <c r="I291" s="228"/>
      <c r="J291" s="228"/>
      <c r="K291" s="228">
        <f t="shared" si="38"/>
        <v>0</v>
      </c>
      <c r="L291" s="228">
        <f t="shared" si="39"/>
        <v>0</v>
      </c>
      <c r="M291" s="228">
        <v>438.8</v>
      </c>
      <c r="N291" s="228">
        <f>+M291*1000/(50*1*120*60)*T291</f>
        <v>4.8755555555555556</v>
      </c>
      <c r="O291" s="228"/>
      <c r="P291" s="228">
        <f t="shared" si="40"/>
        <v>0</v>
      </c>
      <c r="Q291" s="228"/>
      <c r="R291" s="19">
        <f t="shared" si="41"/>
        <v>0</v>
      </c>
      <c r="S291" s="228">
        <f t="shared" si="42"/>
        <v>0</v>
      </c>
      <c r="T291" s="20">
        <v>4</v>
      </c>
      <c r="U291" s="20"/>
      <c r="V291" s="235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2" customFormat="1" ht="21.95" hidden="1" customHeight="1">
      <c r="A292" s="226">
        <v>300437</v>
      </c>
      <c r="B292" s="223" t="s">
        <v>87</v>
      </c>
      <c r="C292" s="248" t="s">
        <v>98</v>
      </c>
      <c r="D292" s="248" t="s">
        <v>99</v>
      </c>
      <c r="E292" s="230" t="s">
        <v>310</v>
      </c>
      <c r="F292" s="27"/>
      <c r="G292" s="228"/>
      <c r="H292" s="228"/>
      <c r="I292" s="228"/>
      <c r="J292" s="228"/>
      <c r="K292" s="228">
        <f t="shared" si="38"/>
        <v>0</v>
      </c>
      <c r="L292" s="228">
        <f t="shared" si="39"/>
        <v>0</v>
      </c>
      <c r="M292" s="228">
        <v>438.8</v>
      </c>
      <c r="N292" s="228">
        <f>+M292*1000/(50*1*120*60)*T292</f>
        <v>4.8755555555555556</v>
      </c>
      <c r="O292" s="228"/>
      <c r="P292" s="228">
        <f t="shared" si="40"/>
        <v>0</v>
      </c>
      <c r="Q292" s="228"/>
      <c r="R292" s="19">
        <f t="shared" si="41"/>
        <v>0</v>
      </c>
      <c r="S292" s="228">
        <f t="shared" si="42"/>
        <v>0</v>
      </c>
      <c r="T292" s="20">
        <v>4</v>
      </c>
      <c r="U292" s="20"/>
      <c r="V292" s="235" t="str">
        <f t="array" ref="V292">IF(ISERROR(L292/K292),"",L292/K292)</f>
        <v/>
      </c>
      <c r="W292" s="20"/>
      <c r="X292" s="20"/>
      <c r="Y292" s="20"/>
      <c r="Z292" s="20"/>
      <c r="AA292" s="20"/>
      <c r="AB292" s="20"/>
      <c r="AC292" s="20"/>
    </row>
    <row r="293" spans="1:29" s="2" customFormat="1" ht="21.95" hidden="1" customHeight="1">
      <c r="A293" s="226">
        <v>300384</v>
      </c>
      <c r="B293" s="223" t="s">
        <v>87</v>
      </c>
      <c r="C293" s="248" t="s">
        <v>100</v>
      </c>
      <c r="D293" s="248" t="s">
        <v>101</v>
      </c>
      <c r="E293" s="230" t="s">
        <v>35</v>
      </c>
      <c r="F293" s="229"/>
      <c r="G293" s="228"/>
      <c r="H293" s="228"/>
      <c r="I293" s="228"/>
      <c r="J293" s="228"/>
      <c r="K293" s="228">
        <f t="shared" si="38"/>
        <v>0</v>
      </c>
      <c r="L293" s="228">
        <f t="shared" si="39"/>
        <v>0</v>
      </c>
      <c r="M293" s="228">
        <v>415.5</v>
      </c>
      <c r="N293" s="228">
        <f>+M293*1000/(51*1*110*60)*T293</f>
        <v>8.6408199643493759</v>
      </c>
      <c r="O293" s="228"/>
      <c r="P293" s="228">
        <f t="shared" si="40"/>
        <v>0</v>
      </c>
      <c r="Q293" s="228"/>
      <c r="R293" s="19">
        <f t="shared" si="41"/>
        <v>0</v>
      </c>
      <c r="S293" s="228">
        <f t="shared" si="42"/>
        <v>0</v>
      </c>
      <c r="T293" s="20">
        <v>7</v>
      </c>
      <c r="U293" s="20"/>
      <c r="V293" s="235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226">
        <v>300383</v>
      </c>
      <c r="B294" s="223" t="s">
        <v>87</v>
      </c>
      <c r="C294" s="248" t="s">
        <v>100</v>
      </c>
      <c r="D294" s="248" t="s">
        <v>102</v>
      </c>
      <c r="E294" s="230" t="s">
        <v>41</v>
      </c>
      <c r="F294" s="229"/>
      <c r="G294" s="228"/>
      <c r="H294" s="228"/>
      <c r="I294" s="228"/>
      <c r="J294" s="228"/>
      <c r="K294" s="228">
        <f t="shared" si="38"/>
        <v>0</v>
      </c>
      <c r="L294" s="228">
        <f t="shared" si="39"/>
        <v>0</v>
      </c>
      <c r="M294" s="228">
        <v>415.5</v>
      </c>
      <c r="N294" s="228">
        <f>+M294*1000/(51*1*110*60)*T294</f>
        <v>8.6408199643493759</v>
      </c>
      <c r="O294" s="228"/>
      <c r="P294" s="228">
        <f t="shared" si="40"/>
        <v>0</v>
      </c>
      <c r="Q294" s="228"/>
      <c r="R294" s="19">
        <f t="shared" si="41"/>
        <v>0</v>
      </c>
      <c r="S294" s="228">
        <f t="shared" si="42"/>
        <v>0</v>
      </c>
      <c r="T294" s="20">
        <v>7</v>
      </c>
      <c r="U294" s="20"/>
      <c r="V294" s="235" t="str">
        <f t="array" ref="V294">IF(ISERROR(L294/K294),"",L294/K294)</f>
        <v/>
      </c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226">
        <v>300386</v>
      </c>
      <c r="B295" s="223" t="s">
        <v>87</v>
      </c>
      <c r="C295" s="248" t="s">
        <v>100</v>
      </c>
      <c r="D295" s="248" t="s">
        <v>103</v>
      </c>
      <c r="E295" s="230" t="s">
        <v>66</v>
      </c>
      <c r="F295" s="229"/>
      <c r="G295" s="228"/>
      <c r="H295" s="228"/>
      <c r="I295" s="228"/>
      <c r="J295" s="228"/>
      <c r="K295" s="228">
        <f t="shared" si="38"/>
        <v>0</v>
      </c>
      <c r="L295" s="228">
        <f t="shared" si="39"/>
        <v>0</v>
      </c>
      <c r="M295" s="228">
        <v>415.5</v>
      </c>
      <c r="N295" s="228">
        <f>+M295*1000/(51*1*110*60)*T295</f>
        <v>8.6408199643493759</v>
      </c>
      <c r="O295" s="228"/>
      <c r="P295" s="228">
        <f t="shared" si="40"/>
        <v>0</v>
      </c>
      <c r="Q295" s="228"/>
      <c r="R295" s="19">
        <f t="shared" si="41"/>
        <v>0</v>
      </c>
      <c r="S295" s="228">
        <f t="shared" si="42"/>
        <v>0</v>
      </c>
      <c r="T295" s="20">
        <v>7</v>
      </c>
      <c r="U295" s="20"/>
      <c r="V295" s="235" t="str">
        <f t="array" ref="V295">IF(ISERROR(L295/K295),"",L295/K295)</f>
        <v/>
      </c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226">
        <v>300385</v>
      </c>
      <c r="B296" s="223" t="s">
        <v>87</v>
      </c>
      <c r="C296" s="248" t="s">
        <v>100</v>
      </c>
      <c r="D296" s="248" t="s">
        <v>104</v>
      </c>
      <c r="E296" s="230" t="s">
        <v>105</v>
      </c>
      <c r="F296" s="229"/>
      <c r="G296" s="228"/>
      <c r="H296" s="228"/>
      <c r="I296" s="228"/>
      <c r="J296" s="228"/>
      <c r="K296" s="228">
        <f t="shared" si="38"/>
        <v>0</v>
      </c>
      <c r="L296" s="228">
        <f t="shared" si="39"/>
        <v>0</v>
      </c>
      <c r="M296" s="228">
        <v>415.5</v>
      </c>
      <c r="N296" s="228">
        <f>+M296*1000/(51*1*110*60)*T296</f>
        <v>8.6408199643493759</v>
      </c>
      <c r="O296" s="228"/>
      <c r="P296" s="228">
        <f t="shared" si="40"/>
        <v>0</v>
      </c>
      <c r="Q296" s="228"/>
      <c r="R296" s="19">
        <f t="shared" si="41"/>
        <v>0</v>
      </c>
      <c r="S296" s="228">
        <f t="shared" si="42"/>
        <v>0</v>
      </c>
      <c r="T296" s="20">
        <v>7</v>
      </c>
      <c r="U296" s="20"/>
      <c r="V296" s="235" t="str">
        <f t="array" ref="V296">IF(ISERROR(L296/K296),"",L296/K296)</f>
        <v/>
      </c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226">
        <v>300352</v>
      </c>
      <c r="B297" s="223" t="s">
        <v>87</v>
      </c>
      <c r="C297" s="248" t="s">
        <v>106</v>
      </c>
      <c r="D297" s="248" t="s">
        <v>101</v>
      </c>
      <c r="E297" s="230" t="s">
        <v>35</v>
      </c>
      <c r="F297" s="229"/>
      <c r="G297" s="228"/>
      <c r="H297" s="228"/>
      <c r="I297" s="228"/>
      <c r="J297" s="228"/>
      <c r="K297" s="228">
        <f t="shared" si="38"/>
        <v>0</v>
      </c>
      <c r="L297" s="228">
        <f t="shared" si="39"/>
        <v>0</v>
      </c>
      <c r="M297" s="228">
        <v>515.9</v>
      </c>
      <c r="N297" s="228">
        <f>+M297*1000/(80*1*110*60)*T297</f>
        <v>6.8395833333333336</v>
      </c>
      <c r="O297" s="228"/>
      <c r="P297" s="228">
        <f t="shared" si="40"/>
        <v>0</v>
      </c>
      <c r="Q297" s="228"/>
      <c r="R297" s="19">
        <f t="shared" si="41"/>
        <v>0</v>
      </c>
      <c r="S297" s="228">
        <f t="shared" si="42"/>
        <v>0</v>
      </c>
      <c r="T297" s="20">
        <v>7</v>
      </c>
      <c r="U297" s="20"/>
      <c r="V297" s="235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226">
        <v>300353</v>
      </c>
      <c r="B298" s="223" t="s">
        <v>87</v>
      </c>
      <c r="C298" s="248" t="s">
        <v>106</v>
      </c>
      <c r="D298" s="248" t="s">
        <v>101</v>
      </c>
      <c r="E298" s="230" t="s">
        <v>105</v>
      </c>
      <c r="F298" s="229"/>
      <c r="G298" s="228"/>
      <c r="H298" s="228"/>
      <c r="I298" s="228"/>
      <c r="J298" s="228"/>
      <c r="K298" s="228">
        <f t="shared" si="38"/>
        <v>0</v>
      </c>
      <c r="L298" s="228">
        <f t="shared" si="39"/>
        <v>0</v>
      </c>
      <c r="M298" s="228">
        <v>515.9</v>
      </c>
      <c r="N298" s="228">
        <f>+M298*1000/(80*1*110*60)*T298</f>
        <v>6.8395833333333336</v>
      </c>
      <c r="O298" s="228"/>
      <c r="P298" s="228">
        <f t="shared" si="40"/>
        <v>0</v>
      </c>
      <c r="Q298" s="228"/>
      <c r="R298" s="19">
        <f t="shared" si="41"/>
        <v>0</v>
      </c>
      <c r="S298" s="228">
        <f t="shared" si="42"/>
        <v>0</v>
      </c>
      <c r="T298" s="20">
        <v>7</v>
      </c>
      <c r="U298" s="20"/>
      <c r="V298" s="235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226">
        <v>300351</v>
      </c>
      <c r="B299" s="223" t="s">
        <v>87</v>
      </c>
      <c r="C299" s="248" t="s">
        <v>106</v>
      </c>
      <c r="D299" s="248" t="s">
        <v>101</v>
      </c>
      <c r="E299" s="230" t="s">
        <v>41</v>
      </c>
      <c r="F299" s="229"/>
      <c r="G299" s="228"/>
      <c r="H299" s="228"/>
      <c r="I299" s="228"/>
      <c r="J299" s="228"/>
      <c r="K299" s="228">
        <f t="shared" si="38"/>
        <v>0</v>
      </c>
      <c r="L299" s="228">
        <f t="shared" si="39"/>
        <v>0</v>
      </c>
      <c r="M299" s="228">
        <v>515.9</v>
      </c>
      <c r="N299" s="228">
        <f>+M299*1000/(80*1*110*60)*T299</f>
        <v>6.8395833333333336</v>
      </c>
      <c r="O299" s="228"/>
      <c r="P299" s="228">
        <f t="shared" si="40"/>
        <v>0</v>
      </c>
      <c r="Q299" s="228"/>
      <c r="R299" s="19">
        <f t="shared" si="41"/>
        <v>0</v>
      </c>
      <c r="S299" s="228">
        <f t="shared" si="42"/>
        <v>0</v>
      </c>
      <c r="T299" s="20">
        <v>7</v>
      </c>
      <c r="U299" s="20"/>
      <c r="V299" s="235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226">
        <v>300354</v>
      </c>
      <c r="B300" s="223" t="s">
        <v>87</v>
      </c>
      <c r="C300" s="248" t="s">
        <v>106</v>
      </c>
      <c r="D300" s="248" t="s">
        <v>101</v>
      </c>
      <c r="E300" s="230" t="s">
        <v>66</v>
      </c>
      <c r="F300" s="229"/>
      <c r="G300" s="228"/>
      <c r="H300" s="228"/>
      <c r="I300" s="228"/>
      <c r="J300" s="228"/>
      <c r="K300" s="228">
        <f t="shared" si="38"/>
        <v>0</v>
      </c>
      <c r="L300" s="228">
        <f t="shared" si="39"/>
        <v>0</v>
      </c>
      <c r="M300" s="228">
        <v>515.9</v>
      </c>
      <c r="N300" s="228">
        <f>+M300*1000/(80*1*110*60)*T300</f>
        <v>6.8395833333333336</v>
      </c>
      <c r="O300" s="228"/>
      <c r="P300" s="228">
        <f t="shared" si="40"/>
        <v>0</v>
      </c>
      <c r="Q300" s="228"/>
      <c r="R300" s="19">
        <f t="shared" si="41"/>
        <v>0</v>
      </c>
      <c r="S300" s="228">
        <f t="shared" si="42"/>
        <v>0</v>
      </c>
      <c r="T300" s="20">
        <v>7</v>
      </c>
      <c r="U300" s="20"/>
      <c r="V300" s="235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226">
        <v>300250</v>
      </c>
      <c r="B301" s="223" t="s">
        <v>87</v>
      </c>
      <c r="C301" s="248" t="s">
        <v>107</v>
      </c>
      <c r="D301" s="248" t="s">
        <v>101</v>
      </c>
      <c r="E301" s="230" t="s">
        <v>35</v>
      </c>
      <c r="F301" s="229"/>
      <c r="G301" s="228"/>
      <c r="H301" s="228"/>
      <c r="I301" s="228"/>
      <c r="J301" s="228"/>
      <c r="K301" s="228">
        <f t="shared" si="38"/>
        <v>0</v>
      </c>
      <c r="L301" s="228">
        <f t="shared" si="39"/>
        <v>0</v>
      </c>
      <c r="M301" s="228">
        <v>412.5</v>
      </c>
      <c r="N301" s="228">
        <f>+M301*1000/(84*1*110*60)*T301</f>
        <v>5.2083333333333339</v>
      </c>
      <c r="O301" s="228"/>
      <c r="P301" s="228">
        <f t="shared" si="40"/>
        <v>0</v>
      </c>
      <c r="Q301" s="228"/>
      <c r="R301" s="19">
        <f t="shared" si="41"/>
        <v>0</v>
      </c>
      <c r="S301" s="228">
        <f t="shared" si="42"/>
        <v>0</v>
      </c>
      <c r="T301" s="20">
        <v>7</v>
      </c>
      <c r="U301" s="20"/>
      <c r="V301" s="235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226">
        <v>300251</v>
      </c>
      <c r="B302" s="223" t="s">
        <v>87</v>
      </c>
      <c r="C302" s="248" t="s">
        <v>107</v>
      </c>
      <c r="D302" s="248" t="s">
        <v>101</v>
      </c>
      <c r="E302" s="230" t="s">
        <v>105</v>
      </c>
      <c r="F302" s="229"/>
      <c r="G302" s="228"/>
      <c r="H302" s="228"/>
      <c r="I302" s="228"/>
      <c r="J302" s="228"/>
      <c r="K302" s="228">
        <f t="shared" si="38"/>
        <v>0</v>
      </c>
      <c r="L302" s="228">
        <f t="shared" si="39"/>
        <v>0</v>
      </c>
      <c r="M302" s="228">
        <v>412.5</v>
      </c>
      <c r="N302" s="228">
        <f>+M302*1000/(84*1*110*60)*T302</f>
        <v>5.2083333333333339</v>
      </c>
      <c r="O302" s="228"/>
      <c r="P302" s="228">
        <f t="shared" si="40"/>
        <v>0</v>
      </c>
      <c r="Q302" s="228"/>
      <c r="R302" s="19">
        <f t="shared" si="41"/>
        <v>0</v>
      </c>
      <c r="S302" s="228">
        <f t="shared" si="42"/>
        <v>0</v>
      </c>
      <c r="T302" s="20">
        <v>7</v>
      </c>
      <c r="U302" s="20"/>
      <c r="V302" s="235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226">
        <v>300254</v>
      </c>
      <c r="B303" s="223" t="s">
        <v>87</v>
      </c>
      <c r="C303" s="248" t="s">
        <v>107</v>
      </c>
      <c r="D303" s="248" t="s">
        <v>101</v>
      </c>
      <c r="E303" s="230" t="s">
        <v>41</v>
      </c>
      <c r="F303" s="229"/>
      <c r="G303" s="228"/>
      <c r="H303" s="228"/>
      <c r="I303" s="228"/>
      <c r="J303" s="228"/>
      <c r="K303" s="228">
        <f t="shared" si="38"/>
        <v>0</v>
      </c>
      <c r="L303" s="228">
        <f t="shared" si="39"/>
        <v>0</v>
      </c>
      <c r="M303" s="228">
        <v>412.5</v>
      </c>
      <c r="N303" s="228">
        <f>+M303*1000/(84*1*110*60)*T303</f>
        <v>5.2083333333333339</v>
      </c>
      <c r="O303" s="228"/>
      <c r="P303" s="228">
        <f t="shared" si="40"/>
        <v>0</v>
      </c>
      <c r="Q303" s="228"/>
      <c r="R303" s="19">
        <f t="shared" si="41"/>
        <v>0</v>
      </c>
      <c r="S303" s="228">
        <f t="shared" si="42"/>
        <v>0</v>
      </c>
      <c r="T303" s="20">
        <v>7</v>
      </c>
      <c r="U303" s="20"/>
      <c r="V303" s="235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226">
        <v>300253</v>
      </c>
      <c r="B304" s="223" t="s">
        <v>87</v>
      </c>
      <c r="C304" s="248" t="s">
        <v>107</v>
      </c>
      <c r="D304" s="248" t="s">
        <v>101</v>
      </c>
      <c r="E304" s="230" t="s">
        <v>66</v>
      </c>
      <c r="F304" s="229"/>
      <c r="G304" s="228"/>
      <c r="H304" s="228"/>
      <c r="I304" s="228"/>
      <c r="J304" s="228"/>
      <c r="K304" s="228">
        <f t="shared" si="38"/>
        <v>0</v>
      </c>
      <c r="L304" s="228">
        <f t="shared" si="39"/>
        <v>0</v>
      </c>
      <c r="M304" s="228">
        <v>412.5</v>
      </c>
      <c r="N304" s="228">
        <f>+M304*1000/(84*1*110*60)*T304</f>
        <v>5.2083333333333339</v>
      </c>
      <c r="O304" s="228"/>
      <c r="P304" s="228">
        <f t="shared" si="40"/>
        <v>0</v>
      </c>
      <c r="Q304" s="228"/>
      <c r="R304" s="19">
        <f t="shared" si="41"/>
        <v>0</v>
      </c>
      <c r="S304" s="228">
        <f t="shared" si="42"/>
        <v>0</v>
      </c>
      <c r="T304" s="20">
        <v>7</v>
      </c>
      <c r="U304" s="20"/>
      <c r="V304" s="235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226">
        <v>300255</v>
      </c>
      <c r="B305" s="223" t="s">
        <v>87</v>
      </c>
      <c r="C305" s="248" t="s">
        <v>107</v>
      </c>
      <c r="D305" s="248" t="s">
        <v>101</v>
      </c>
      <c r="E305" s="230" t="s">
        <v>108</v>
      </c>
      <c r="F305" s="229"/>
      <c r="G305" s="228"/>
      <c r="H305" s="228"/>
      <c r="I305" s="228"/>
      <c r="J305" s="228"/>
      <c r="K305" s="228">
        <f t="shared" si="38"/>
        <v>0</v>
      </c>
      <c r="L305" s="228">
        <f t="shared" si="39"/>
        <v>0</v>
      </c>
      <c r="M305" s="228">
        <v>412.5</v>
      </c>
      <c r="N305" s="228">
        <f>+M305*1000/(84*1*110*60)*T305</f>
        <v>5.2083333333333339</v>
      </c>
      <c r="O305" s="228"/>
      <c r="P305" s="228">
        <f t="shared" si="40"/>
        <v>0</v>
      </c>
      <c r="Q305" s="228"/>
      <c r="R305" s="19">
        <f t="shared" si="41"/>
        <v>0</v>
      </c>
      <c r="S305" s="228">
        <f t="shared" si="42"/>
        <v>0</v>
      </c>
      <c r="T305" s="20">
        <v>7</v>
      </c>
      <c r="U305" s="20"/>
      <c r="V305" s="235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226">
        <v>300392</v>
      </c>
      <c r="B306" s="223" t="s">
        <v>87</v>
      </c>
      <c r="C306" s="259" t="s">
        <v>109</v>
      </c>
      <c r="D306" s="260"/>
      <c r="E306" s="230" t="s">
        <v>105</v>
      </c>
      <c r="F306" s="226"/>
      <c r="G306" s="228"/>
      <c r="H306" s="228"/>
      <c r="I306" s="228"/>
      <c r="J306" s="228"/>
      <c r="K306" s="228">
        <f t="shared" si="38"/>
        <v>0</v>
      </c>
      <c r="L306" s="228">
        <f t="shared" si="39"/>
        <v>0</v>
      </c>
      <c r="M306" s="228">
        <v>523</v>
      </c>
      <c r="N306" s="228">
        <f>+M306*1000/(98*1*80*60)*T306</f>
        <v>7.7827380952380958</v>
      </c>
      <c r="O306" s="228"/>
      <c r="P306" s="228">
        <f t="shared" si="40"/>
        <v>0</v>
      </c>
      <c r="Q306" s="228"/>
      <c r="R306" s="19">
        <f t="shared" si="41"/>
        <v>0</v>
      </c>
      <c r="S306" s="228">
        <f t="shared" si="42"/>
        <v>0</v>
      </c>
      <c r="T306" s="20">
        <v>7</v>
      </c>
      <c r="U306" s="20"/>
      <c r="V306" s="235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226">
        <v>300088</v>
      </c>
      <c r="B307" s="223" t="s">
        <v>87</v>
      </c>
      <c r="C307" s="248" t="s">
        <v>318</v>
      </c>
      <c r="D307" s="248" t="s">
        <v>96</v>
      </c>
      <c r="E307" s="230" t="s">
        <v>39</v>
      </c>
      <c r="F307" s="229"/>
      <c r="G307" s="228"/>
      <c r="H307" s="228"/>
      <c r="I307" s="228"/>
      <c r="J307" s="228"/>
      <c r="K307" s="228">
        <f t="shared" si="38"/>
        <v>0</v>
      </c>
      <c r="L307" s="228">
        <f t="shared" si="39"/>
        <v>0</v>
      </c>
      <c r="M307" s="228">
        <v>617.79999999999995</v>
      </c>
      <c r="N307" s="228">
        <f>+M307*1000/(123*1*80*60)*T307</f>
        <v>3.1392276422764223</v>
      </c>
      <c r="O307" s="228"/>
      <c r="P307" s="228">
        <f t="shared" si="40"/>
        <v>0</v>
      </c>
      <c r="Q307" s="228"/>
      <c r="R307" s="19">
        <f t="shared" si="41"/>
        <v>0</v>
      </c>
      <c r="S307" s="228">
        <f t="shared" si="42"/>
        <v>0</v>
      </c>
      <c r="T307" s="20">
        <v>3</v>
      </c>
      <c r="U307" s="20"/>
      <c r="V307" s="235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226">
        <v>300089</v>
      </c>
      <c r="B308" s="223" t="s">
        <v>87</v>
      </c>
      <c r="C308" s="248" t="s">
        <v>318</v>
      </c>
      <c r="D308" s="248" t="s">
        <v>96</v>
      </c>
      <c r="E308" s="230" t="s">
        <v>42</v>
      </c>
      <c r="F308" s="229"/>
      <c r="G308" s="228"/>
      <c r="H308" s="228"/>
      <c r="I308" s="228"/>
      <c r="J308" s="228"/>
      <c r="K308" s="228">
        <f t="shared" si="38"/>
        <v>0</v>
      </c>
      <c r="L308" s="228">
        <f t="shared" si="39"/>
        <v>0</v>
      </c>
      <c r="M308" s="228">
        <v>618.6</v>
      </c>
      <c r="N308" s="228">
        <f>+M308*1000/(124*1*80*60)*T308</f>
        <v>3.117943548387097</v>
      </c>
      <c r="O308" s="228"/>
      <c r="P308" s="228">
        <f t="shared" si="40"/>
        <v>0</v>
      </c>
      <c r="Q308" s="228"/>
      <c r="R308" s="19">
        <f t="shared" si="41"/>
        <v>0</v>
      </c>
      <c r="S308" s="228">
        <f t="shared" si="42"/>
        <v>0</v>
      </c>
      <c r="T308" s="20">
        <v>3</v>
      </c>
      <c r="U308" s="20"/>
      <c r="V308" s="235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226">
        <v>300128</v>
      </c>
      <c r="B309" s="223" t="s">
        <v>87</v>
      </c>
      <c r="C309" s="248" t="s">
        <v>112</v>
      </c>
      <c r="D309" s="248" t="s">
        <v>113</v>
      </c>
      <c r="E309" s="230" t="s">
        <v>35</v>
      </c>
      <c r="F309" s="229"/>
      <c r="G309" s="228"/>
      <c r="H309" s="228"/>
      <c r="I309" s="228"/>
      <c r="J309" s="228"/>
      <c r="K309" s="228">
        <f t="shared" si="38"/>
        <v>0</v>
      </c>
      <c r="L309" s="228">
        <f t="shared" si="39"/>
        <v>0</v>
      </c>
      <c r="M309" s="228">
        <v>621.29999999999995</v>
      </c>
      <c r="N309" s="228">
        <f t="shared" ref="N309:N314" si="43">+M309*1000/(130.5*1*80*60)*T309</f>
        <v>3.9674329501915708</v>
      </c>
      <c r="O309" s="228"/>
      <c r="P309" s="228">
        <f t="shared" si="40"/>
        <v>0</v>
      </c>
      <c r="Q309" s="228"/>
      <c r="R309" s="19">
        <f t="shared" si="41"/>
        <v>0</v>
      </c>
      <c r="S309" s="228">
        <f t="shared" si="42"/>
        <v>0</v>
      </c>
      <c r="T309" s="20">
        <v>4</v>
      </c>
      <c r="U309" s="20"/>
      <c r="V309" s="235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226">
        <v>300129</v>
      </c>
      <c r="B310" s="223" t="s">
        <v>87</v>
      </c>
      <c r="C310" s="248" t="s">
        <v>112</v>
      </c>
      <c r="D310" s="248" t="s">
        <v>113</v>
      </c>
      <c r="E310" s="230" t="s">
        <v>41</v>
      </c>
      <c r="F310" s="229"/>
      <c r="G310" s="228"/>
      <c r="H310" s="228"/>
      <c r="I310" s="228"/>
      <c r="J310" s="228"/>
      <c r="K310" s="228">
        <f t="shared" si="38"/>
        <v>0</v>
      </c>
      <c r="L310" s="228">
        <f t="shared" si="39"/>
        <v>0</v>
      </c>
      <c r="M310" s="228">
        <v>621.29999999999995</v>
      </c>
      <c r="N310" s="228">
        <f t="shared" si="43"/>
        <v>3.9674329501915708</v>
      </c>
      <c r="O310" s="228"/>
      <c r="P310" s="228">
        <f t="shared" si="40"/>
        <v>0</v>
      </c>
      <c r="Q310" s="228"/>
      <c r="R310" s="19">
        <f t="shared" si="41"/>
        <v>0</v>
      </c>
      <c r="S310" s="228">
        <f t="shared" si="42"/>
        <v>0</v>
      </c>
      <c r="T310" s="20">
        <v>4</v>
      </c>
      <c r="U310" s="20"/>
      <c r="V310" s="235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226">
        <v>300130</v>
      </c>
      <c r="B311" s="223" t="s">
        <v>87</v>
      </c>
      <c r="C311" s="248" t="s">
        <v>112</v>
      </c>
      <c r="D311" s="248" t="s">
        <v>113</v>
      </c>
      <c r="E311" s="230" t="s">
        <v>37</v>
      </c>
      <c r="F311" s="229"/>
      <c r="G311" s="228"/>
      <c r="H311" s="228"/>
      <c r="I311" s="228"/>
      <c r="J311" s="228"/>
      <c r="K311" s="228">
        <f t="shared" si="38"/>
        <v>0</v>
      </c>
      <c r="L311" s="228">
        <f t="shared" si="39"/>
        <v>0</v>
      </c>
      <c r="M311" s="228">
        <v>621.29999999999995</v>
      </c>
      <c r="N311" s="228">
        <f t="shared" si="43"/>
        <v>3.9674329501915708</v>
      </c>
      <c r="O311" s="228"/>
      <c r="P311" s="228">
        <f t="shared" si="40"/>
        <v>0</v>
      </c>
      <c r="Q311" s="228"/>
      <c r="R311" s="19">
        <f t="shared" si="41"/>
        <v>0</v>
      </c>
      <c r="S311" s="228">
        <f t="shared" si="42"/>
        <v>0</v>
      </c>
      <c r="T311" s="20">
        <v>4</v>
      </c>
      <c r="U311" s="20"/>
      <c r="V311" s="235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s="2" customFormat="1" ht="21.95" hidden="1" customHeight="1">
      <c r="A312" s="226">
        <v>300423</v>
      </c>
      <c r="B312" s="223" t="s">
        <v>300</v>
      </c>
      <c r="C312" s="259" t="s">
        <v>296</v>
      </c>
      <c r="D312" s="260"/>
      <c r="E312" s="230" t="s">
        <v>297</v>
      </c>
      <c r="F312" s="27"/>
      <c r="G312" s="228"/>
      <c r="H312" s="228"/>
      <c r="I312" s="228"/>
      <c r="J312" s="228"/>
      <c r="K312" s="228">
        <f t="shared" si="38"/>
        <v>0</v>
      </c>
      <c r="L312" s="228">
        <f t="shared" si="39"/>
        <v>0</v>
      </c>
      <c r="M312" s="228">
        <v>524.1</v>
      </c>
      <c r="N312" s="228">
        <f t="shared" si="43"/>
        <v>3.3467432950191571</v>
      </c>
      <c r="O312" s="228"/>
      <c r="P312" s="228">
        <f t="shared" si="40"/>
        <v>0</v>
      </c>
      <c r="Q312" s="228"/>
      <c r="R312" s="19">
        <f t="shared" si="41"/>
        <v>0</v>
      </c>
      <c r="S312" s="228">
        <f t="shared" si="42"/>
        <v>0</v>
      </c>
      <c r="T312" s="20">
        <v>4</v>
      </c>
      <c r="U312" s="20"/>
      <c r="V312" s="235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s="2" customFormat="1" ht="21.95" hidden="1" customHeight="1">
      <c r="A313" s="226">
        <v>300424</v>
      </c>
      <c r="B313" s="223" t="s">
        <v>300</v>
      </c>
      <c r="C313" s="259" t="s">
        <v>296</v>
      </c>
      <c r="D313" s="260"/>
      <c r="E313" s="230" t="s">
        <v>298</v>
      </c>
      <c r="F313" s="27"/>
      <c r="G313" s="228"/>
      <c r="H313" s="228"/>
      <c r="I313" s="228"/>
      <c r="J313" s="228"/>
      <c r="K313" s="228">
        <f t="shared" si="38"/>
        <v>0</v>
      </c>
      <c r="L313" s="228">
        <f t="shared" si="39"/>
        <v>0</v>
      </c>
      <c r="M313" s="228">
        <v>524.1</v>
      </c>
      <c r="N313" s="228">
        <f t="shared" si="43"/>
        <v>3.3467432950191571</v>
      </c>
      <c r="O313" s="228"/>
      <c r="P313" s="228">
        <f t="shared" si="40"/>
        <v>0</v>
      </c>
      <c r="Q313" s="228"/>
      <c r="R313" s="19">
        <f t="shared" si="41"/>
        <v>0</v>
      </c>
      <c r="S313" s="228">
        <f t="shared" si="42"/>
        <v>0</v>
      </c>
      <c r="T313" s="20">
        <v>4</v>
      </c>
      <c r="U313" s="20"/>
      <c r="V313" s="235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s="2" customFormat="1" ht="21.95" hidden="1" customHeight="1">
      <c r="A314" s="226">
        <v>300425</v>
      </c>
      <c r="B314" s="223" t="s">
        <v>300</v>
      </c>
      <c r="C314" s="259" t="s">
        <v>296</v>
      </c>
      <c r="D314" s="260"/>
      <c r="E314" s="230" t="s">
        <v>299</v>
      </c>
      <c r="F314" s="27"/>
      <c r="G314" s="228"/>
      <c r="H314" s="228"/>
      <c r="I314" s="228"/>
      <c r="J314" s="228"/>
      <c r="K314" s="228">
        <f t="shared" si="38"/>
        <v>0</v>
      </c>
      <c r="L314" s="228">
        <f t="shared" si="39"/>
        <v>0</v>
      </c>
      <c r="M314" s="228">
        <v>524.1</v>
      </c>
      <c r="N314" s="228">
        <f t="shared" si="43"/>
        <v>3.3467432950191571</v>
      </c>
      <c r="O314" s="228"/>
      <c r="P314" s="228">
        <f t="shared" si="40"/>
        <v>0</v>
      </c>
      <c r="Q314" s="228"/>
      <c r="R314" s="19">
        <f t="shared" si="41"/>
        <v>0</v>
      </c>
      <c r="S314" s="228">
        <f t="shared" si="42"/>
        <v>0</v>
      </c>
      <c r="T314" s="20">
        <v>4</v>
      </c>
      <c r="U314" s="20"/>
      <c r="V314" s="235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226">
        <v>300390</v>
      </c>
      <c r="B315" s="223" t="s">
        <v>295</v>
      </c>
      <c r="C315" s="259" t="s">
        <v>114</v>
      </c>
      <c r="D315" s="260"/>
      <c r="E315" s="230" t="s">
        <v>115</v>
      </c>
      <c r="F315" s="229"/>
      <c r="G315" s="228"/>
      <c r="H315" s="228"/>
      <c r="I315" s="228"/>
      <c r="J315" s="228"/>
      <c r="K315" s="228">
        <f t="shared" si="38"/>
        <v>0</v>
      </c>
      <c r="L315" s="228">
        <f t="shared" si="39"/>
        <v>0</v>
      </c>
      <c r="M315" s="228">
        <v>417.4</v>
      </c>
      <c r="N315" s="228">
        <f>+M315*1000/(87*1*80*60)*T315</f>
        <v>3.9980842911877397</v>
      </c>
      <c r="O315" s="228"/>
      <c r="P315" s="228">
        <f t="shared" si="40"/>
        <v>0</v>
      </c>
      <c r="Q315" s="228"/>
      <c r="R315" s="19">
        <f t="shared" si="41"/>
        <v>0</v>
      </c>
      <c r="S315" s="228">
        <f t="shared" si="42"/>
        <v>0</v>
      </c>
      <c r="T315" s="20">
        <v>4</v>
      </c>
      <c r="U315" s="20"/>
      <c r="V315" s="235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226">
        <v>300391</v>
      </c>
      <c r="B316" s="223" t="s">
        <v>116</v>
      </c>
      <c r="C316" s="259" t="s">
        <v>114</v>
      </c>
      <c r="D316" s="260"/>
      <c r="E316" s="230" t="s">
        <v>117</v>
      </c>
      <c r="F316" s="229"/>
      <c r="G316" s="228"/>
      <c r="H316" s="228"/>
      <c r="I316" s="228"/>
      <c r="J316" s="228"/>
      <c r="K316" s="228">
        <f t="shared" si="38"/>
        <v>0</v>
      </c>
      <c r="L316" s="228">
        <f t="shared" si="39"/>
        <v>0</v>
      </c>
      <c r="M316" s="228">
        <v>417.4</v>
      </c>
      <c r="N316" s="228">
        <f>+M316*1000/(87*1*80*60)*T316</f>
        <v>3.9980842911877397</v>
      </c>
      <c r="O316" s="228"/>
      <c r="P316" s="228">
        <f t="shared" si="40"/>
        <v>0</v>
      </c>
      <c r="Q316" s="228"/>
      <c r="R316" s="19">
        <f t="shared" si="41"/>
        <v>0</v>
      </c>
      <c r="S316" s="228">
        <f t="shared" si="42"/>
        <v>0</v>
      </c>
      <c r="T316" s="20">
        <v>4</v>
      </c>
      <c r="U316" s="20"/>
      <c r="V316" s="235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hidden="1" customHeight="1">
      <c r="A317" s="226">
        <v>300431</v>
      </c>
      <c r="B317" s="223" t="s">
        <v>300</v>
      </c>
      <c r="C317" s="259" t="s">
        <v>305</v>
      </c>
      <c r="D317" s="260"/>
      <c r="E317" s="230" t="s">
        <v>306</v>
      </c>
      <c r="F317" s="27"/>
      <c r="G317" s="228"/>
      <c r="H317" s="228"/>
      <c r="I317" s="228"/>
      <c r="J317" s="228"/>
      <c r="K317" s="228">
        <f t="shared" si="38"/>
        <v>0</v>
      </c>
      <c r="L317" s="228">
        <f t="shared" si="39"/>
        <v>0</v>
      </c>
      <c r="M317" s="228">
        <v>628.79999999999995</v>
      </c>
      <c r="N317" s="228">
        <f>+M317*1000/(87*1*80*60)*T317</f>
        <v>6.0229885057471266</v>
      </c>
      <c r="O317" s="228"/>
      <c r="P317" s="228">
        <f t="shared" si="40"/>
        <v>0</v>
      </c>
      <c r="Q317" s="228"/>
      <c r="R317" s="19">
        <f t="shared" si="41"/>
        <v>0</v>
      </c>
      <c r="S317" s="228">
        <f t="shared" si="42"/>
        <v>0</v>
      </c>
      <c r="T317" s="20">
        <v>4</v>
      </c>
      <c r="U317" s="20"/>
      <c r="V317" s="235" t="str">
        <f t="array" ref="V317">IF(ISERROR(L317/K317),"",L317/K317)</f>
        <v/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226">
        <v>300432</v>
      </c>
      <c r="B318" s="223" t="s">
        <v>300</v>
      </c>
      <c r="C318" s="259" t="s">
        <v>305</v>
      </c>
      <c r="D318" s="260"/>
      <c r="E318" s="230" t="s">
        <v>307</v>
      </c>
      <c r="F318" s="27"/>
      <c r="G318" s="228"/>
      <c r="H318" s="228"/>
      <c r="I318" s="228"/>
      <c r="J318" s="228"/>
      <c r="K318" s="228">
        <f t="shared" si="38"/>
        <v>0</v>
      </c>
      <c r="L318" s="228">
        <f t="shared" si="39"/>
        <v>0</v>
      </c>
      <c r="M318" s="228">
        <v>628.79999999999995</v>
      </c>
      <c r="N318" s="228">
        <f>+M318*1000/(87*1*80*60)*T318</f>
        <v>6.0229885057471266</v>
      </c>
      <c r="O318" s="228"/>
      <c r="P318" s="228">
        <f t="shared" si="40"/>
        <v>0</v>
      </c>
      <c r="Q318" s="228"/>
      <c r="R318" s="19">
        <f t="shared" si="41"/>
        <v>0</v>
      </c>
      <c r="S318" s="228">
        <f t="shared" si="42"/>
        <v>0</v>
      </c>
      <c r="T318" s="20">
        <v>4</v>
      </c>
      <c r="U318" s="20"/>
      <c r="V318" s="235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hidden="1" customHeight="1">
      <c r="A319" s="226">
        <v>300433</v>
      </c>
      <c r="B319" s="223" t="s">
        <v>300</v>
      </c>
      <c r="C319" s="259" t="s">
        <v>305</v>
      </c>
      <c r="D319" s="260"/>
      <c r="E319" s="134" t="s">
        <v>308</v>
      </c>
      <c r="F319" s="27"/>
      <c r="G319" s="228"/>
      <c r="H319" s="228"/>
      <c r="I319" s="228"/>
      <c r="J319" s="228"/>
      <c r="K319" s="228">
        <f t="shared" si="38"/>
        <v>0</v>
      </c>
      <c r="L319" s="228">
        <f t="shared" si="39"/>
        <v>0</v>
      </c>
      <c r="M319" s="228">
        <v>628.79999999999995</v>
      </c>
      <c r="N319" s="228">
        <f>+M319*1000/(87*1*80*60)*T319</f>
        <v>6.0229885057471266</v>
      </c>
      <c r="O319" s="228"/>
      <c r="P319" s="228">
        <f t="shared" si="40"/>
        <v>0</v>
      </c>
      <c r="Q319" s="228"/>
      <c r="R319" s="19">
        <f t="shared" si="41"/>
        <v>0</v>
      </c>
      <c r="S319" s="228">
        <f t="shared" si="42"/>
        <v>0</v>
      </c>
      <c r="T319" s="20">
        <v>4</v>
      </c>
      <c r="U319" s="20"/>
      <c r="V319" s="235" t="str">
        <f t="array" ref="V319">IF(ISERROR(L319/K319),"",L319/K319)</f>
        <v/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226">
        <v>300074</v>
      </c>
      <c r="B320" s="223" t="s">
        <v>118</v>
      </c>
      <c r="C320" s="248" t="s">
        <v>119</v>
      </c>
      <c r="D320" s="248" t="s">
        <v>120</v>
      </c>
      <c r="E320" s="230" t="s">
        <v>54</v>
      </c>
      <c r="F320" s="229"/>
      <c r="G320" s="228"/>
      <c r="H320" s="228"/>
      <c r="I320" s="228"/>
      <c r="J320" s="228"/>
      <c r="K320" s="228">
        <f t="shared" si="38"/>
        <v>0</v>
      </c>
      <c r="L320" s="228">
        <f t="shared" si="39"/>
        <v>0</v>
      </c>
      <c r="M320" s="228">
        <v>290.8</v>
      </c>
      <c r="N320" s="228">
        <f>+M320*1000/(88*4*13*60)*T320</f>
        <v>3.1774475524475525</v>
      </c>
      <c r="O320" s="228"/>
      <c r="P320" s="228">
        <f t="shared" si="40"/>
        <v>0</v>
      </c>
      <c r="Q320" s="228"/>
      <c r="R320" s="19">
        <f t="shared" si="41"/>
        <v>0</v>
      </c>
      <c r="S320" s="228">
        <f t="shared" si="42"/>
        <v>0</v>
      </c>
      <c r="T320" s="20">
        <v>3</v>
      </c>
      <c r="U320" s="20"/>
      <c r="V320" s="235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226">
        <v>300076</v>
      </c>
      <c r="B321" s="223" t="s">
        <v>118</v>
      </c>
      <c r="C321" s="248" t="s">
        <v>119</v>
      </c>
      <c r="D321" s="248" t="s">
        <v>120</v>
      </c>
      <c r="E321" s="230" t="s">
        <v>35</v>
      </c>
      <c r="F321" s="229"/>
      <c r="G321" s="228"/>
      <c r="H321" s="228"/>
      <c r="I321" s="228"/>
      <c r="J321" s="228"/>
      <c r="K321" s="228">
        <f t="shared" si="38"/>
        <v>0</v>
      </c>
      <c r="L321" s="228">
        <f t="shared" si="39"/>
        <v>0</v>
      </c>
      <c r="M321" s="228">
        <v>303.10000000000002</v>
      </c>
      <c r="N321" s="228">
        <f>+M321*1000/(88*4*12*60)*T321</f>
        <v>4.7837752525252526</v>
      </c>
      <c r="O321" s="228"/>
      <c r="P321" s="228">
        <f t="shared" si="40"/>
        <v>0</v>
      </c>
      <c r="Q321" s="228"/>
      <c r="R321" s="19">
        <f t="shared" si="41"/>
        <v>0</v>
      </c>
      <c r="S321" s="228">
        <f t="shared" si="42"/>
        <v>0</v>
      </c>
      <c r="T321" s="20">
        <v>4</v>
      </c>
      <c r="U321" s="20"/>
      <c r="V321" s="235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226">
        <v>300096</v>
      </c>
      <c r="B322" s="223">
        <v>6502</v>
      </c>
      <c r="C322" s="248" t="s">
        <v>121</v>
      </c>
      <c r="D322" s="248" t="s">
        <v>122</v>
      </c>
      <c r="E322" s="230" t="s">
        <v>37</v>
      </c>
      <c r="F322" s="229"/>
      <c r="G322" s="228"/>
      <c r="H322" s="228"/>
      <c r="I322" s="228"/>
      <c r="J322" s="228"/>
      <c r="K322" s="228">
        <f t="shared" si="38"/>
        <v>0</v>
      </c>
      <c r="L322" s="228">
        <f t="shared" si="39"/>
        <v>0</v>
      </c>
      <c r="M322" s="228">
        <v>480.13</v>
      </c>
      <c r="N322" s="228">
        <f>+M322*1000/(126.5*4*12*60)*T322</f>
        <v>2.6357597716293371</v>
      </c>
      <c r="O322" s="228"/>
      <c r="P322" s="228">
        <f t="shared" si="40"/>
        <v>0</v>
      </c>
      <c r="Q322" s="228"/>
      <c r="R322" s="19">
        <f t="shared" si="41"/>
        <v>0</v>
      </c>
      <c r="S322" s="228">
        <f t="shared" si="42"/>
        <v>0</v>
      </c>
      <c r="T322" s="20">
        <v>2</v>
      </c>
      <c r="U322" s="20"/>
      <c r="V322" s="235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226"/>
      <c r="B323" s="223" t="s">
        <v>118</v>
      </c>
      <c r="C323" s="248" t="s">
        <v>121</v>
      </c>
      <c r="D323" s="248" t="s">
        <v>122</v>
      </c>
      <c r="E323" s="230" t="s">
        <v>35</v>
      </c>
      <c r="F323" s="229"/>
      <c r="G323" s="228"/>
      <c r="H323" s="228"/>
      <c r="I323" s="228"/>
      <c r="J323" s="228"/>
      <c r="K323" s="228">
        <f t="shared" si="38"/>
        <v>0</v>
      </c>
      <c r="L323" s="228">
        <f t="shared" si="39"/>
        <v>0</v>
      </c>
      <c r="M323" s="228">
        <v>480.13</v>
      </c>
      <c r="N323" s="228">
        <f>+M323*1000/(126.5*4*12*60)*T323</f>
        <v>2.6357597716293371</v>
      </c>
      <c r="O323" s="228"/>
      <c r="P323" s="228">
        <f t="shared" si="40"/>
        <v>0</v>
      </c>
      <c r="Q323" s="228"/>
      <c r="R323" s="19">
        <f t="shared" si="41"/>
        <v>0</v>
      </c>
      <c r="S323" s="228">
        <f t="shared" si="42"/>
        <v>0</v>
      </c>
      <c r="T323" s="20">
        <v>2</v>
      </c>
      <c r="U323" s="20"/>
      <c r="V323" s="235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226">
        <v>300097</v>
      </c>
      <c r="B324" s="223">
        <v>6502</v>
      </c>
      <c r="C324" s="248" t="s">
        <v>121</v>
      </c>
      <c r="D324" s="248" t="s">
        <v>122</v>
      </c>
      <c r="E324" s="230" t="s">
        <v>63</v>
      </c>
      <c r="F324" s="229"/>
      <c r="G324" s="228"/>
      <c r="H324" s="228"/>
      <c r="I324" s="228"/>
      <c r="J324" s="228"/>
      <c r="K324" s="228">
        <f t="shared" si="38"/>
        <v>0</v>
      </c>
      <c r="L324" s="228">
        <f t="shared" si="39"/>
        <v>0</v>
      </c>
      <c r="M324" s="228">
        <v>480.13</v>
      </c>
      <c r="N324" s="228">
        <f>+M324*1000/(126.5*4*12*60)*T324</f>
        <v>2.6357597716293371</v>
      </c>
      <c r="O324" s="228"/>
      <c r="P324" s="228">
        <f t="shared" si="40"/>
        <v>0</v>
      </c>
      <c r="Q324" s="228"/>
      <c r="R324" s="19">
        <f t="shared" si="41"/>
        <v>0</v>
      </c>
      <c r="S324" s="228">
        <f t="shared" si="42"/>
        <v>0</v>
      </c>
      <c r="T324" s="20">
        <v>2</v>
      </c>
      <c r="U324" s="20"/>
      <c r="V324" s="235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223">
        <v>300294</v>
      </c>
      <c r="B325" s="223" t="s">
        <v>118</v>
      </c>
      <c r="C325" s="248" t="s">
        <v>123</v>
      </c>
      <c r="D325" s="248"/>
      <c r="E325" s="230" t="s">
        <v>41</v>
      </c>
      <c r="F325" s="229"/>
      <c r="G325" s="228"/>
      <c r="H325" s="228"/>
      <c r="I325" s="228"/>
      <c r="J325" s="228"/>
      <c r="K325" s="228">
        <f t="shared" si="38"/>
        <v>0</v>
      </c>
      <c r="L325" s="228">
        <f t="shared" si="39"/>
        <v>0</v>
      </c>
      <c r="M325" s="228">
        <v>373.14</v>
      </c>
      <c r="N325" s="228">
        <f t="shared" ref="N325:N334" si="44">+M325*1000/(90*4*14*60)*T325</f>
        <v>3.7017857142857142</v>
      </c>
      <c r="O325" s="228"/>
      <c r="P325" s="228">
        <f t="shared" si="40"/>
        <v>0</v>
      </c>
      <c r="Q325" s="228"/>
      <c r="R325" s="19">
        <f t="shared" si="41"/>
        <v>0</v>
      </c>
      <c r="S325" s="228">
        <f t="shared" si="42"/>
        <v>0</v>
      </c>
      <c r="T325" s="20">
        <v>3</v>
      </c>
      <c r="U325" s="20"/>
      <c r="V325" s="235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223">
        <v>300295</v>
      </c>
      <c r="B326" s="223" t="s">
        <v>124</v>
      </c>
      <c r="C326" s="248" t="s">
        <v>125</v>
      </c>
      <c r="D326" s="248"/>
      <c r="E326" s="230" t="s">
        <v>126</v>
      </c>
      <c r="F326" s="229"/>
      <c r="G326" s="228"/>
      <c r="H326" s="228"/>
      <c r="I326" s="228"/>
      <c r="J326" s="228"/>
      <c r="K326" s="228">
        <f t="shared" si="38"/>
        <v>0</v>
      </c>
      <c r="L326" s="228">
        <f t="shared" si="39"/>
        <v>0</v>
      </c>
      <c r="M326" s="228">
        <v>373.14</v>
      </c>
      <c r="N326" s="228">
        <f t="shared" si="44"/>
        <v>3.7017857142857142</v>
      </c>
      <c r="O326" s="228"/>
      <c r="P326" s="228">
        <f t="shared" si="40"/>
        <v>0</v>
      </c>
      <c r="Q326" s="228"/>
      <c r="R326" s="19">
        <f t="shared" si="41"/>
        <v>0</v>
      </c>
      <c r="S326" s="228">
        <f t="shared" si="42"/>
        <v>0</v>
      </c>
      <c r="T326" s="20">
        <v>3</v>
      </c>
      <c r="U326" s="20"/>
      <c r="V326" s="235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223">
        <v>300258</v>
      </c>
      <c r="B327" s="223" t="s">
        <v>118</v>
      </c>
      <c r="C327" s="248" t="s">
        <v>123</v>
      </c>
      <c r="D327" s="248"/>
      <c r="E327" s="230" t="s">
        <v>42</v>
      </c>
      <c r="F327" s="229"/>
      <c r="G327" s="228"/>
      <c r="H327" s="228"/>
      <c r="I327" s="228"/>
      <c r="J327" s="228"/>
      <c r="K327" s="228">
        <f t="shared" si="38"/>
        <v>0</v>
      </c>
      <c r="L327" s="228">
        <f t="shared" si="39"/>
        <v>0</v>
      </c>
      <c r="M327" s="228">
        <v>373.14</v>
      </c>
      <c r="N327" s="228">
        <f t="shared" si="44"/>
        <v>3.7017857142857142</v>
      </c>
      <c r="O327" s="228"/>
      <c r="P327" s="228">
        <f t="shared" si="40"/>
        <v>0</v>
      </c>
      <c r="Q327" s="228"/>
      <c r="R327" s="19">
        <f t="shared" si="41"/>
        <v>0</v>
      </c>
      <c r="S327" s="228">
        <f t="shared" si="42"/>
        <v>0</v>
      </c>
      <c r="T327" s="20">
        <v>3</v>
      </c>
      <c r="U327" s="20"/>
      <c r="V327" s="235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223">
        <v>300256</v>
      </c>
      <c r="B328" s="223" t="s">
        <v>118</v>
      </c>
      <c r="C328" s="248" t="s">
        <v>123</v>
      </c>
      <c r="D328" s="248"/>
      <c r="E328" s="230" t="s">
        <v>74</v>
      </c>
      <c r="F328" s="229"/>
      <c r="G328" s="228"/>
      <c r="H328" s="228"/>
      <c r="I328" s="228"/>
      <c r="J328" s="228"/>
      <c r="K328" s="228">
        <f t="shared" si="38"/>
        <v>0</v>
      </c>
      <c r="L328" s="228">
        <f t="shared" si="39"/>
        <v>0</v>
      </c>
      <c r="M328" s="228">
        <v>373.14</v>
      </c>
      <c r="N328" s="228">
        <f t="shared" si="44"/>
        <v>3.7017857142857142</v>
      </c>
      <c r="O328" s="228"/>
      <c r="P328" s="228">
        <f t="shared" si="40"/>
        <v>0</v>
      </c>
      <c r="Q328" s="228"/>
      <c r="R328" s="19">
        <f t="shared" si="41"/>
        <v>0</v>
      </c>
      <c r="S328" s="228">
        <f t="shared" si="42"/>
        <v>0</v>
      </c>
      <c r="T328" s="20">
        <v>3</v>
      </c>
      <c r="U328" s="20"/>
      <c r="V328" s="235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223">
        <v>300259</v>
      </c>
      <c r="B329" s="223" t="s">
        <v>118</v>
      </c>
      <c r="C329" s="248" t="s">
        <v>123</v>
      </c>
      <c r="D329" s="248"/>
      <c r="E329" s="230" t="s">
        <v>40</v>
      </c>
      <c r="F329" s="229"/>
      <c r="G329" s="228"/>
      <c r="H329" s="228"/>
      <c r="I329" s="228"/>
      <c r="J329" s="228"/>
      <c r="K329" s="228">
        <f t="shared" si="38"/>
        <v>0</v>
      </c>
      <c r="L329" s="228">
        <f t="shared" si="39"/>
        <v>0</v>
      </c>
      <c r="M329" s="228">
        <v>373.14</v>
      </c>
      <c r="N329" s="228">
        <f t="shared" si="44"/>
        <v>3.7017857142857142</v>
      </c>
      <c r="O329" s="228"/>
      <c r="P329" s="228">
        <f t="shared" si="40"/>
        <v>0</v>
      </c>
      <c r="Q329" s="228"/>
      <c r="R329" s="19">
        <f t="shared" si="41"/>
        <v>0</v>
      </c>
      <c r="S329" s="228">
        <f t="shared" si="42"/>
        <v>0</v>
      </c>
      <c r="T329" s="20">
        <v>3</v>
      </c>
      <c r="U329" s="20"/>
      <c r="V329" s="235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223">
        <v>300345</v>
      </c>
      <c r="B330" s="223" t="s">
        <v>118</v>
      </c>
      <c r="C330" s="248" t="s">
        <v>127</v>
      </c>
      <c r="D330" s="248"/>
      <c r="E330" s="230" t="s">
        <v>74</v>
      </c>
      <c r="F330" s="229"/>
      <c r="G330" s="228"/>
      <c r="H330" s="228"/>
      <c r="I330" s="228"/>
      <c r="J330" s="228"/>
      <c r="K330" s="228">
        <f t="shared" si="38"/>
        <v>0</v>
      </c>
      <c r="L330" s="228">
        <f t="shared" si="39"/>
        <v>0</v>
      </c>
      <c r="M330" s="228">
        <v>373.14</v>
      </c>
      <c r="N330" s="228">
        <f t="shared" si="44"/>
        <v>3.7017857142857142</v>
      </c>
      <c r="O330" s="41"/>
      <c r="P330" s="228">
        <f t="shared" si="40"/>
        <v>0</v>
      </c>
      <c r="Q330" s="41"/>
      <c r="R330" s="19">
        <f t="shared" si="41"/>
        <v>0</v>
      </c>
      <c r="S330" s="228">
        <f t="shared" si="42"/>
        <v>0</v>
      </c>
      <c r="T330" s="20">
        <v>3</v>
      </c>
      <c r="U330" s="41"/>
      <c r="V330" s="235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223">
        <v>300346</v>
      </c>
      <c r="B331" s="223" t="s">
        <v>118</v>
      </c>
      <c r="C331" s="248" t="s">
        <v>127</v>
      </c>
      <c r="D331" s="248"/>
      <c r="E331" s="230" t="s">
        <v>42</v>
      </c>
      <c r="F331" s="229"/>
      <c r="G331" s="228"/>
      <c r="H331" s="228"/>
      <c r="I331" s="228"/>
      <c r="J331" s="228"/>
      <c r="K331" s="228">
        <f t="shared" si="38"/>
        <v>0</v>
      </c>
      <c r="L331" s="228">
        <f t="shared" si="39"/>
        <v>0</v>
      </c>
      <c r="M331" s="228">
        <v>373.14</v>
      </c>
      <c r="N331" s="228">
        <f t="shared" si="44"/>
        <v>3.7017857142857142</v>
      </c>
      <c r="O331" s="41"/>
      <c r="P331" s="228">
        <f t="shared" si="40"/>
        <v>0</v>
      </c>
      <c r="Q331" s="41"/>
      <c r="R331" s="19">
        <f t="shared" si="41"/>
        <v>0</v>
      </c>
      <c r="S331" s="228">
        <f t="shared" si="42"/>
        <v>0</v>
      </c>
      <c r="T331" s="20">
        <v>3</v>
      </c>
      <c r="U331" s="41"/>
      <c r="V331" s="235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223">
        <v>300347</v>
      </c>
      <c r="B332" s="223" t="s">
        <v>118</v>
      </c>
      <c r="C332" s="248" t="s">
        <v>127</v>
      </c>
      <c r="D332" s="248"/>
      <c r="E332" s="230" t="s">
        <v>41</v>
      </c>
      <c r="F332" s="229"/>
      <c r="G332" s="228"/>
      <c r="H332" s="228"/>
      <c r="I332" s="228"/>
      <c r="J332" s="228"/>
      <c r="K332" s="228">
        <f t="shared" si="38"/>
        <v>0</v>
      </c>
      <c r="L332" s="228">
        <f t="shared" si="39"/>
        <v>0</v>
      </c>
      <c r="M332" s="228">
        <v>373.14</v>
      </c>
      <c r="N332" s="228">
        <f t="shared" si="44"/>
        <v>3.7017857142857142</v>
      </c>
      <c r="O332" s="41"/>
      <c r="P332" s="228">
        <f t="shared" si="40"/>
        <v>0</v>
      </c>
      <c r="Q332" s="41"/>
      <c r="R332" s="19">
        <f t="shared" si="41"/>
        <v>0</v>
      </c>
      <c r="S332" s="228">
        <f t="shared" si="42"/>
        <v>0</v>
      </c>
      <c r="T332" s="20">
        <v>3</v>
      </c>
      <c r="U332" s="41"/>
      <c r="V332" s="235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223">
        <v>300348</v>
      </c>
      <c r="B333" s="223" t="s">
        <v>118</v>
      </c>
      <c r="C333" s="248" t="s">
        <v>127</v>
      </c>
      <c r="D333" s="248"/>
      <c r="E333" s="230" t="s">
        <v>126</v>
      </c>
      <c r="F333" s="229"/>
      <c r="G333" s="228"/>
      <c r="H333" s="228"/>
      <c r="I333" s="228"/>
      <c r="J333" s="228"/>
      <c r="K333" s="228">
        <f t="shared" si="38"/>
        <v>0</v>
      </c>
      <c r="L333" s="228">
        <f t="shared" si="39"/>
        <v>0</v>
      </c>
      <c r="M333" s="228">
        <v>373.14</v>
      </c>
      <c r="N333" s="228">
        <f t="shared" si="44"/>
        <v>3.7017857142857142</v>
      </c>
      <c r="O333" s="41"/>
      <c r="P333" s="228">
        <f t="shared" si="40"/>
        <v>0</v>
      </c>
      <c r="Q333" s="41"/>
      <c r="R333" s="19">
        <f t="shared" si="41"/>
        <v>0</v>
      </c>
      <c r="S333" s="228">
        <f t="shared" si="42"/>
        <v>0</v>
      </c>
      <c r="T333" s="20">
        <v>3</v>
      </c>
      <c r="U333" s="41"/>
      <c r="V333" s="235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223">
        <v>300349</v>
      </c>
      <c r="B334" s="223" t="s">
        <v>118</v>
      </c>
      <c r="C334" s="248" t="s">
        <v>127</v>
      </c>
      <c r="D334" s="248"/>
      <c r="E334" s="230" t="s">
        <v>40</v>
      </c>
      <c r="F334" s="229"/>
      <c r="G334" s="228"/>
      <c r="H334" s="228"/>
      <c r="I334" s="228"/>
      <c r="J334" s="228"/>
      <c r="K334" s="228">
        <f t="shared" si="38"/>
        <v>0</v>
      </c>
      <c r="L334" s="228">
        <f t="shared" si="39"/>
        <v>0</v>
      </c>
      <c r="M334" s="228">
        <v>373.14</v>
      </c>
      <c r="N334" s="228">
        <f t="shared" si="44"/>
        <v>3.7017857142857142</v>
      </c>
      <c r="O334" s="41"/>
      <c r="P334" s="228">
        <f t="shared" si="40"/>
        <v>0</v>
      </c>
      <c r="Q334" s="41"/>
      <c r="R334" s="19">
        <f t="shared" si="41"/>
        <v>0</v>
      </c>
      <c r="S334" s="228">
        <f t="shared" si="42"/>
        <v>0</v>
      </c>
      <c r="T334" s="20">
        <v>3</v>
      </c>
      <c r="U334" s="41"/>
      <c r="V334" s="235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223">
        <v>300298</v>
      </c>
      <c r="B335" s="223" t="s">
        <v>118</v>
      </c>
      <c r="C335" s="248" t="s">
        <v>128</v>
      </c>
      <c r="D335" s="248"/>
      <c r="E335" s="230" t="s">
        <v>54</v>
      </c>
      <c r="F335" s="229"/>
      <c r="G335" s="228"/>
      <c r="H335" s="228"/>
      <c r="I335" s="228"/>
      <c r="J335" s="228"/>
      <c r="K335" s="228">
        <f t="shared" si="38"/>
        <v>0</v>
      </c>
      <c r="L335" s="228">
        <f t="shared" si="39"/>
        <v>0</v>
      </c>
      <c r="M335" s="228">
        <v>380.63</v>
      </c>
      <c r="N335" s="228">
        <f t="shared" ref="N335:N340" si="45">+M335*1000/(94.7*4*15*60)*T335</f>
        <v>4.4659157573624313</v>
      </c>
      <c r="O335" s="228"/>
      <c r="P335" s="228">
        <f t="shared" si="40"/>
        <v>0</v>
      </c>
      <c r="Q335" s="228"/>
      <c r="R335" s="19">
        <f t="shared" si="41"/>
        <v>0</v>
      </c>
      <c r="S335" s="228">
        <f t="shared" si="42"/>
        <v>0</v>
      </c>
      <c r="T335" s="20">
        <v>4</v>
      </c>
      <c r="U335" s="20"/>
      <c r="V335" s="235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223">
        <v>300299</v>
      </c>
      <c r="B336" s="223" t="s">
        <v>118</v>
      </c>
      <c r="C336" s="248" t="s">
        <v>128</v>
      </c>
      <c r="D336" s="248"/>
      <c r="E336" s="230" t="s">
        <v>39</v>
      </c>
      <c r="F336" s="229"/>
      <c r="G336" s="228"/>
      <c r="H336" s="228"/>
      <c r="I336" s="228"/>
      <c r="J336" s="228"/>
      <c r="K336" s="228">
        <f t="shared" si="38"/>
        <v>0</v>
      </c>
      <c r="L336" s="228">
        <f t="shared" si="39"/>
        <v>0</v>
      </c>
      <c r="M336" s="228">
        <v>380.63</v>
      </c>
      <c r="N336" s="228">
        <f t="shared" si="45"/>
        <v>4.4659157573624313</v>
      </c>
      <c r="O336" s="228"/>
      <c r="P336" s="228">
        <f t="shared" si="40"/>
        <v>0</v>
      </c>
      <c r="Q336" s="228"/>
      <c r="R336" s="19">
        <f t="shared" si="41"/>
        <v>0</v>
      </c>
      <c r="S336" s="228">
        <f t="shared" si="42"/>
        <v>0</v>
      </c>
      <c r="T336" s="20">
        <v>4</v>
      </c>
      <c r="U336" s="20"/>
      <c r="V336" s="235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223">
        <v>300296</v>
      </c>
      <c r="B337" s="223" t="s">
        <v>118</v>
      </c>
      <c r="C337" s="248" t="s">
        <v>128</v>
      </c>
      <c r="D337" s="248"/>
      <c r="E337" s="230" t="s">
        <v>41</v>
      </c>
      <c r="F337" s="229"/>
      <c r="G337" s="228"/>
      <c r="H337" s="228"/>
      <c r="I337" s="228"/>
      <c r="J337" s="228"/>
      <c r="K337" s="228">
        <f t="shared" si="38"/>
        <v>0</v>
      </c>
      <c r="L337" s="228">
        <f t="shared" si="39"/>
        <v>0</v>
      </c>
      <c r="M337" s="228">
        <v>380.63</v>
      </c>
      <c r="N337" s="228">
        <f t="shared" si="45"/>
        <v>4.4659157573624313</v>
      </c>
      <c r="O337" s="228"/>
      <c r="P337" s="228">
        <f t="shared" si="40"/>
        <v>0</v>
      </c>
      <c r="Q337" s="228"/>
      <c r="R337" s="19">
        <f t="shared" si="41"/>
        <v>0</v>
      </c>
      <c r="S337" s="228">
        <f t="shared" si="42"/>
        <v>0</v>
      </c>
      <c r="T337" s="20">
        <v>4</v>
      </c>
      <c r="U337" s="20"/>
      <c r="V337" s="235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223">
        <v>300297</v>
      </c>
      <c r="B338" s="223" t="s">
        <v>118</v>
      </c>
      <c r="C338" s="248" t="s">
        <v>128</v>
      </c>
      <c r="D338" s="248"/>
      <c r="E338" s="230" t="s">
        <v>37</v>
      </c>
      <c r="F338" s="229"/>
      <c r="G338" s="228"/>
      <c r="H338" s="228"/>
      <c r="I338" s="228"/>
      <c r="J338" s="228"/>
      <c r="K338" s="228">
        <f t="shared" si="38"/>
        <v>0</v>
      </c>
      <c r="L338" s="228">
        <f t="shared" si="39"/>
        <v>0</v>
      </c>
      <c r="M338" s="228">
        <v>380.63</v>
      </c>
      <c r="N338" s="228">
        <f t="shared" si="45"/>
        <v>4.4659157573624313</v>
      </c>
      <c r="O338" s="228"/>
      <c r="P338" s="228">
        <f t="shared" si="40"/>
        <v>0</v>
      </c>
      <c r="Q338" s="228"/>
      <c r="R338" s="19">
        <f t="shared" si="41"/>
        <v>0</v>
      </c>
      <c r="S338" s="228">
        <f t="shared" si="42"/>
        <v>0</v>
      </c>
      <c r="T338" s="20">
        <v>4</v>
      </c>
      <c r="U338" s="20"/>
      <c r="V338" s="235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223">
        <v>300340</v>
      </c>
      <c r="B339" s="223" t="s">
        <v>118</v>
      </c>
      <c r="C339" s="259" t="s">
        <v>129</v>
      </c>
      <c r="D339" s="260"/>
      <c r="E339" s="230" t="s">
        <v>41</v>
      </c>
      <c r="F339" s="229"/>
      <c r="G339" s="228"/>
      <c r="H339" s="228"/>
      <c r="I339" s="228"/>
      <c r="J339" s="228"/>
      <c r="K339" s="228">
        <f t="shared" si="38"/>
        <v>0</v>
      </c>
      <c r="L339" s="228">
        <f t="shared" si="39"/>
        <v>0</v>
      </c>
      <c r="M339" s="228">
        <v>325.60000000000002</v>
      </c>
      <c r="N339" s="228">
        <f t="shared" si="45"/>
        <v>3.8202510852986036</v>
      </c>
      <c r="O339" s="228"/>
      <c r="P339" s="228">
        <f t="shared" si="40"/>
        <v>0</v>
      </c>
      <c r="Q339" s="228"/>
      <c r="R339" s="19">
        <f t="shared" si="41"/>
        <v>0</v>
      </c>
      <c r="S339" s="228">
        <f t="shared" si="42"/>
        <v>0</v>
      </c>
      <c r="T339" s="20">
        <v>4</v>
      </c>
      <c r="U339" s="20"/>
      <c r="V339" s="235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223">
        <v>300339</v>
      </c>
      <c r="B340" s="223" t="s">
        <v>118</v>
      </c>
      <c r="C340" s="259" t="s">
        <v>129</v>
      </c>
      <c r="D340" s="260"/>
      <c r="E340" s="230" t="s">
        <v>39</v>
      </c>
      <c r="F340" s="229"/>
      <c r="G340" s="228"/>
      <c r="H340" s="228"/>
      <c r="I340" s="228"/>
      <c r="J340" s="228"/>
      <c r="K340" s="228">
        <f t="shared" si="38"/>
        <v>0</v>
      </c>
      <c r="L340" s="228">
        <f t="shared" si="39"/>
        <v>0</v>
      </c>
      <c r="M340" s="228">
        <v>325.60000000000002</v>
      </c>
      <c r="N340" s="228">
        <f t="shared" si="45"/>
        <v>3.8202510852986036</v>
      </c>
      <c r="O340" s="228"/>
      <c r="P340" s="228">
        <f t="shared" si="40"/>
        <v>0</v>
      </c>
      <c r="Q340" s="228"/>
      <c r="R340" s="19">
        <f t="shared" si="41"/>
        <v>0</v>
      </c>
      <c r="S340" s="228">
        <f t="shared" si="42"/>
        <v>0</v>
      </c>
      <c r="T340" s="20">
        <v>4</v>
      </c>
      <c r="U340" s="20"/>
      <c r="V340" s="235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223">
        <v>300303</v>
      </c>
      <c r="B341" s="223" t="s">
        <v>118</v>
      </c>
      <c r="C341" s="248" t="s">
        <v>130</v>
      </c>
      <c r="D341" s="248" t="s">
        <v>131</v>
      </c>
      <c r="E341" s="230" t="s">
        <v>57</v>
      </c>
      <c r="F341" s="229"/>
      <c r="G341" s="228"/>
      <c r="H341" s="228"/>
      <c r="I341" s="228"/>
      <c r="J341" s="228"/>
      <c r="K341" s="228">
        <f t="shared" si="38"/>
        <v>0</v>
      </c>
      <c r="L341" s="228">
        <f t="shared" si="39"/>
        <v>0</v>
      </c>
      <c r="M341" s="228">
        <v>396.92</v>
      </c>
      <c r="N341" s="228">
        <f>+M341*1000/(113.8*4*15*60)*T341</f>
        <v>4.8442686975200155</v>
      </c>
      <c r="O341" s="228"/>
      <c r="P341" s="228">
        <f t="shared" si="40"/>
        <v>0</v>
      </c>
      <c r="Q341" s="228"/>
      <c r="R341" s="19">
        <f t="shared" si="41"/>
        <v>0</v>
      </c>
      <c r="S341" s="228">
        <f t="shared" si="42"/>
        <v>0</v>
      </c>
      <c r="T341" s="20">
        <v>5</v>
      </c>
      <c r="U341" s="20"/>
      <c r="V341" s="235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223">
        <v>300302</v>
      </c>
      <c r="B342" s="223" t="s">
        <v>118</v>
      </c>
      <c r="C342" s="248" t="s">
        <v>130</v>
      </c>
      <c r="D342" s="248" t="s">
        <v>131</v>
      </c>
      <c r="E342" s="230" t="s">
        <v>117</v>
      </c>
      <c r="F342" s="229"/>
      <c r="G342" s="228"/>
      <c r="H342" s="228"/>
      <c r="I342" s="228"/>
      <c r="J342" s="228"/>
      <c r="K342" s="228">
        <f t="shared" si="38"/>
        <v>0</v>
      </c>
      <c r="L342" s="228">
        <f t="shared" si="39"/>
        <v>0</v>
      </c>
      <c r="M342" s="228">
        <v>396.06</v>
      </c>
      <c r="N342" s="228">
        <f>+M342*1000/(113.8*4*15*60)*T342</f>
        <v>4.8337727006444053</v>
      </c>
      <c r="O342" s="228"/>
      <c r="P342" s="228">
        <f t="shared" si="40"/>
        <v>0</v>
      </c>
      <c r="Q342" s="228"/>
      <c r="R342" s="19">
        <f t="shared" si="41"/>
        <v>0</v>
      </c>
      <c r="S342" s="228">
        <f t="shared" si="42"/>
        <v>0</v>
      </c>
      <c r="T342" s="20">
        <v>5</v>
      </c>
      <c r="U342" s="20"/>
      <c r="V342" s="235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223">
        <v>300301</v>
      </c>
      <c r="B343" s="223" t="s">
        <v>118</v>
      </c>
      <c r="C343" s="248" t="s">
        <v>130</v>
      </c>
      <c r="D343" s="248" t="s">
        <v>131</v>
      </c>
      <c r="E343" s="230" t="s">
        <v>132</v>
      </c>
      <c r="F343" s="229"/>
      <c r="G343" s="228"/>
      <c r="H343" s="228"/>
      <c r="I343" s="228"/>
      <c r="J343" s="228"/>
      <c r="K343" s="228">
        <f t="shared" si="38"/>
        <v>0</v>
      </c>
      <c r="L343" s="228">
        <f t="shared" si="39"/>
        <v>0</v>
      </c>
      <c r="M343" s="228">
        <v>401.25</v>
      </c>
      <c r="N343" s="228">
        <f>+M343*1000/(113.8*4*15*60)*T343</f>
        <v>4.8971148213239601</v>
      </c>
      <c r="O343" s="228"/>
      <c r="P343" s="228">
        <f t="shared" si="40"/>
        <v>0</v>
      </c>
      <c r="Q343" s="228"/>
      <c r="R343" s="19">
        <f t="shared" si="41"/>
        <v>0</v>
      </c>
      <c r="S343" s="228">
        <f t="shared" si="42"/>
        <v>0</v>
      </c>
      <c r="T343" s="20">
        <v>5</v>
      </c>
      <c r="U343" s="20"/>
      <c r="V343" s="235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226">
        <v>300304</v>
      </c>
      <c r="B344" s="223" t="s">
        <v>118</v>
      </c>
      <c r="C344" s="248" t="s">
        <v>130</v>
      </c>
      <c r="D344" s="248"/>
      <c r="E344" s="230" t="s">
        <v>133</v>
      </c>
      <c r="F344" s="229"/>
      <c r="G344" s="228"/>
      <c r="H344" s="228"/>
      <c r="I344" s="228"/>
      <c r="J344" s="228"/>
      <c r="K344" s="228">
        <f t="shared" si="38"/>
        <v>0</v>
      </c>
      <c r="L344" s="228">
        <f t="shared" si="39"/>
        <v>0</v>
      </c>
      <c r="M344" s="228">
        <v>401.25</v>
      </c>
      <c r="N344" s="228">
        <f>+M344*1000/(113.8*4*15*60)*T344</f>
        <v>4.8971148213239601</v>
      </c>
      <c r="O344" s="228"/>
      <c r="P344" s="228">
        <f t="shared" si="40"/>
        <v>0</v>
      </c>
      <c r="Q344" s="228"/>
      <c r="R344" s="19">
        <f t="shared" si="41"/>
        <v>0</v>
      </c>
      <c r="S344" s="228">
        <f t="shared" si="42"/>
        <v>0</v>
      </c>
      <c r="T344" s="20">
        <v>5</v>
      </c>
      <c r="U344" s="20"/>
      <c r="V344" s="235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226">
        <v>300300</v>
      </c>
      <c r="B345" s="223" t="s">
        <v>118</v>
      </c>
      <c r="C345" s="248" t="s">
        <v>130</v>
      </c>
      <c r="D345" s="248" t="s">
        <v>131</v>
      </c>
      <c r="E345" s="230" t="s">
        <v>54</v>
      </c>
      <c r="F345" s="229"/>
      <c r="G345" s="228"/>
      <c r="H345" s="228"/>
      <c r="I345" s="228"/>
      <c r="J345" s="228"/>
      <c r="K345" s="228">
        <f t="shared" si="38"/>
        <v>0</v>
      </c>
      <c r="L345" s="228">
        <f t="shared" si="39"/>
        <v>0</v>
      </c>
      <c r="M345" s="228">
        <v>399.07</v>
      </c>
      <c r="N345" s="228">
        <f>+M345*1000/(113.8*4*15*60)*T345</f>
        <v>4.8705086897090411</v>
      </c>
      <c r="O345" s="228"/>
      <c r="P345" s="228">
        <f t="shared" si="40"/>
        <v>0</v>
      </c>
      <c r="Q345" s="228"/>
      <c r="R345" s="19">
        <f t="shared" si="41"/>
        <v>0</v>
      </c>
      <c r="S345" s="228">
        <f t="shared" si="42"/>
        <v>0</v>
      </c>
      <c r="T345" s="20">
        <v>5</v>
      </c>
      <c r="U345" s="20"/>
      <c r="V345" s="235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226">
        <v>300085</v>
      </c>
      <c r="B346" s="223" t="s">
        <v>118</v>
      </c>
      <c r="C346" s="248" t="s">
        <v>134</v>
      </c>
      <c r="D346" s="248" t="s">
        <v>131</v>
      </c>
      <c r="E346" s="230" t="s">
        <v>135</v>
      </c>
      <c r="F346" s="229"/>
      <c r="G346" s="228"/>
      <c r="H346" s="228"/>
      <c r="I346" s="228"/>
      <c r="J346" s="228"/>
      <c r="K346" s="228">
        <f t="shared" si="38"/>
        <v>0</v>
      </c>
      <c r="L346" s="228">
        <f t="shared" si="39"/>
        <v>0</v>
      </c>
      <c r="M346" s="228">
        <v>394.3</v>
      </c>
      <c r="N346" s="228">
        <f>+M346*1000/(104.2*4*15*60)*T346</f>
        <v>6.3067818298144598</v>
      </c>
      <c r="O346" s="228"/>
      <c r="P346" s="228">
        <f t="shared" si="40"/>
        <v>0</v>
      </c>
      <c r="Q346" s="228"/>
      <c r="R346" s="19">
        <f t="shared" si="41"/>
        <v>0</v>
      </c>
      <c r="S346" s="228">
        <f t="shared" si="42"/>
        <v>0</v>
      </c>
      <c r="T346" s="20">
        <v>6</v>
      </c>
      <c r="U346" s="20"/>
      <c r="V346" s="235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226">
        <v>300087</v>
      </c>
      <c r="B347" s="223" t="s">
        <v>118</v>
      </c>
      <c r="C347" s="248" t="s">
        <v>134</v>
      </c>
      <c r="D347" s="248" t="s">
        <v>131</v>
      </c>
      <c r="E347" s="230" t="s">
        <v>80</v>
      </c>
      <c r="F347" s="229"/>
      <c r="G347" s="228"/>
      <c r="H347" s="228"/>
      <c r="I347" s="228"/>
      <c r="J347" s="228"/>
      <c r="K347" s="228">
        <f t="shared" si="38"/>
        <v>0</v>
      </c>
      <c r="L347" s="228">
        <f t="shared" si="39"/>
        <v>0</v>
      </c>
      <c r="M347" s="228">
        <v>380.1</v>
      </c>
      <c r="N347" s="228">
        <f>+M347*1000/(104.2*4*16*60)*T347</f>
        <v>4.7497300863723604</v>
      </c>
      <c r="O347" s="228"/>
      <c r="P347" s="228">
        <f t="shared" si="40"/>
        <v>0</v>
      </c>
      <c r="Q347" s="228"/>
      <c r="R347" s="19">
        <f t="shared" si="41"/>
        <v>0</v>
      </c>
      <c r="S347" s="228">
        <f t="shared" si="42"/>
        <v>0</v>
      </c>
      <c r="T347" s="20">
        <v>5</v>
      </c>
      <c r="U347" s="20"/>
      <c r="V347" s="235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226">
        <v>300387</v>
      </c>
      <c r="B348" s="223" t="s">
        <v>136</v>
      </c>
      <c r="C348" s="259" t="s">
        <v>137</v>
      </c>
      <c r="D348" s="260"/>
      <c r="E348" s="230" t="s">
        <v>57</v>
      </c>
      <c r="F348" s="229"/>
      <c r="G348" s="228"/>
      <c r="H348" s="228"/>
      <c r="I348" s="228"/>
      <c r="J348" s="228"/>
      <c r="K348" s="228">
        <f t="shared" si="38"/>
        <v>0</v>
      </c>
      <c r="L348" s="228">
        <f t="shared" si="39"/>
        <v>0</v>
      </c>
      <c r="M348" s="228">
        <v>352.29</v>
      </c>
      <c r="N348" s="228">
        <f>+M348*1000/(104.2*4*16*60)*T348</f>
        <v>4.4022162907869484</v>
      </c>
      <c r="O348" s="228"/>
      <c r="P348" s="228">
        <f t="shared" si="40"/>
        <v>0</v>
      </c>
      <c r="Q348" s="228"/>
      <c r="R348" s="19">
        <f t="shared" si="41"/>
        <v>0</v>
      </c>
      <c r="S348" s="228">
        <f t="shared" si="42"/>
        <v>0</v>
      </c>
      <c r="T348" s="20">
        <v>5</v>
      </c>
      <c r="U348" s="20"/>
      <c r="V348" s="235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226">
        <v>300388</v>
      </c>
      <c r="B349" s="223" t="s">
        <v>138</v>
      </c>
      <c r="C349" s="259" t="s">
        <v>137</v>
      </c>
      <c r="D349" s="260"/>
      <c r="E349" s="230" t="s">
        <v>117</v>
      </c>
      <c r="F349" s="229"/>
      <c r="G349" s="228"/>
      <c r="H349" s="228"/>
      <c r="I349" s="228"/>
      <c r="J349" s="228"/>
      <c r="K349" s="228">
        <f t="shared" si="38"/>
        <v>0</v>
      </c>
      <c r="L349" s="228">
        <f t="shared" si="39"/>
        <v>0</v>
      </c>
      <c r="M349" s="228">
        <v>352.29</v>
      </c>
      <c r="N349" s="228">
        <f>+M349*1000/(104.2*4*16*60)*T349</f>
        <v>4.4022162907869484</v>
      </c>
      <c r="O349" s="228"/>
      <c r="P349" s="228">
        <f t="shared" si="40"/>
        <v>0</v>
      </c>
      <c r="Q349" s="228"/>
      <c r="R349" s="19">
        <f t="shared" si="41"/>
        <v>0</v>
      </c>
      <c r="S349" s="228">
        <f t="shared" si="42"/>
        <v>0</v>
      </c>
      <c r="T349" s="20">
        <v>5</v>
      </c>
      <c r="U349" s="20"/>
      <c r="V349" s="235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226">
        <v>300123</v>
      </c>
      <c r="B350" s="223" t="s">
        <v>118</v>
      </c>
      <c r="C350" s="248" t="s">
        <v>139</v>
      </c>
      <c r="D350" s="248" t="s">
        <v>140</v>
      </c>
      <c r="E350" s="230" t="s">
        <v>135</v>
      </c>
      <c r="F350" s="229"/>
      <c r="G350" s="228"/>
      <c r="H350" s="228"/>
      <c r="I350" s="228"/>
      <c r="J350" s="228"/>
      <c r="K350" s="228">
        <f t="shared" si="38"/>
        <v>0</v>
      </c>
      <c r="L350" s="228">
        <f t="shared" si="39"/>
        <v>0</v>
      </c>
      <c r="M350" s="228">
        <v>557</v>
      </c>
      <c r="N350" s="228">
        <f>+M350*1000/(126.5*4*15*60)*T350</f>
        <v>6.1155028546332888</v>
      </c>
      <c r="O350" s="228"/>
      <c r="P350" s="228">
        <f t="shared" si="40"/>
        <v>0</v>
      </c>
      <c r="Q350" s="228"/>
      <c r="R350" s="19">
        <f t="shared" si="41"/>
        <v>0</v>
      </c>
      <c r="S350" s="228">
        <f t="shared" si="42"/>
        <v>0</v>
      </c>
      <c r="T350" s="20">
        <v>5</v>
      </c>
      <c r="U350" s="20"/>
      <c r="V350" s="235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226">
        <v>300270</v>
      </c>
      <c r="B351" s="223" t="s">
        <v>118</v>
      </c>
      <c r="C351" s="248" t="s">
        <v>141</v>
      </c>
      <c r="D351" s="248"/>
      <c r="E351" s="230" t="s">
        <v>142</v>
      </c>
      <c r="F351" s="229"/>
      <c r="G351" s="228"/>
      <c r="H351" s="228"/>
      <c r="I351" s="228"/>
      <c r="J351" s="228"/>
      <c r="K351" s="228">
        <f t="shared" si="38"/>
        <v>0</v>
      </c>
      <c r="L351" s="228">
        <f t="shared" si="39"/>
        <v>0</v>
      </c>
      <c r="M351" s="228">
        <v>485.7</v>
      </c>
      <c r="N351" s="228">
        <f>+M351*1000/(126.5*4*15*60)*T351</f>
        <v>4.2661396574440049</v>
      </c>
      <c r="O351" s="228"/>
      <c r="P351" s="228">
        <f t="shared" si="40"/>
        <v>0</v>
      </c>
      <c r="Q351" s="228"/>
      <c r="R351" s="19">
        <f t="shared" si="41"/>
        <v>0</v>
      </c>
      <c r="S351" s="228">
        <f t="shared" si="42"/>
        <v>0</v>
      </c>
      <c r="T351" s="20">
        <v>4</v>
      </c>
      <c r="U351" s="20"/>
      <c r="V351" s="235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226">
        <v>300336</v>
      </c>
      <c r="B352" s="223" t="s">
        <v>118</v>
      </c>
      <c r="C352" s="248" t="s">
        <v>143</v>
      </c>
      <c r="D352" s="248"/>
      <c r="E352" s="230" t="s">
        <v>84</v>
      </c>
      <c r="F352" s="229"/>
      <c r="G352" s="228"/>
      <c r="H352" s="228"/>
      <c r="I352" s="228"/>
      <c r="J352" s="228"/>
      <c r="K352" s="228">
        <f t="shared" si="38"/>
        <v>0</v>
      </c>
      <c r="L352" s="228">
        <f t="shared" si="39"/>
        <v>0</v>
      </c>
      <c r="M352" s="228">
        <v>411.4</v>
      </c>
      <c r="N352" s="228">
        <f>+M352*1000/(104.2*4*16*60)*T352</f>
        <v>2.0563419705694179</v>
      </c>
      <c r="O352" s="228"/>
      <c r="P352" s="228">
        <f t="shared" si="40"/>
        <v>0</v>
      </c>
      <c r="Q352" s="228"/>
      <c r="R352" s="19">
        <f t="shared" si="41"/>
        <v>0</v>
      </c>
      <c r="S352" s="228">
        <f t="shared" si="42"/>
        <v>0</v>
      </c>
      <c r="T352" s="20">
        <v>2</v>
      </c>
      <c r="U352" s="20"/>
      <c r="V352" s="235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226">
        <v>300337</v>
      </c>
      <c r="B353" s="223" t="s">
        <v>118</v>
      </c>
      <c r="C353" s="248" t="s">
        <v>143</v>
      </c>
      <c r="D353" s="248"/>
      <c r="E353" s="230" t="s">
        <v>49</v>
      </c>
      <c r="F353" s="229"/>
      <c r="G353" s="228"/>
      <c r="H353" s="228"/>
      <c r="I353" s="228"/>
      <c r="J353" s="228"/>
      <c r="K353" s="228">
        <f t="shared" si="38"/>
        <v>0</v>
      </c>
      <c r="L353" s="228">
        <f t="shared" si="39"/>
        <v>0</v>
      </c>
      <c r="M353" s="228">
        <v>411.4</v>
      </c>
      <c r="N353" s="228">
        <f>+M353*1000/(104.2*4*16*60)*T353</f>
        <v>2.0563419705694179</v>
      </c>
      <c r="O353" s="228"/>
      <c r="P353" s="228">
        <f t="shared" si="40"/>
        <v>0</v>
      </c>
      <c r="Q353" s="228"/>
      <c r="R353" s="19">
        <f t="shared" si="41"/>
        <v>0</v>
      </c>
      <c r="S353" s="228">
        <f t="shared" si="42"/>
        <v>0</v>
      </c>
      <c r="T353" s="20">
        <v>2</v>
      </c>
      <c r="U353" s="20"/>
      <c r="V353" s="235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226">
        <v>300338</v>
      </c>
      <c r="B354" s="223" t="s">
        <v>118</v>
      </c>
      <c r="C354" s="248" t="s">
        <v>143</v>
      </c>
      <c r="D354" s="248"/>
      <c r="E354" s="230" t="s">
        <v>85</v>
      </c>
      <c r="F354" s="229"/>
      <c r="G354" s="228"/>
      <c r="H354" s="228"/>
      <c r="I354" s="228"/>
      <c r="J354" s="228"/>
      <c r="K354" s="228">
        <f t="shared" si="38"/>
        <v>0</v>
      </c>
      <c r="L354" s="228">
        <f t="shared" si="39"/>
        <v>0</v>
      </c>
      <c r="M354" s="228">
        <v>411.4</v>
      </c>
      <c r="N354" s="228">
        <f>+M354*1000/(104.2*4*16*60)*T354</f>
        <v>2.0563419705694179</v>
      </c>
      <c r="O354" s="228"/>
      <c r="P354" s="228">
        <f t="shared" si="40"/>
        <v>0</v>
      </c>
      <c r="Q354" s="228"/>
      <c r="R354" s="19">
        <f t="shared" si="41"/>
        <v>0</v>
      </c>
      <c r="S354" s="228">
        <f t="shared" si="42"/>
        <v>0</v>
      </c>
      <c r="T354" s="20">
        <v>2</v>
      </c>
      <c r="U354" s="20"/>
      <c r="V354" s="235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226">
        <v>300309</v>
      </c>
      <c r="B355" s="223">
        <v>6504</v>
      </c>
      <c r="C355" s="248" t="s">
        <v>145</v>
      </c>
      <c r="D355" s="248"/>
      <c r="E355" s="230" t="s">
        <v>47</v>
      </c>
      <c r="F355" s="229"/>
      <c r="G355" s="228"/>
      <c r="H355" s="228"/>
      <c r="I355" s="228"/>
      <c r="J355" s="228"/>
      <c r="K355" s="228">
        <f t="shared" si="38"/>
        <v>0</v>
      </c>
      <c r="L355" s="228">
        <f t="shared" si="39"/>
        <v>0</v>
      </c>
      <c r="M355" s="228">
        <v>316.88</v>
      </c>
      <c r="N355" s="228">
        <f>+M355*1000/(75.2*4*16*60)*T355</f>
        <v>6.5841090425531918</v>
      </c>
      <c r="O355" s="228"/>
      <c r="P355" s="228">
        <f t="shared" si="40"/>
        <v>0</v>
      </c>
      <c r="Q355" s="228"/>
      <c r="R355" s="19">
        <f t="shared" si="41"/>
        <v>0</v>
      </c>
      <c r="S355" s="228">
        <f t="shared" si="42"/>
        <v>0</v>
      </c>
      <c r="T355" s="20">
        <v>6</v>
      </c>
      <c r="U355" s="20"/>
      <c r="V355" s="235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226">
        <v>300310</v>
      </c>
      <c r="B356" s="223">
        <v>6504</v>
      </c>
      <c r="C356" s="248" t="s">
        <v>145</v>
      </c>
      <c r="D356" s="248"/>
      <c r="E356" s="230" t="s">
        <v>146</v>
      </c>
      <c r="F356" s="229"/>
      <c r="G356" s="228"/>
      <c r="H356" s="228"/>
      <c r="I356" s="228"/>
      <c r="J356" s="228"/>
      <c r="K356" s="228">
        <f t="shared" si="38"/>
        <v>0</v>
      </c>
      <c r="L356" s="228">
        <f t="shared" si="39"/>
        <v>0</v>
      </c>
      <c r="M356" s="228">
        <v>316.88</v>
      </c>
      <c r="N356" s="228">
        <f>+M356*1000/(75.2*4*16*60)*T356</f>
        <v>6.5841090425531918</v>
      </c>
      <c r="O356" s="228"/>
      <c r="P356" s="228">
        <f t="shared" si="40"/>
        <v>0</v>
      </c>
      <c r="Q356" s="228"/>
      <c r="R356" s="19">
        <f t="shared" si="41"/>
        <v>0</v>
      </c>
      <c r="S356" s="228">
        <f t="shared" si="42"/>
        <v>0</v>
      </c>
      <c r="T356" s="20">
        <v>6</v>
      </c>
      <c r="U356" s="20"/>
      <c r="V356" s="235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226">
        <v>300312</v>
      </c>
      <c r="B357" s="223">
        <v>6504</v>
      </c>
      <c r="C357" s="248" t="s">
        <v>145</v>
      </c>
      <c r="D357" s="248"/>
      <c r="E357" s="230" t="s">
        <v>147</v>
      </c>
      <c r="F357" s="229"/>
      <c r="G357" s="228"/>
      <c r="H357" s="228"/>
      <c r="I357" s="228"/>
      <c r="J357" s="228"/>
      <c r="K357" s="228">
        <f t="shared" si="38"/>
        <v>0</v>
      </c>
      <c r="L357" s="228">
        <f t="shared" si="39"/>
        <v>0</v>
      </c>
      <c r="M357" s="228">
        <v>316.88</v>
      </c>
      <c r="N357" s="228">
        <f>+M357*1000/(75.2*4*16*60)*T357</f>
        <v>6.5841090425531918</v>
      </c>
      <c r="O357" s="228"/>
      <c r="P357" s="228">
        <f t="shared" si="40"/>
        <v>0</v>
      </c>
      <c r="Q357" s="228"/>
      <c r="R357" s="19">
        <f t="shared" si="41"/>
        <v>0</v>
      </c>
      <c r="S357" s="228">
        <f t="shared" si="42"/>
        <v>0</v>
      </c>
      <c r="T357" s="20">
        <v>6</v>
      </c>
      <c r="U357" s="20"/>
      <c r="V357" s="235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226">
        <v>300311</v>
      </c>
      <c r="B358" s="223">
        <v>6504</v>
      </c>
      <c r="C358" s="248" t="s">
        <v>145</v>
      </c>
      <c r="D358" s="248"/>
      <c r="E358" s="230" t="s">
        <v>74</v>
      </c>
      <c r="F358" s="229"/>
      <c r="G358" s="228"/>
      <c r="H358" s="228"/>
      <c r="I358" s="228"/>
      <c r="J358" s="228"/>
      <c r="K358" s="228">
        <f t="shared" si="38"/>
        <v>0</v>
      </c>
      <c r="L358" s="228">
        <f t="shared" si="39"/>
        <v>0</v>
      </c>
      <c r="M358" s="228">
        <v>316.88</v>
      </c>
      <c r="N358" s="228">
        <f>+M358*1000/(75.2*4*16*60)*T358</f>
        <v>6.5841090425531918</v>
      </c>
      <c r="O358" s="228"/>
      <c r="P358" s="228">
        <f t="shared" si="40"/>
        <v>0</v>
      </c>
      <c r="Q358" s="228"/>
      <c r="R358" s="19">
        <f t="shared" si="41"/>
        <v>0</v>
      </c>
      <c r="S358" s="228">
        <f t="shared" si="42"/>
        <v>0</v>
      </c>
      <c r="T358" s="20">
        <v>6</v>
      </c>
      <c r="U358" s="20"/>
      <c r="V358" s="235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226">
        <v>300399</v>
      </c>
      <c r="B359" s="223">
        <v>18501</v>
      </c>
      <c r="C359" s="259" t="s">
        <v>148</v>
      </c>
      <c r="D359" s="260"/>
      <c r="E359" s="230" t="s">
        <v>41</v>
      </c>
      <c r="F359" s="229"/>
      <c r="G359" s="228"/>
      <c r="H359" s="228"/>
      <c r="I359" s="228"/>
      <c r="J359" s="228"/>
      <c r="K359" s="228">
        <f t="shared" si="38"/>
        <v>0</v>
      </c>
      <c r="L359" s="228">
        <f t="shared" si="39"/>
        <v>0</v>
      </c>
      <c r="M359" s="228">
        <v>311.2</v>
      </c>
      <c r="N359" s="228">
        <f>+M359*1000/(100*4*16*60)*T359</f>
        <v>4.8624999999999998</v>
      </c>
      <c r="O359" s="228"/>
      <c r="P359" s="228">
        <f t="shared" si="40"/>
        <v>0</v>
      </c>
      <c r="Q359" s="228"/>
      <c r="R359" s="19">
        <f t="shared" si="41"/>
        <v>0</v>
      </c>
      <c r="S359" s="228">
        <f t="shared" si="42"/>
        <v>0</v>
      </c>
      <c r="T359" s="20">
        <v>6</v>
      </c>
      <c r="U359" s="20"/>
      <c r="V359" s="235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226">
        <v>300400</v>
      </c>
      <c r="B360" s="223">
        <v>18501</v>
      </c>
      <c r="C360" s="259" t="s">
        <v>148</v>
      </c>
      <c r="D360" s="260"/>
      <c r="E360" s="230" t="s">
        <v>66</v>
      </c>
      <c r="F360" s="229"/>
      <c r="G360" s="228"/>
      <c r="H360" s="228"/>
      <c r="I360" s="228"/>
      <c r="J360" s="228"/>
      <c r="K360" s="228">
        <f t="shared" si="38"/>
        <v>0</v>
      </c>
      <c r="L360" s="228">
        <f t="shared" si="39"/>
        <v>0</v>
      </c>
      <c r="M360" s="228">
        <v>311.2</v>
      </c>
      <c r="N360" s="228">
        <f>+M360*1000/(100*4*16*60)*T360</f>
        <v>4.8624999999999998</v>
      </c>
      <c r="O360" s="228"/>
      <c r="P360" s="228">
        <f t="shared" si="40"/>
        <v>0</v>
      </c>
      <c r="Q360" s="228"/>
      <c r="R360" s="19">
        <f t="shared" si="41"/>
        <v>0</v>
      </c>
      <c r="S360" s="228">
        <f t="shared" si="42"/>
        <v>0</v>
      </c>
      <c r="T360" s="20">
        <v>6</v>
      </c>
      <c r="U360" s="20"/>
      <c r="V360" s="235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226">
        <v>300401</v>
      </c>
      <c r="B361" s="223">
        <v>18501</v>
      </c>
      <c r="C361" s="259" t="s">
        <v>148</v>
      </c>
      <c r="D361" s="260"/>
      <c r="E361" s="230" t="s">
        <v>149</v>
      </c>
      <c r="F361" s="229"/>
      <c r="G361" s="228"/>
      <c r="H361" s="228"/>
      <c r="I361" s="228"/>
      <c r="J361" s="228"/>
      <c r="K361" s="228">
        <f t="shared" si="38"/>
        <v>0</v>
      </c>
      <c r="L361" s="228">
        <f t="shared" si="39"/>
        <v>0</v>
      </c>
      <c r="M361" s="228">
        <v>311.2</v>
      </c>
      <c r="N361" s="228">
        <f>+M361*1000/(100*4*16*60)*T361</f>
        <v>4.8624999999999998</v>
      </c>
      <c r="O361" s="228"/>
      <c r="P361" s="228">
        <f t="shared" si="40"/>
        <v>0</v>
      </c>
      <c r="Q361" s="228"/>
      <c r="R361" s="19">
        <f t="shared" si="41"/>
        <v>0</v>
      </c>
      <c r="S361" s="228">
        <f t="shared" si="42"/>
        <v>0</v>
      </c>
      <c r="T361" s="20">
        <v>6</v>
      </c>
      <c r="U361" s="20"/>
      <c r="V361" s="235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226">
        <v>300402</v>
      </c>
      <c r="B362" s="223">
        <v>18501</v>
      </c>
      <c r="C362" s="259" t="s">
        <v>150</v>
      </c>
      <c r="D362" s="260"/>
      <c r="E362" s="230" t="s">
        <v>151</v>
      </c>
      <c r="F362" s="229"/>
      <c r="G362" s="228"/>
      <c r="H362" s="228"/>
      <c r="I362" s="228"/>
      <c r="J362" s="228"/>
      <c r="K362" s="228">
        <f t="shared" si="38"/>
        <v>0</v>
      </c>
      <c r="L362" s="228">
        <f t="shared" si="39"/>
        <v>0</v>
      </c>
      <c r="M362" s="228">
        <v>465.3</v>
      </c>
      <c r="N362" s="228">
        <f>+M362*1000/(137*4*16*60)*T362</f>
        <v>5.3067974452554747</v>
      </c>
      <c r="O362" s="228"/>
      <c r="P362" s="228">
        <f t="shared" si="40"/>
        <v>0</v>
      </c>
      <c r="Q362" s="228"/>
      <c r="R362" s="19">
        <f t="shared" si="41"/>
        <v>0</v>
      </c>
      <c r="S362" s="228">
        <f t="shared" si="42"/>
        <v>0</v>
      </c>
      <c r="T362" s="20">
        <v>6</v>
      </c>
      <c r="U362" s="20"/>
      <c r="V362" s="235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226">
        <v>300403</v>
      </c>
      <c r="B363" s="223">
        <v>18501</v>
      </c>
      <c r="C363" s="259" t="s">
        <v>150</v>
      </c>
      <c r="D363" s="260"/>
      <c r="E363" s="230" t="s">
        <v>152</v>
      </c>
      <c r="F363" s="229"/>
      <c r="G363" s="228"/>
      <c r="H363" s="228"/>
      <c r="I363" s="228"/>
      <c r="J363" s="228"/>
      <c r="K363" s="228">
        <f t="shared" ref="K363:K399" si="46">G363*M363</f>
        <v>0</v>
      </c>
      <c r="L363" s="228">
        <f t="shared" ref="L363:L399" si="47">I363*M363</f>
        <v>0</v>
      </c>
      <c r="M363" s="228">
        <v>465.3</v>
      </c>
      <c r="N363" s="228">
        <f>+M363*1000/(137*4*16*60)*T363</f>
        <v>5.3067974452554747</v>
      </c>
      <c r="O363" s="228"/>
      <c r="P363" s="228">
        <f t="shared" ref="P363:P399" si="48">N363*I363+O363*U363</f>
        <v>0</v>
      </c>
      <c r="Q363" s="228"/>
      <c r="R363" s="19">
        <f t="shared" ref="R363:R399" si="49">Q363*U363</f>
        <v>0</v>
      </c>
      <c r="S363" s="228">
        <f t="shared" ref="S363:S399" si="50">R363-P363</f>
        <v>0</v>
      </c>
      <c r="T363" s="20">
        <v>6</v>
      </c>
      <c r="U363" s="20"/>
      <c r="V363" s="235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226">
        <v>300404</v>
      </c>
      <c r="B364" s="223">
        <v>18501</v>
      </c>
      <c r="C364" s="259" t="s">
        <v>150</v>
      </c>
      <c r="D364" s="260"/>
      <c r="E364" s="230" t="s">
        <v>70</v>
      </c>
      <c r="F364" s="229"/>
      <c r="G364" s="228"/>
      <c r="H364" s="228"/>
      <c r="I364" s="228"/>
      <c r="J364" s="228"/>
      <c r="K364" s="228">
        <f t="shared" si="46"/>
        <v>0</v>
      </c>
      <c r="L364" s="228">
        <f t="shared" si="47"/>
        <v>0</v>
      </c>
      <c r="M364" s="228">
        <v>465.3</v>
      </c>
      <c r="N364" s="228">
        <f>+M364*1000/(137*4*16*60)*T364</f>
        <v>5.3067974452554747</v>
      </c>
      <c r="O364" s="228"/>
      <c r="P364" s="228">
        <f t="shared" si="48"/>
        <v>0</v>
      </c>
      <c r="Q364" s="228"/>
      <c r="R364" s="19">
        <f t="shared" si="49"/>
        <v>0</v>
      </c>
      <c r="S364" s="228">
        <f t="shared" si="50"/>
        <v>0</v>
      </c>
      <c r="T364" s="20">
        <v>6</v>
      </c>
      <c r="U364" s="20"/>
      <c r="V364" s="235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226">
        <v>300405</v>
      </c>
      <c r="B365" s="223">
        <v>18501</v>
      </c>
      <c r="C365" s="259" t="s">
        <v>150</v>
      </c>
      <c r="D365" s="260"/>
      <c r="E365" s="230" t="s">
        <v>35</v>
      </c>
      <c r="F365" s="229"/>
      <c r="G365" s="228"/>
      <c r="H365" s="228"/>
      <c r="I365" s="228"/>
      <c r="J365" s="228"/>
      <c r="K365" s="228">
        <f t="shared" si="46"/>
        <v>0</v>
      </c>
      <c r="L365" s="228">
        <f t="shared" si="47"/>
        <v>0</v>
      </c>
      <c r="M365" s="228">
        <v>465.3</v>
      </c>
      <c r="N365" s="228">
        <f>+M365*1000/(137*4*16*60)*T365</f>
        <v>5.3067974452554747</v>
      </c>
      <c r="O365" s="228"/>
      <c r="P365" s="228">
        <f t="shared" si="48"/>
        <v>0</v>
      </c>
      <c r="Q365" s="228"/>
      <c r="R365" s="19">
        <f t="shared" si="49"/>
        <v>0</v>
      </c>
      <c r="S365" s="228">
        <f t="shared" si="50"/>
        <v>0</v>
      </c>
      <c r="T365" s="20">
        <v>6</v>
      </c>
      <c r="U365" s="20"/>
      <c r="V365" s="235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226">
        <v>300372</v>
      </c>
      <c r="B366" s="223">
        <v>18501</v>
      </c>
      <c r="C366" s="259" t="s">
        <v>153</v>
      </c>
      <c r="D366" s="260"/>
      <c r="E366" s="230" t="s">
        <v>47</v>
      </c>
      <c r="F366" s="229"/>
      <c r="G366" s="228"/>
      <c r="H366" s="228"/>
      <c r="I366" s="228"/>
      <c r="J366" s="228"/>
      <c r="K366" s="228">
        <f t="shared" si="46"/>
        <v>0</v>
      </c>
      <c r="L366" s="228">
        <f t="shared" si="47"/>
        <v>0</v>
      </c>
      <c r="M366" s="228">
        <v>420.58</v>
      </c>
      <c r="N366" s="228">
        <f>+M366*1000/(140*4*16*60)*T366</f>
        <v>4.6939732142857142</v>
      </c>
      <c r="O366" s="228"/>
      <c r="P366" s="228">
        <f t="shared" si="48"/>
        <v>0</v>
      </c>
      <c r="Q366" s="228"/>
      <c r="R366" s="19">
        <f t="shared" si="49"/>
        <v>0</v>
      </c>
      <c r="S366" s="228">
        <f t="shared" si="50"/>
        <v>0</v>
      </c>
      <c r="T366" s="20">
        <v>6</v>
      </c>
      <c r="U366" s="20"/>
      <c r="V366" s="235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226">
        <v>300373</v>
      </c>
      <c r="B367" s="223">
        <v>18501</v>
      </c>
      <c r="C367" s="259" t="s">
        <v>153</v>
      </c>
      <c r="D367" s="260"/>
      <c r="E367" s="230" t="s">
        <v>146</v>
      </c>
      <c r="F367" s="229"/>
      <c r="G367" s="228"/>
      <c r="H367" s="228"/>
      <c r="I367" s="228"/>
      <c r="J367" s="228"/>
      <c r="K367" s="228">
        <f t="shared" si="46"/>
        <v>0</v>
      </c>
      <c r="L367" s="228">
        <f t="shared" si="47"/>
        <v>0</v>
      </c>
      <c r="M367" s="228">
        <v>420.58</v>
      </c>
      <c r="N367" s="228">
        <f>+M367*1000/(140*4*16*60)*T367</f>
        <v>4.6939732142857142</v>
      </c>
      <c r="O367" s="228"/>
      <c r="P367" s="228">
        <f t="shared" si="48"/>
        <v>0</v>
      </c>
      <c r="Q367" s="228"/>
      <c r="R367" s="19">
        <f t="shared" si="49"/>
        <v>0</v>
      </c>
      <c r="S367" s="228">
        <f t="shared" si="50"/>
        <v>0</v>
      </c>
      <c r="T367" s="20">
        <v>6</v>
      </c>
      <c r="U367" s="20"/>
      <c r="V367" s="235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226">
        <v>300374</v>
      </c>
      <c r="B368" s="223">
        <v>18501</v>
      </c>
      <c r="C368" s="259" t="s">
        <v>153</v>
      </c>
      <c r="D368" s="260"/>
      <c r="E368" s="230" t="s">
        <v>147</v>
      </c>
      <c r="F368" s="229"/>
      <c r="G368" s="228"/>
      <c r="H368" s="228"/>
      <c r="I368" s="228"/>
      <c r="J368" s="228"/>
      <c r="K368" s="228">
        <f t="shared" si="46"/>
        <v>0</v>
      </c>
      <c r="L368" s="228">
        <f t="shared" si="47"/>
        <v>0</v>
      </c>
      <c r="M368" s="228">
        <v>420.58</v>
      </c>
      <c r="N368" s="228">
        <f>+M368*1000/(140*4*16*60)*T368</f>
        <v>4.6939732142857142</v>
      </c>
      <c r="O368" s="228"/>
      <c r="P368" s="228">
        <f t="shared" si="48"/>
        <v>0</v>
      </c>
      <c r="Q368" s="228"/>
      <c r="R368" s="19">
        <f t="shared" si="49"/>
        <v>0</v>
      </c>
      <c r="S368" s="228">
        <f t="shared" si="50"/>
        <v>0</v>
      </c>
      <c r="T368" s="20">
        <v>6</v>
      </c>
      <c r="U368" s="20"/>
      <c r="V368" s="235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226">
        <v>300375</v>
      </c>
      <c r="B369" s="223">
        <v>18501</v>
      </c>
      <c r="C369" s="259" t="s">
        <v>153</v>
      </c>
      <c r="D369" s="260"/>
      <c r="E369" s="230" t="s">
        <v>74</v>
      </c>
      <c r="F369" s="229"/>
      <c r="G369" s="228"/>
      <c r="H369" s="228"/>
      <c r="I369" s="228"/>
      <c r="J369" s="228"/>
      <c r="K369" s="228">
        <f t="shared" si="46"/>
        <v>0</v>
      </c>
      <c r="L369" s="228">
        <f t="shared" si="47"/>
        <v>0</v>
      </c>
      <c r="M369" s="228">
        <v>420.58</v>
      </c>
      <c r="N369" s="228">
        <f>+M369*1000/(140*4*16*60)*T369</f>
        <v>4.6939732142857142</v>
      </c>
      <c r="O369" s="228"/>
      <c r="P369" s="228">
        <f t="shared" si="48"/>
        <v>0</v>
      </c>
      <c r="Q369" s="228"/>
      <c r="R369" s="19">
        <f t="shared" si="49"/>
        <v>0</v>
      </c>
      <c r="S369" s="228">
        <f t="shared" si="50"/>
        <v>0</v>
      </c>
      <c r="T369" s="20">
        <v>6</v>
      </c>
      <c r="U369" s="20"/>
      <c r="V369" s="235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226">
        <v>300341</v>
      </c>
      <c r="B370" s="223">
        <v>18501</v>
      </c>
      <c r="C370" s="266" t="s">
        <v>154</v>
      </c>
      <c r="D370" s="267"/>
      <c r="E370" s="230" t="s">
        <v>39</v>
      </c>
      <c r="F370" s="229"/>
      <c r="G370" s="228"/>
      <c r="H370" s="228"/>
      <c r="I370" s="228"/>
      <c r="J370" s="228"/>
      <c r="K370" s="228">
        <f t="shared" si="46"/>
        <v>0</v>
      </c>
      <c r="L370" s="228">
        <f t="shared" si="47"/>
        <v>0</v>
      </c>
      <c r="M370" s="228">
        <v>439.3</v>
      </c>
      <c r="N370" s="228">
        <f>+M370*1000/(169.7*4*13*60)*T370</f>
        <v>4.1485351223123761</v>
      </c>
      <c r="O370" s="228"/>
      <c r="P370" s="228">
        <f t="shared" si="48"/>
        <v>0</v>
      </c>
      <c r="Q370" s="228"/>
      <c r="R370" s="19">
        <f t="shared" si="49"/>
        <v>0</v>
      </c>
      <c r="S370" s="228">
        <f t="shared" si="50"/>
        <v>0</v>
      </c>
      <c r="T370" s="20">
        <v>5</v>
      </c>
      <c r="U370" s="20"/>
      <c r="V370" s="235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226">
        <v>300342</v>
      </c>
      <c r="B371" s="223">
        <v>18501</v>
      </c>
      <c r="C371" s="266" t="s">
        <v>154</v>
      </c>
      <c r="D371" s="267"/>
      <c r="E371" s="230" t="s">
        <v>80</v>
      </c>
      <c r="F371" s="229"/>
      <c r="G371" s="228"/>
      <c r="H371" s="228"/>
      <c r="I371" s="228"/>
      <c r="J371" s="228"/>
      <c r="K371" s="228">
        <f t="shared" si="46"/>
        <v>0</v>
      </c>
      <c r="L371" s="228">
        <f t="shared" si="47"/>
        <v>0</v>
      </c>
      <c r="M371" s="228">
        <v>439.3</v>
      </c>
      <c r="N371" s="228">
        <f t="shared" ref="N371:N376" si="51">+M371*1000/(169.7*4*13*60)*T371</f>
        <v>4.1485351223123761</v>
      </c>
      <c r="O371" s="228"/>
      <c r="P371" s="228">
        <f t="shared" si="48"/>
        <v>0</v>
      </c>
      <c r="Q371" s="228"/>
      <c r="R371" s="19">
        <f t="shared" si="49"/>
        <v>0</v>
      </c>
      <c r="S371" s="228">
        <f t="shared" si="50"/>
        <v>0</v>
      </c>
      <c r="T371" s="20">
        <v>5</v>
      </c>
      <c r="U371" s="20"/>
      <c r="V371" s="235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226">
        <v>300343</v>
      </c>
      <c r="B372" s="223">
        <v>18501</v>
      </c>
      <c r="C372" s="266" t="s">
        <v>154</v>
      </c>
      <c r="D372" s="267"/>
      <c r="E372" s="230" t="s">
        <v>35</v>
      </c>
      <c r="F372" s="229"/>
      <c r="G372" s="228"/>
      <c r="H372" s="228"/>
      <c r="I372" s="228"/>
      <c r="J372" s="228"/>
      <c r="K372" s="228">
        <f t="shared" si="46"/>
        <v>0</v>
      </c>
      <c r="L372" s="228">
        <f t="shared" si="47"/>
        <v>0</v>
      </c>
      <c r="M372" s="228">
        <v>455.4</v>
      </c>
      <c r="N372" s="228">
        <f t="shared" si="51"/>
        <v>4.3005756765332483</v>
      </c>
      <c r="O372" s="228"/>
      <c r="P372" s="228">
        <f t="shared" si="48"/>
        <v>0</v>
      </c>
      <c r="Q372" s="228"/>
      <c r="R372" s="19">
        <f t="shared" si="49"/>
        <v>0</v>
      </c>
      <c r="S372" s="228">
        <f t="shared" si="50"/>
        <v>0</v>
      </c>
      <c r="T372" s="20">
        <v>5</v>
      </c>
      <c r="U372" s="20"/>
      <c r="V372" s="235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226">
        <v>300344</v>
      </c>
      <c r="B373" s="223">
        <v>18501</v>
      </c>
      <c r="C373" s="266" t="s">
        <v>154</v>
      </c>
      <c r="D373" s="267"/>
      <c r="E373" s="230" t="s">
        <v>40</v>
      </c>
      <c r="F373" s="229"/>
      <c r="G373" s="228"/>
      <c r="H373" s="228"/>
      <c r="I373" s="228"/>
      <c r="J373" s="228"/>
      <c r="K373" s="228">
        <f t="shared" si="46"/>
        <v>0</v>
      </c>
      <c r="L373" s="228">
        <f t="shared" si="47"/>
        <v>0</v>
      </c>
      <c r="M373" s="228">
        <v>455.4</v>
      </c>
      <c r="N373" s="228">
        <f t="shared" si="51"/>
        <v>4.3005756765332483</v>
      </c>
      <c r="O373" s="228"/>
      <c r="P373" s="228">
        <f t="shared" si="48"/>
        <v>0</v>
      </c>
      <c r="Q373" s="228"/>
      <c r="R373" s="19">
        <f t="shared" si="49"/>
        <v>0</v>
      </c>
      <c r="S373" s="228">
        <f t="shared" si="50"/>
        <v>0</v>
      </c>
      <c r="T373" s="20">
        <v>5</v>
      </c>
      <c r="U373" s="20"/>
      <c r="V373" s="235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226">
        <v>300396</v>
      </c>
      <c r="B374" s="223">
        <v>18501</v>
      </c>
      <c r="C374" s="266" t="s">
        <v>155</v>
      </c>
      <c r="D374" s="267"/>
      <c r="E374" s="230" t="s">
        <v>41</v>
      </c>
      <c r="F374" s="229"/>
      <c r="G374" s="228"/>
      <c r="H374" s="228"/>
      <c r="I374" s="228"/>
      <c r="J374" s="228"/>
      <c r="K374" s="228">
        <f t="shared" si="46"/>
        <v>0</v>
      </c>
      <c r="L374" s="228">
        <f t="shared" si="47"/>
        <v>0</v>
      </c>
      <c r="M374" s="228">
        <v>417.1</v>
      </c>
      <c r="N374" s="228">
        <f t="shared" si="51"/>
        <v>3.9388891407158937</v>
      </c>
      <c r="O374" s="228"/>
      <c r="P374" s="228">
        <f t="shared" si="48"/>
        <v>0</v>
      </c>
      <c r="Q374" s="228"/>
      <c r="R374" s="19">
        <f t="shared" si="49"/>
        <v>0</v>
      </c>
      <c r="S374" s="228">
        <f t="shared" si="50"/>
        <v>0</v>
      </c>
      <c r="T374" s="20">
        <v>5</v>
      </c>
      <c r="U374" s="20"/>
      <c r="V374" s="235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226">
        <v>300397</v>
      </c>
      <c r="B375" s="223">
        <v>18501</v>
      </c>
      <c r="C375" s="266" t="s">
        <v>155</v>
      </c>
      <c r="D375" s="267"/>
      <c r="E375" s="230" t="s">
        <v>66</v>
      </c>
      <c r="F375" s="229"/>
      <c r="G375" s="228"/>
      <c r="H375" s="228"/>
      <c r="I375" s="228"/>
      <c r="J375" s="228"/>
      <c r="K375" s="228">
        <f t="shared" si="46"/>
        <v>0</v>
      </c>
      <c r="L375" s="228">
        <f t="shared" si="47"/>
        <v>0</v>
      </c>
      <c r="M375" s="228">
        <v>417.1</v>
      </c>
      <c r="N375" s="228">
        <f t="shared" si="51"/>
        <v>3.9388891407158937</v>
      </c>
      <c r="O375" s="228"/>
      <c r="P375" s="228">
        <f t="shared" si="48"/>
        <v>0</v>
      </c>
      <c r="Q375" s="228"/>
      <c r="R375" s="19">
        <f t="shared" si="49"/>
        <v>0</v>
      </c>
      <c r="S375" s="228">
        <f t="shared" si="50"/>
        <v>0</v>
      </c>
      <c r="T375" s="20">
        <v>5</v>
      </c>
      <c r="U375" s="20"/>
      <c r="V375" s="235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226">
        <v>300398</v>
      </c>
      <c r="B376" s="223">
        <v>18501</v>
      </c>
      <c r="C376" s="266" t="s">
        <v>155</v>
      </c>
      <c r="D376" s="267"/>
      <c r="E376" s="230" t="s">
        <v>149</v>
      </c>
      <c r="F376" s="229"/>
      <c r="G376" s="228"/>
      <c r="H376" s="228"/>
      <c r="I376" s="228"/>
      <c r="J376" s="228"/>
      <c r="K376" s="228">
        <f t="shared" si="46"/>
        <v>0</v>
      </c>
      <c r="L376" s="228">
        <f t="shared" si="47"/>
        <v>0</v>
      </c>
      <c r="M376" s="228">
        <v>417.1</v>
      </c>
      <c r="N376" s="228">
        <f t="shared" si="51"/>
        <v>3.9388891407158937</v>
      </c>
      <c r="O376" s="228"/>
      <c r="P376" s="228">
        <f t="shared" si="48"/>
        <v>0</v>
      </c>
      <c r="Q376" s="228"/>
      <c r="R376" s="19">
        <f t="shared" si="49"/>
        <v>0</v>
      </c>
      <c r="S376" s="228">
        <f t="shared" si="50"/>
        <v>0</v>
      </c>
      <c r="T376" s="20">
        <v>5</v>
      </c>
      <c r="U376" s="20"/>
      <c r="V376" s="235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226">
        <v>300271</v>
      </c>
      <c r="B377" s="223">
        <v>18501</v>
      </c>
      <c r="C377" s="248" t="s">
        <v>156</v>
      </c>
      <c r="D377" s="248"/>
      <c r="E377" s="230" t="s">
        <v>142</v>
      </c>
      <c r="F377" s="229"/>
      <c r="G377" s="228"/>
      <c r="H377" s="228"/>
      <c r="I377" s="228"/>
      <c r="J377" s="228"/>
      <c r="K377" s="228">
        <f t="shared" si="46"/>
        <v>0</v>
      </c>
      <c r="L377" s="228">
        <f t="shared" si="47"/>
        <v>0</v>
      </c>
      <c r="M377" s="228">
        <v>580.1</v>
      </c>
      <c r="N377" s="228">
        <f>+M377*1000/(188*4*13*60)*T377</f>
        <v>4.9449331696672125</v>
      </c>
      <c r="O377" s="228"/>
      <c r="P377" s="228">
        <f t="shared" si="48"/>
        <v>0</v>
      </c>
      <c r="Q377" s="228"/>
      <c r="R377" s="19">
        <f t="shared" si="49"/>
        <v>0</v>
      </c>
      <c r="S377" s="228">
        <f t="shared" si="50"/>
        <v>0</v>
      </c>
      <c r="T377" s="20">
        <v>5</v>
      </c>
      <c r="U377" s="20"/>
      <c r="V377" s="235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226">
        <v>300009</v>
      </c>
      <c r="B378" s="223">
        <v>18502</v>
      </c>
      <c r="C378" s="248" t="s">
        <v>157</v>
      </c>
      <c r="D378" s="248" t="s">
        <v>158</v>
      </c>
      <c r="E378" s="230" t="s">
        <v>135</v>
      </c>
      <c r="F378" s="229">
        <v>1572</v>
      </c>
      <c r="G378" s="228">
        <v>8</v>
      </c>
      <c r="H378" s="228"/>
      <c r="I378" s="228">
        <v>8</v>
      </c>
      <c r="J378" s="228"/>
      <c r="K378" s="228">
        <f t="shared" si="46"/>
        <v>4166.3999999999996</v>
      </c>
      <c r="L378" s="228">
        <f t="shared" si="47"/>
        <v>4166.3999999999996</v>
      </c>
      <c r="M378" s="228">
        <v>520.79999999999995</v>
      </c>
      <c r="N378" s="228">
        <f>+M378*1000/(188*4*13*60)*T378</f>
        <v>4.4394435351882153</v>
      </c>
      <c r="O378" s="228"/>
      <c r="P378" s="228">
        <f t="shared" si="48"/>
        <v>35.515548281505723</v>
      </c>
      <c r="Q378" s="228">
        <v>7</v>
      </c>
      <c r="R378" s="19">
        <f t="shared" si="49"/>
        <v>56</v>
      </c>
      <c r="S378" s="228">
        <f t="shared" si="50"/>
        <v>20.484451718494277</v>
      </c>
      <c r="T378" s="20">
        <v>5</v>
      </c>
      <c r="U378" s="20">
        <v>8</v>
      </c>
      <c r="V378" s="235">
        <f t="array" ref="V378">IF(ISERROR(L378/K378),"",L378/K378)</f>
        <v>1</v>
      </c>
      <c r="W378" s="20"/>
      <c r="X378" s="20"/>
      <c r="Y378" s="20"/>
      <c r="Z378" s="20"/>
      <c r="AA378" s="20">
        <v>2</v>
      </c>
      <c r="AB378" s="20"/>
      <c r="AC378" s="20"/>
    </row>
    <row r="379" spans="1:29" s="2" customFormat="1" ht="21.95" hidden="1" customHeight="1">
      <c r="A379" s="226">
        <v>300010</v>
      </c>
      <c r="B379" s="223">
        <v>18501</v>
      </c>
      <c r="C379" s="248" t="s">
        <v>157</v>
      </c>
      <c r="D379" s="248" t="s">
        <v>158</v>
      </c>
      <c r="E379" s="230" t="s">
        <v>80</v>
      </c>
      <c r="F379" s="229"/>
      <c r="G379" s="228"/>
      <c r="H379" s="228"/>
      <c r="I379" s="228"/>
      <c r="J379" s="228"/>
      <c r="K379" s="228">
        <f t="shared" si="46"/>
        <v>0</v>
      </c>
      <c r="L379" s="228">
        <f t="shared" si="47"/>
        <v>0</v>
      </c>
      <c r="M379" s="228">
        <v>530.9</v>
      </c>
      <c r="N379" s="228">
        <f>+M379*1000/(188*4*13*60)*T379</f>
        <v>4.5255387343153304</v>
      </c>
      <c r="O379" s="228"/>
      <c r="P379" s="228">
        <f t="shared" si="48"/>
        <v>0</v>
      </c>
      <c r="Q379" s="228"/>
      <c r="R379" s="19">
        <f t="shared" si="49"/>
        <v>0</v>
      </c>
      <c r="S379" s="228">
        <f t="shared" si="50"/>
        <v>0</v>
      </c>
      <c r="T379" s="20">
        <v>5</v>
      </c>
      <c r="U379" s="20"/>
      <c r="V379" s="235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226">
        <v>300305</v>
      </c>
      <c r="B380" s="223">
        <v>18501</v>
      </c>
      <c r="C380" s="248" t="s">
        <v>159</v>
      </c>
      <c r="D380" s="248" t="s">
        <v>160</v>
      </c>
      <c r="E380" s="230" t="s">
        <v>57</v>
      </c>
      <c r="F380" s="229"/>
      <c r="G380" s="228"/>
      <c r="H380" s="228"/>
      <c r="I380" s="228"/>
      <c r="J380" s="228"/>
      <c r="K380" s="228">
        <f t="shared" si="46"/>
        <v>0</v>
      </c>
      <c r="L380" s="228">
        <f t="shared" si="47"/>
        <v>0</v>
      </c>
      <c r="M380" s="228">
        <v>530.20000000000005</v>
      </c>
      <c r="N380" s="228">
        <f t="shared" ref="N380:N385" si="52">+M380*1000/(202*4*13*60)*T380</f>
        <v>4.2063340949479562</v>
      </c>
      <c r="O380" s="228"/>
      <c r="P380" s="228">
        <f t="shared" si="48"/>
        <v>0</v>
      </c>
      <c r="Q380" s="228"/>
      <c r="R380" s="19">
        <f t="shared" si="49"/>
        <v>0</v>
      </c>
      <c r="S380" s="228">
        <f t="shared" si="50"/>
        <v>0</v>
      </c>
      <c r="T380" s="20">
        <v>5</v>
      </c>
      <c r="U380" s="20"/>
      <c r="V380" s="235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226">
        <v>300306</v>
      </c>
      <c r="B381" s="223">
        <v>18501</v>
      </c>
      <c r="C381" s="248" t="s">
        <v>159</v>
      </c>
      <c r="D381" s="248" t="s">
        <v>160</v>
      </c>
      <c r="E381" s="230" t="s">
        <v>117</v>
      </c>
      <c r="F381" s="229"/>
      <c r="G381" s="228"/>
      <c r="H381" s="228"/>
      <c r="I381" s="228"/>
      <c r="J381" s="228"/>
      <c r="K381" s="228">
        <f t="shared" si="46"/>
        <v>0</v>
      </c>
      <c r="L381" s="228">
        <f t="shared" si="47"/>
        <v>0</v>
      </c>
      <c r="M381" s="228">
        <v>538.79999999999995</v>
      </c>
      <c r="N381" s="228">
        <f t="shared" si="52"/>
        <v>4.2745620715917747</v>
      </c>
      <c r="O381" s="228"/>
      <c r="P381" s="228">
        <f t="shared" si="48"/>
        <v>0</v>
      </c>
      <c r="Q381" s="228"/>
      <c r="R381" s="19">
        <f t="shared" si="49"/>
        <v>0</v>
      </c>
      <c r="S381" s="228">
        <f t="shared" si="50"/>
        <v>0</v>
      </c>
      <c r="T381" s="20">
        <v>5</v>
      </c>
      <c r="U381" s="20"/>
      <c r="V381" s="235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226">
        <v>300307</v>
      </c>
      <c r="B382" s="223">
        <v>18501</v>
      </c>
      <c r="C382" s="248" t="s">
        <v>159</v>
      </c>
      <c r="D382" s="248" t="s">
        <v>160</v>
      </c>
      <c r="E382" s="230" t="s">
        <v>133</v>
      </c>
      <c r="F382" s="229"/>
      <c r="G382" s="228"/>
      <c r="H382" s="228"/>
      <c r="I382" s="228"/>
      <c r="J382" s="228"/>
      <c r="K382" s="228">
        <f t="shared" si="46"/>
        <v>0</v>
      </c>
      <c r="L382" s="228">
        <f t="shared" si="47"/>
        <v>0</v>
      </c>
      <c r="M382" s="228">
        <v>569</v>
      </c>
      <c r="N382" s="228">
        <f t="shared" si="52"/>
        <v>4.5141533384107637</v>
      </c>
      <c r="O382" s="228"/>
      <c r="P382" s="228">
        <f t="shared" si="48"/>
        <v>0</v>
      </c>
      <c r="Q382" s="228"/>
      <c r="R382" s="19">
        <f t="shared" si="49"/>
        <v>0</v>
      </c>
      <c r="S382" s="228">
        <f t="shared" si="50"/>
        <v>0</v>
      </c>
      <c r="T382" s="20">
        <v>5</v>
      </c>
      <c r="U382" s="20"/>
      <c r="V382" s="235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226">
        <v>300308</v>
      </c>
      <c r="B383" s="223">
        <v>18501</v>
      </c>
      <c r="C383" s="248" t="s">
        <v>159</v>
      </c>
      <c r="D383" s="248" t="s">
        <v>160</v>
      </c>
      <c r="E383" s="230" t="s">
        <v>132</v>
      </c>
      <c r="F383" s="229"/>
      <c r="G383" s="228"/>
      <c r="H383" s="228"/>
      <c r="I383" s="228"/>
      <c r="J383" s="228"/>
      <c r="K383" s="228">
        <f t="shared" si="46"/>
        <v>0</v>
      </c>
      <c r="L383" s="228">
        <f t="shared" si="47"/>
        <v>0</v>
      </c>
      <c r="M383" s="228">
        <v>523.6</v>
      </c>
      <c r="N383" s="228">
        <f t="shared" si="52"/>
        <v>4.1539730896166542</v>
      </c>
      <c r="O383" s="228"/>
      <c r="P383" s="228">
        <f t="shared" si="48"/>
        <v>0</v>
      </c>
      <c r="Q383" s="228"/>
      <c r="R383" s="19">
        <f t="shared" si="49"/>
        <v>0</v>
      </c>
      <c r="S383" s="228">
        <f t="shared" si="50"/>
        <v>0</v>
      </c>
      <c r="T383" s="20">
        <v>5</v>
      </c>
      <c r="U383" s="20"/>
      <c r="V383" s="235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226">
        <v>300182</v>
      </c>
      <c r="B384" s="223">
        <v>18501</v>
      </c>
      <c r="C384" s="248" t="s">
        <v>161</v>
      </c>
      <c r="D384" s="248" t="s">
        <v>160</v>
      </c>
      <c r="E384" s="230" t="s">
        <v>80</v>
      </c>
      <c r="F384" s="229"/>
      <c r="G384" s="228"/>
      <c r="H384" s="228"/>
      <c r="I384" s="228"/>
      <c r="J384" s="228"/>
      <c r="K384" s="228">
        <f t="shared" si="46"/>
        <v>0</v>
      </c>
      <c r="L384" s="228">
        <f t="shared" si="47"/>
        <v>0</v>
      </c>
      <c r="M384" s="228">
        <v>649.1</v>
      </c>
      <c r="N384" s="228">
        <f t="shared" si="52"/>
        <v>5.1496255394770252</v>
      </c>
      <c r="O384" s="228"/>
      <c r="P384" s="228">
        <f t="shared" si="48"/>
        <v>0</v>
      </c>
      <c r="Q384" s="228"/>
      <c r="R384" s="19">
        <f t="shared" si="49"/>
        <v>0</v>
      </c>
      <c r="S384" s="228">
        <f t="shared" si="50"/>
        <v>0</v>
      </c>
      <c r="T384" s="20">
        <v>5</v>
      </c>
      <c r="U384" s="20"/>
      <c r="V384" s="235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226">
        <v>300185</v>
      </c>
      <c r="B385" s="223">
        <v>18501</v>
      </c>
      <c r="C385" s="248" t="s">
        <v>161</v>
      </c>
      <c r="D385" s="248" t="s">
        <v>160</v>
      </c>
      <c r="E385" s="230" t="s">
        <v>135</v>
      </c>
      <c r="F385" s="229"/>
      <c r="G385" s="228"/>
      <c r="H385" s="228"/>
      <c r="I385" s="228"/>
      <c r="J385" s="228"/>
      <c r="K385" s="228">
        <f t="shared" si="46"/>
        <v>0</v>
      </c>
      <c r="L385" s="228">
        <f t="shared" si="47"/>
        <v>0</v>
      </c>
      <c r="M385" s="228">
        <v>638</v>
      </c>
      <c r="N385" s="228">
        <f t="shared" si="52"/>
        <v>6.0738766184310737</v>
      </c>
      <c r="O385" s="228"/>
      <c r="P385" s="228">
        <f t="shared" si="48"/>
        <v>0</v>
      </c>
      <c r="Q385" s="228"/>
      <c r="R385" s="19">
        <f t="shared" si="49"/>
        <v>0</v>
      </c>
      <c r="S385" s="228">
        <f t="shared" si="50"/>
        <v>0</v>
      </c>
      <c r="T385" s="20">
        <v>6</v>
      </c>
      <c r="U385" s="20"/>
      <c r="V385" s="235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226">
        <v>300272</v>
      </c>
      <c r="B386" s="223">
        <v>18502</v>
      </c>
      <c r="C386" s="248" t="s">
        <v>162</v>
      </c>
      <c r="D386" s="248"/>
      <c r="E386" s="230" t="s">
        <v>42</v>
      </c>
      <c r="F386" s="229"/>
      <c r="G386" s="228"/>
      <c r="H386" s="228"/>
      <c r="I386" s="228"/>
      <c r="J386" s="228"/>
      <c r="K386" s="228">
        <f t="shared" si="46"/>
        <v>0</v>
      </c>
      <c r="L386" s="228">
        <f t="shared" si="47"/>
        <v>0</v>
      </c>
      <c r="M386" s="228">
        <v>523.9</v>
      </c>
      <c r="N386" s="228">
        <f>+M386*1000/(128*4*13*60)*T386</f>
        <v>5.247395833333333</v>
      </c>
      <c r="O386" s="228"/>
      <c r="P386" s="228">
        <f t="shared" si="48"/>
        <v>0</v>
      </c>
      <c r="Q386" s="228"/>
      <c r="R386" s="19">
        <f t="shared" si="49"/>
        <v>0</v>
      </c>
      <c r="S386" s="228">
        <f t="shared" si="50"/>
        <v>0</v>
      </c>
      <c r="T386" s="20">
        <v>4</v>
      </c>
      <c r="U386" s="20"/>
      <c r="V386" s="235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226">
        <v>300273</v>
      </c>
      <c r="B387" s="223">
        <v>18502</v>
      </c>
      <c r="C387" s="248" t="s">
        <v>162</v>
      </c>
      <c r="D387" s="248"/>
      <c r="E387" s="230" t="s">
        <v>163</v>
      </c>
      <c r="F387" s="229"/>
      <c r="G387" s="228"/>
      <c r="H387" s="228"/>
      <c r="I387" s="228"/>
      <c r="J387" s="228"/>
      <c r="K387" s="228">
        <f t="shared" si="46"/>
        <v>0</v>
      </c>
      <c r="L387" s="228">
        <f t="shared" si="47"/>
        <v>0</v>
      </c>
      <c r="M387" s="228">
        <v>523.9</v>
      </c>
      <c r="N387" s="228">
        <f>+M387*1000/(128*4*13*60)*T387</f>
        <v>6.5592447916666661</v>
      </c>
      <c r="O387" s="228"/>
      <c r="P387" s="228">
        <f t="shared" si="48"/>
        <v>0</v>
      </c>
      <c r="Q387" s="228"/>
      <c r="R387" s="19">
        <f t="shared" si="49"/>
        <v>0</v>
      </c>
      <c r="S387" s="228">
        <f t="shared" si="50"/>
        <v>0</v>
      </c>
      <c r="T387" s="20">
        <v>5</v>
      </c>
      <c r="U387" s="20"/>
      <c r="V387" s="235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226">
        <v>300274</v>
      </c>
      <c r="B388" s="223">
        <v>18502</v>
      </c>
      <c r="C388" s="248" t="s">
        <v>162</v>
      </c>
      <c r="D388" s="248"/>
      <c r="E388" s="230" t="s">
        <v>146</v>
      </c>
      <c r="F388" s="229"/>
      <c r="G388" s="228"/>
      <c r="H388" s="228"/>
      <c r="I388" s="228"/>
      <c r="J388" s="228"/>
      <c r="K388" s="228">
        <f t="shared" si="46"/>
        <v>0</v>
      </c>
      <c r="L388" s="228">
        <f t="shared" si="47"/>
        <v>0</v>
      </c>
      <c r="M388" s="228">
        <v>523.9</v>
      </c>
      <c r="N388" s="228">
        <f>+M388*1000/(128*4*13*60)*T388</f>
        <v>5.247395833333333</v>
      </c>
      <c r="O388" s="228"/>
      <c r="P388" s="228">
        <f t="shared" si="48"/>
        <v>0</v>
      </c>
      <c r="Q388" s="228"/>
      <c r="R388" s="19">
        <f t="shared" si="49"/>
        <v>0</v>
      </c>
      <c r="S388" s="228">
        <f t="shared" si="50"/>
        <v>0</v>
      </c>
      <c r="T388" s="20">
        <v>4</v>
      </c>
      <c r="U388" s="20"/>
      <c r="V388" s="235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226">
        <v>300275</v>
      </c>
      <c r="B389" s="223">
        <v>18502</v>
      </c>
      <c r="C389" s="248" t="s">
        <v>162</v>
      </c>
      <c r="D389" s="248"/>
      <c r="E389" s="230" t="s">
        <v>164</v>
      </c>
      <c r="F389" s="229"/>
      <c r="G389" s="228"/>
      <c r="H389" s="228"/>
      <c r="I389" s="228"/>
      <c r="J389" s="228"/>
      <c r="K389" s="228">
        <f t="shared" si="46"/>
        <v>0</v>
      </c>
      <c r="L389" s="228">
        <f t="shared" si="47"/>
        <v>0</v>
      </c>
      <c r="M389" s="228">
        <v>523.9</v>
      </c>
      <c r="N389" s="228">
        <f>+M389*1000/(128*4*13*60)*T389</f>
        <v>5.247395833333333</v>
      </c>
      <c r="O389" s="228"/>
      <c r="P389" s="228">
        <f t="shared" si="48"/>
        <v>0</v>
      </c>
      <c r="Q389" s="228"/>
      <c r="R389" s="19">
        <f t="shared" si="49"/>
        <v>0</v>
      </c>
      <c r="S389" s="228">
        <f t="shared" si="50"/>
        <v>0</v>
      </c>
      <c r="T389" s="20">
        <v>4</v>
      </c>
      <c r="U389" s="20"/>
      <c r="V389" s="235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226">
        <v>300285</v>
      </c>
      <c r="B390" s="223">
        <v>13001</v>
      </c>
      <c r="C390" s="248" t="s">
        <v>165</v>
      </c>
      <c r="D390" s="248"/>
      <c r="E390" s="230" t="s">
        <v>37</v>
      </c>
      <c r="F390" s="229"/>
      <c r="G390" s="228"/>
      <c r="H390" s="228"/>
      <c r="I390" s="228"/>
      <c r="J390" s="228"/>
      <c r="K390" s="228">
        <f t="shared" si="46"/>
        <v>0</v>
      </c>
      <c r="L390" s="228">
        <f t="shared" si="47"/>
        <v>0</v>
      </c>
      <c r="M390" s="228">
        <v>438.7</v>
      </c>
      <c r="N390" s="228">
        <f t="shared" ref="N390:N395" si="53">+M390*1000/(90*4*18*60)*T390</f>
        <v>5.6417181069958842</v>
      </c>
      <c r="O390" s="228"/>
      <c r="P390" s="228">
        <f t="shared" si="48"/>
        <v>0</v>
      </c>
      <c r="Q390" s="228"/>
      <c r="R390" s="19">
        <f t="shared" si="49"/>
        <v>0</v>
      </c>
      <c r="S390" s="228">
        <f t="shared" si="50"/>
        <v>0</v>
      </c>
      <c r="T390" s="20">
        <v>5</v>
      </c>
      <c r="U390" s="20"/>
      <c r="V390" s="235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226">
        <v>300287</v>
      </c>
      <c r="B391" s="223">
        <v>13001</v>
      </c>
      <c r="C391" s="248" t="s">
        <v>165</v>
      </c>
      <c r="D391" s="248"/>
      <c r="E391" s="230" t="s">
        <v>57</v>
      </c>
      <c r="F391" s="229"/>
      <c r="G391" s="228"/>
      <c r="H391" s="228"/>
      <c r="I391" s="228"/>
      <c r="J391" s="228"/>
      <c r="K391" s="228">
        <f t="shared" si="46"/>
        <v>0</v>
      </c>
      <c r="L391" s="228">
        <f t="shared" si="47"/>
        <v>0</v>
      </c>
      <c r="M391" s="228">
        <v>438.7</v>
      </c>
      <c r="N391" s="228">
        <f t="shared" si="53"/>
        <v>5.6417181069958842</v>
      </c>
      <c r="O391" s="228"/>
      <c r="P391" s="228">
        <f t="shared" si="48"/>
        <v>0</v>
      </c>
      <c r="Q391" s="228"/>
      <c r="R391" s="19">
        <f t="shared" si="49"/>
        <v>0</v>
      </c>
      <c r="S391" s="228">
        <f t="shared" si="50"/>
        <v>0</v>
      </c>
      <c r="T391" s="20">
        <v>5</v>
      </c>
      <c r="U391" s="20"/>
      <c r="V391" s="235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226">
        <v>300284</v>
      </c>
      <c r="B392" s="223">
        <v>13001</v>
      </c>
      <c r="C392" s="248" t="s">
        <v>165</v>
      </c>
      <c r="D392" s="248"/>
      <c r="E392" s="230" t="s">
        <v>41</v>
      </c>
      <c r="F392" s="229"/>
      <c r="G392" s="228"/>
      <c r="H392" s="228"/>
      <c r="I392" s="228"/>
      <c r="J392" s="228"/>
      <c r="K392" s="228">
        <f t="shared" si="46"/>
        <v>0</v>
      </c>
      <c r="L392" s="228">
        <f t="shared" si="47"/>
        <v>0</v>
      </c>
      <c r="M392" s="228">
        <v>438.7</v>
      </c>
      <c r="N392" s="228">
        <f t="shared" si="53"/>
        <v>5.6417181069958842</v>
      </c>
      <c r="O392" s="228"/>
      <c r="P392" s="228">
        <f t="shared" si="48"/>
        <v>0</v>
      </c>
      <c r="Q392" s="228"/>
      <c r="R392" s="19">
        <f t="shared" si="49"/>
        <v>0</v>
      </c>
      <c r="S392" s="228">
        <f t="shared" si="50"/>
        <v>0</v>
      </c>
      <c r="T392" s="20">
        <v>5</v>
      </c>
      <c r="U392" s="20"/>
      <c r="V392" s="235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226">
        <v>300283</v>
      </c>
      <c r="B393" s="223">
        <v>13001</v>
      </c>
      <c r="C393" s="248" t="s">
        <v>165</v>
      </c>
      <c r="D393" s="248"/>
      <c r="E393" s="230" t="s">
        <v>35</v>
      </c>
      <c r="F393" s="229"/>
      <c r="G393" s="228"/>
      <c r="H393" s="228"/>
      <c r="I393" s="228"/>
      <c r="J393" s="228"/>
      <c r="K393" s="224">
        <f t="shared" si="46"/>
        <v>0</v>
      </c>
      <c r="L393" s="224">
        <f t="shared" si="47"/>
        <v>0</v>
      </c>
      <c r="M393" s="228">
        <v>438.7</v>
      </c>
      <c r="N393" s="228">
        <f t="shared" si="53"/>
        <v>5.6417181069958842</v>
      </c>
      <c r="O393" s="224"/>
      <c r="P393" s="228">
        <f t="shared" si="48"/>
        <v>0</v>
      </c>
      <c r="Q393" s="228"/>
      <c r="R393" s="19">
        <f t="shared" si="49"/>
        <v>0</v>
      </c>
      <c r="S393" s="228">
        <f t="shared" si="50"/>
        <v>0</v>
      </c>
      <c r="T393" s="20">
        <v>5</v>
      </c>
      <c r="U393" s="20"/>
      <c r="V393" s="235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226">
        <v>300289</v>
      </c>
      <c r="B394" s="223">
        <v>13001</v>
      </c>
      <c r="C394" s="248" t="s">
        <v>165</v>
      </c>
      <c r="D394" s="248"/>
      <c r="E394" s="230" t="s">
        <v>66</v>
      </c>
      <c r="F394" s="229"/>
      <c r="G394" s="228"/>
      <c r="H394" s="228"/>
      <c r="I394" s="228"/>
      <c r="J394" s="228"/>
      <c r="K394" s="224">
        <f t="shared" si="46"/>
        <v>0</v>
      </c>
      <c r="L394" s="224">
        <f t="shared" si="47"/>
        <v>0</v>
      </c>
      <c r="M394" s="228">
        <v>438.7</v>
      </c>
      <c r="N394" s="228">
        <f t="shared" si="53"/>
        <v>5.6417181069958842</v>
      </c>
      <c r="O394" s="224"/>
      <c r="P394" s="228">
        <f t="shared" si="48"/>
        <v>0</v>
      </c>
      <c r="Q394" s="228"/>
      <c r="R394" s="19">
        <f t="shared" si="49"/>
        <v>0</v>
      </c>
      <c r="S394" s="228">
        <f t="shared" si="50"/>
        <v>0</v>
      </c>
      <c r="T394" s="20">
        <v>5</v>
      </c>
      <c r="U394" s="20"/>
      <c r="V394" s="235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226">
        <v>300288</v>
      </c>
      <c r="B395" s="223">
        <v>13001</v>
      </c>
      <c r="C395" s="248" t="s">
        <v>165</v>
      </c>
      <c r="D395" s="248"/>
      <c r="E395" s="230" t="s">
        <v>166</v>
      </c>
      <c r="F395" s="229"/>
      <c r="G395" s="228"/>
      <c r="H395" s="228"/>
      <c r="I395" s="228"/>
      <c r="J395" s="228"/>
      <c r="K395" s="228">
        <f t="shared" si="46"/>
        <v>0</v>
      </c>
      <c r="L395" s="228">
        <f t="shared" si="47"/>
        <v>0</v>
      </c>
      <c r="M395" s="228">
        <v>438.7</v>
      </c>
      <c r="N395" s="228">
        <f t="shared" si="53"/>
        <v>5.6417181069958842</v>
      </c>
      <c r="O395" s="228"/>
      <c r="P395" s="228">
        <f t="shared" si="48"/>
        <v>0</v>
      </c>
      <c r="Q395" s="228"/>
      <c r="R395" s="19">
        <f t="shared" si="49"/>
        <v>0</v>
      </c>
      <c r="S395" s="228">
        <f t="shared" si="50"/>
        <v>0</v>
      </c>
      <c r="T395" s="20">
        <v>5</v>
      </c>
      <c r="U395" s="20"/>
      <c r="V395" s="235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225">
        <v>300355</v>
      </c>
      <c r="B396" s="223">
        <v>13001</v>
      </c>
      <c r="C396" s="259" t="s">
        <v>168</v>
      </c>
      <c r="D396" s="260"/>
      <c r="E396" s="33" t="s">
        <v>35</v>
      </c>
      <c r="F396" s="229"/>
      <c r="G396" s="228"/>
      <c r="H396" s="228"/>
      <c r="I396" s="228"/>
      <c r="J396" s="228"/>
      <c r="K396" s="224">
        <f t="shared" si="46"/>
        <v>0</v>
      </c>
      <c r="L396" s="228">
        <f t="shared" si="47"/>
        <v>0</v>
      </c>
      <c r="M396" s="228">
        <v>438</v>
      </c>
      <c r="N396" s="228">
        <f>+M396*1000/(110*4*18*60)*T396</f>
        <v>4.6085858585858581</v>
      </c>
      <c r="O396" s="228"/>
      <c r="P396" s="228">
        <f t="shared" si="48"/>
        <v>0</v>
      </c>
      <c r="Q396" s="228"/>
      <c r="R396" s="19">
        <f t="shared" si="49"/>
        <v>0</v>
      </c>
      <c r="S396" s="228">
        <f t="shared" si="50"/>
        <v>0</v>
      </c>
      <c r="T396" s="20">
        <v>5</v>
      </c>
      <c r="U396" s="20"/>
      <c r="V396" s="235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225">
        <v>300356</v>
      </c>
      <c r="B397" s="223">
        <v>13001</v>
      </c>
      <c r="C397" s="259" t="s">
        <v>168</v>
      </c>
      <c r="D397" s="260"/>
      <c r="E397" s="231" t="s">
        <v>41</v>
      </c>
      <c r="F397" s="229"/>
      <c r="G397" s="228"/>
      <c r="H397" s="228"/>
      <c r="I397" s="228"/>
      <c r="J397" s="228"/>
      <c r="K397" s="224">
        <f t="shared" si="46"/>
        <v>0</v>
      </c>
      <c r="L397" s="228">
        <f t="shared" si="47"/>
        <v>0</v>
      </c>
      <c r="M397" s="228">
        <v>438</v>
      </c>
      <c r="N397" s="228">
        <f>+M397*1000/(110*4*18*60)*T397</f>
        <v>4.6085858585858581</v>
      </c>
      <c r="O397" s="228"/>
      <c r="P397" s="228">
        <f t="shared" si="48"/>
        <v>0</v>
      </c>
      <c r="Q397" s="228"/>
      <c r="R397" s="19">
        <f t="shared" si="49"/>
        <v>0</v>
      </c>
      <c r="S397" s="228">
        <f t="shared" si="50"/>
        <v>0</v>
      </c>
      <c r="T397" s="20">
        <v>5</v>
      </c>
      <c r="U397" s="20"/>
      <c r="V397" s="235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s="2" customFormat="1" ht="21.95" hidden="1" customHeight="1">
      <c r="A398" s="225">
        <v>300357</v>
      </c>
      <c r="B398" s="223" t="s">
        <v>170</v>
      </c>
      <c r="C398" s="259" t="s">
        <v>168</v>
      </c>
      <c r="D398" s="260"/>
      <c r="E398" s="231" t="s">
        <v>37</v>
      </c>
      <c r="F398" s="27"/>
      <c r="G398" s="228"/>
      <c r="H398" s="228"/>
      <c r="I398" s="228"/>
      <c r="J398" s="228"/>
      <c r="K398" s="224">
        <f t="shared" si="46"/>
        <v>0</v>
      </c>
      <c r="L398" s="228">
        <f t="shared" si="47"/>
        <v>0</v>
      </c>
      <c r="M398" s="228">
        <v>438</v>
      </c>
      <c r="N398" s="228">
        <f>+M398*1000/(110*4*18*60)*T398</f>
        <v>4.6085858585858581</v>
      </c>
      <c r="O398" s="228"/>
      <c r="P398" s="228">
        <f t="shared" si="48"/>
        <v>0</v>
      </c>
      <c r="Q398" s="228"/>
      <c r="R398" s="19">
        <f t="shared" si="49"/>
        <v>0</v>
      </c>
      <c r="S398" s="228">
        <f t="shared" si="50"/>
        <v>0</v>
      </c>
      <c r="T398" s="20">
        <v>5</v>
      </c>
      <c r="U398" s="20"/>
      <c r="V398" s="235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s="2" customFormat="1" ht="21.95" customHeight="1">
      <c r="A399" s="225">
        <v>300358</v>
      </c>
      <c r="B399" s="223">
        <v>13002</v>
      </c>
      <c r="C399" s="259" t="s">
        <v>168</v>
      </c>
      <c r="D399" s="260"/>
      <c r="E399" s="231" t="s">
        <v>66</v>
      </c>
      <c r="F399" s="27"/>
      <c r="G399" s="228">
        <v>0.38</v>
      </c>
      <c r="H399" s="228">
        <v>0.375</v>
      </c>
      <c r="I399" s="228">
        <f>+H399</f>
        <v>0.375</v>
      </c>
      <c r="J399" s="228"/>
      <c r="K399" s="224">
        <f t="shared" si="46"/>
        <v>166.44</v>
      </c>
      <c r="L399" s="228">
        <f t="shared" si="47"/>
        <v>164.25</v>
      </c>
      <c r="M399" s="228">
        <v>438</v>
      </c>
      <c r="N399" s="228">
        <f>+M399*1000/(110*4*18*60)*T399</f>
        <v>4.6085858585858581</v>
      </c>
      <c r="O399" s="228"/>
      <c r="P399" s="228">
        <f t="shared" si="48"/>
        <v>1.7282196969696968</v>
      </c>
      <c r="Q399" s="228">
        <v>1</v>
      </c>
      <c r="R399" s="19">
        <f t="shared" si="49"/>
        <v>0</v>
      </c>
      <c r="S399" s="228">
        <f t="shared" si="50"/>
        <v>-1.7282196969696968</v>
      </c>
      <c r="T399" s="20">
        <v>5</v>
      </c>
      <c r="U399" s="20">
        <v>0</v>
      </c>
      <c r="V399" s="227">
        <f t="array" ref="V399">IF(ISERROR(L399/K399),"",L399/K399)</f>
        <v>0.98684210526315785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44.38</v>
      </c>
      <c r="H408" s="164">
        <f t="array" ref="H408">SUM(IF(ISERROR(H215:H407),“”,H215:H407))</f>
        <v>2.41</v>
      </c>
      <c r="I408" s="164">
        <f t="array" ref="I408">SUM(IF(ISERROR(I215:I407),“”,I215:I407))</f>
        <v>42.484999999999999</v>
      </c>
      <c r="J408" s="164">
        <f t="array" ref="J408">SUM(IF(ISERROR(J215:J407),“”,J215:J407))</f>
        <v>400</v>
      </c>
      <c r="K408" s="164">
        <f t="array" ref="K408">SUM(IF(ISERROR(K215:K407),“”,K215:K407))</f>
        <v>21164.359999999997</v>
      </c>
      <c r="L408" s="117">
        <f>SUM(L215:L399)</f>
        <v>20213.857499999998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286.98432748749485</v>
      </c>
      <c r="Q408" s="164"/>
      <c r="R408" s="56">
        <f>SUM((R215:R399),(Y413:Z418))</f>
        <v>339</v>
      </c>
      <c r="S408" s="164">
        <f t="array" ref="S408">SUM(IF(ISERROR(S215:S407),“”,S215:S407))</f>
        <v>17.515672512505105</v>
      </c>
      <c r="T408" s="164"/>
      <c r="U408" s="164"/>
      <c r="V408" s="161">
        <f t="array" ref="V408">IF(ISERROR(L408/K408),"",L408/K408)</f>
        <v>0.95508947589249105</v>
      </c>
      <c r="W408" s="164">
        <f t="array" ref="W408">SUM(IF(ISERROR(W215:W407),“”,W215:W407))</f>
        <v>0</v>
      </c>
      <c r="X408" s="164">
        <f t="array" ref="X408">SUM(IF(ISERROR(X215:X407),“”,X215:X407))</f>
        <v>4.3333333333333339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4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0.84656143801620898</v>
      </c>
      <c r="P409" s="274"/>
      <c r="Q409" s="274"/>
      <c r="R409" s="275"/>
      <c r="S409" s="44"/>
      <c r="T409" s="45"/>
      <c r="U409" s="45"/>
      <c r="V409" s="45"/>
      <c r="W409" s="276">
        <f>SUM(W408:AC408)</f>
        <v>8.3333333333333339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119</v>
      </c>
      <c r="F411" s="279"/>
      <c r="G411" s="279">
        <v>119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3511.5</v>
      </c>
      <c r="F412" s="279"/>
      <c r="G412" s="279">
        <v>3651.5</v>
      </c>
      <c r="H412" s="279"/>
      <c r="I412" s="279">
        <f>G412-E412</f>
        <v>140</v>
      </c>
      <c r="J412" s="279"/>
      <c r="K412" s="281">
        <f t="array" ref="K412">IF(ISERROR(I412/E412),"",I412/E412)</f>
        <v>3.9869001851060799E-2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21</v>
      </c>
      <c r="T412" s="284"/>
      <c r="U412" s="284">
        <v>12</v>
      </c>
      <c r="V412" s="284"/>
      <c r="W412" s="283">
        <f>S412*11.5</f>
        <v>241.5</v>
      </c>
      <c r="X412" s="283"/>
      <c r="Y412" s="283">
        <f>U412*11.5</f>
        <v>138</v>
      </c>
      <c r="Z412" s="283"/>
      <c r="AA412" s="283">
        <f t="shared" ref="AA412:AA419" si="59">Y412-W412</f>
        <v>-103.5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1452</v>
      </c>
      <c r="F413" s="279"/>
      <c r="G413" s="279">
        <v>1452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4</v>
      </c>
      <c r="T413" s="284"/>
      <c r="U413" s="284">
        <v>4</v>
      </c>
      <c r="V413" s="284"/>
      <c r="W413" s="283">
        <f t="shared" ref="W413:W419" si="60">S413*11.5</f>
        <v>46</v>
      </c>
      <c r="X413" s="283"/>
      <c r="Y413" s="283">
        <f t="shared" ref="Y413:Y419" si="61">U413*11.5</f>
        <v>46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1</v>
      </c>
      <c r="V414" s="284"/>
      <c r="W414" s="283">
        <f t="shared" si="60"/>
        <v>8.625</v>
      </c>
      <c r="X414" s="283"/>
      <c r="Y414" s="283">
        <f t="shared" si="61"/>
        <v>11.5</v>
      </c>
      <c r="Z414" s="283"/>
      <c r="AA414" s="283">
        <f t="shared" si="59"/>
        <v>2.875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151096</v>
      </c>
      <c r="H415" s="324"/>
      <c r="I415" s="325">
        <v>150995</v>
      </c>
      <c r="J415" s="326"/>
      <c r="K415" s="289">
        <f>G415-I415</f>
        <v>101</v>
      </c>
      <c r="L415" s="289"/>
      <c r="M415" s="290">
        <f t="array" ref="M415">IF(ISERROR(K415/L408),"",K415/(L408/1000))</f>
        <v>4.9965722772113139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8.625</v>
      </c>
      <c r="X415" s="283"/>
      <c r="Y415" s="283">
        <f t="shared" si="61"/>
        <v>11.5</v>
      </c>
      <c r="Z415" s="283"/>
      <c r="AA415" s="283">
        <f t="shared" si="59"/>
        <v>2.875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45004.8*60+28689.7*120</f>
        <v>6143052</v>
      </c>
      <c r="H416" s="323"/>
      <c r="I416" s="322">
        <v>6141498</v>
      </c>
      <c r="J416" s="323"/>
      <c r="K416" s="289">
        <f>G416-I416</f>
        <v>1554</v>
      </c>
      <c r="L416" s="289"/>
      <c r="M416" s="290">
        <f t="array" ref="M416">IF(ISERROR(K416/L408),"",K416/(L408/1000))</f>
        <v>76.877953651350325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1</v>
      </c>
      <c r="V416" s="284"/>
      <c r="W416" s="283">
        <f t="shared" si="60"/>
        <v>17.25</v>
      </c>
      <c r="X416" s="283"/>
      <c r="Y416" s="283">
        <f t="shared" si="61"/>
        <v>11.5</v>
      </c>
      <c r="Z416" s="283"/>
      <c r="AA416" s="283">
        <f t="shared" si="59"/>
        <v>-5.75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+I417+16</f>
        <v>27066</v>
      </c>
      <c r="H417" s="324"/>
      <c r="I417" s="327">
        <v>27050</v>
      </c>
      <c r="J417" s="328"/>
      <c r="K417" s="289">
        <f>G417-I417</f>
        <v>16</v>
      </c>
      <c r="L417" s="289"/>
      <c r="M417" s="293">
        <f t="array" ref="M417">IF(ISERROR(K417/L408),"",K417/(L408/1000))</f>
        <v>0.79153620233050526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11.5</v>
      </c>
      <c r="X417" s="283"/>
      <c r="Y417" s="283">
        <f t="shared" si="61"/>
        <v>11.5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2.14/2+2.4</f>
        <v>3.4699999999999998</v>
      </c>
      <c r="L418" s="301"/>
      <c r="M418" s="294">
        <f t="array" ref="M418">IF(ISERROR((K418+K419)/L408),"",((K418+K419)*1000)/(L408/1000))</f>
        <v>171.6644138804283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6</v>
      </c>
      <c r="V418" s="284"/>
      <c r="W418" s="283">
        <f t="shared" si="60"/>
        <v>34.5</v>
      </c>
      <c r="X418" s="283"/>
      <c r="Y418" s="283">
        <f t="shared" si="61"/>
        <v>69</v>
      </c>
      <c r="Z418" s="283"/>
      <c r="AA418" s="283">
        <f t="shared" si="59"/>
        <v>34.5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32</v>
      </c>
      <c r="T419" s="284"/>
      <c r="U419" s="284">
        <f>SUM(U412:V418)</f>
        <v>26</v>
      </c>
      <c r="V419" s="284"/>
      <c r="W419" s="283">
        <f t="shared" si="60"/>
        <v>368</v>
      </c>
      <c r="X419" s="283"/>
      <c r="Y419" s="283">
        <f t="shared" si="61"/>
        <v>299</v>
      </c>
      <c r="Z419" s="283"/>
      <c r="AA419" s="283">
        <f t="shared" si="59"/>
        <v>-69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4.6109510086455332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67.604874581939796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47442.64409999999</v>
      </c>
      <c r="D423" s="337"/>
      <c r="E423" s="333" t="s">
        <v>226</v>
      </c>
      <c r="F423" s="333"/>
      <c r="G423" s="333">
        <f>L199+L408</f>
        <v>46029.308666666664</v>
      </c>
      <c r="H423" s="333"/>
      <c r="I423" s="340" t="s">
        <v>227</v>
      </c>
      <c r="J423" s="340"/>
      <c r="K423" s="339">
        <f>IF(ISERROR(G423/C423),"",G423/C423)</f>
        <v>0.97020959813381635</v>
      </c>
      <c r="L423" s="339"/>
      <c r="M423" s="333" t="s">
        <v>228</v>
      </c>
      <c r="N423" s="333"/>
      <c r="O423" s="334">
        <f>IF(ISERROR(G423/G424),"",G423/G424)</f>
        <v>64.46681886087768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599.71494874766643</v>
      </c>
      <c r="D424" s="337"/>
      <c r="E424" s="338" t="s">
        <v>18</v>
      </c>
      <c r="F424" s="338"/>
      <c r="G424" s="333">
        <f>R199+R408</f>
        <v>714</v>
      </c>
      <c r="H424" s="333"/>
      <c r="I424" s="313" t="s">
        <v>176</v>
      </c>
      <c r="J424" s="313"/>
      <c r="K424" s="339">
        <f>IF(ISERROR(C424/G424),"",C424/G424)</f>
        <v>0.83993690300793622</v>
      </c>
      <c r="L424" s="339"/>
      <c r="M424" s="279" t="s">
        <v>230</v>
      </c>
      <c r="N424" s="279"/>
      <c r="O424" s="333">
        <f>W200+W409</f>
        <v>14.5</v>
      </c>
      <c r="P424" s="279"/>
      <c r="Q424" s="279" t="s">
        <v>231</v>
      </c>
      <c r="R424" s="279"/>
      <c r="S424" s="339">
        <f t="array" ref="S424">IF(ISERROR(O424/G424),"",O424/G424)</f>
        <v>2.0308123249299721E-2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219</v>
      </c>
      <c r="D426" s="337"/>
      <c r="E426" s="333" t="s">
        <v>234</v>
      </c>
      <c r="F426" s="333"/>
      <c r="G426" s="293">
        <f t="array" ref="G426">IF(ISERROR(C426/G423),"",C426/(G423/1000))</f>
        <v>4.7578381327850492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3306</v>
      </c>
      <c r="D427" s="337"/>
      <c r="E427" s="333" t="s">
        <v>236</v>
      </c>
      <c r="F427" s="333"/>
      <c r="G427" s="293">
        <f>IF(ISERROR(C427/G423),"",C427/(G423/1000))</f>
        <v>71.823803045604436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33</v>
      </c>
      <c r="D428" s="337"/>
      <c r="E428" s="333" t="s">
        <v>238</v>
      </c>
      <c r="F428" s="333"/>
      <c r="G428" s="293">
        <f>IF(ISERROR(C428/G423),"",C428/(G423/1000))</f>
        <v>0.71693451315939094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7.15</v>
      </c>
      <c r="D429" s="337"/>
      <c r="E429" s="333" t="s">
        <v>240</v>
      </c>
      <c r="F429" s="333"/>
      <c r="G429" s="341">
        <f>IF(ISERROR(C429/G423),"",C429/(G423/1000))</f>
        <v>0.15533581118453471</v>
      </c>
      <c r="H429" s="341"/>
      <c r="I429" s="333" t="s">
        <v>241</v>
      </c>
      <c r="J429" s="333"/>
      <c r="K429" s="342">
        <f>IF(ISERROR(C428/C429),"",C428/C429)</f>
        <v>4.615384615384615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269</v>
      </c>
      <c r="D432" s="346"/>
      <c r="E432" s="333" t="s">
        <v>247</v>
      </c>
      <c r="F432" s="351"/>
      <c r="G432" s="347">
        <f>+G411+G202</f>
        <v>269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8304.1</v>
      </c>
      <c r="D433" s="346"/>
      <c r="E433" s="333" t="s">
        <v>251</v>
      </c>
      <c r="F433" s="333"/>
      <c r="G433" s="347">
        <f>+G412+G203</f>
        <v>8588.1</v>
      </c>
      <c r="H433" s="348"/>
      <c r="I433" s="333" t="s">
        <v>252</v>
      </c>
      <c r="J433" s="333"/>
      <c r="K433" s="315">
        <f>G433-C433</f>
        <v>284</v>
      </c>
      <c r="L433" s="317"/>
      <c r="M433" s="349" t="s">
        <v>253</v>
      </c>
      <c r="N433" s="350"/>
      <c r="O433" s="343">
        <f t="array" ref="O433">IF(ISERROR(K433/C433),"",K433/C433)</f>
        <v>3.4199973507062775E-2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3121</v>
      </c>
      <c r="D434" s="346"/>
      <c r="E434" s="333" t="s">
        <v>255</v>
      </c>
      <c r="F434" s="351"/>
      <c r="G434" s="347">
        <f>+G413+G204</f>
        <v>3121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26</v>
      </c>
      <c r="D440" s="67">
        <v>26</v>
      </c>
      <c r="E440" s="153"/>
      <c r="F440" s="153"/>
      <c r="G440" s="153"/>
      <c r="H440" s="154"/>
      <c r="I440" s="154"/>
      <c r="J440" s="83">
        <f t="shared" si="63"/>
        <v>26</v>
      </c>
      <c r="K440" s="67">
        <v>3</v>
      </c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0.88461538461538458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45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0.93333333333333335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>
        <v>2</v>
      </c>
      <c r="L447" s="67">
        <v>2</v>
      </c>
      <c r="M447" s="67"/>
      <c r="N447" s="67"/>
      <c r="O447" s="67"/>
      <c r="P447" s="67"/>
      <c r="Q447" s="83">
        <f t="shared" si="64"/>
        <v>11</v>
      </c>
      <c r="R447" s="158">
        <f t="shared" si="68"/>
        <v>126.5</v>
      </c>
      <c r="S447" s="101">
        <f t="array" ref="S447">IF(ISERROR(Q447/J447),"",Q447/J447)</f>
        <v>0.73333333333333328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3</v>
      </c>
      <c r="L450" s="69">
        <f t="shared" si="70"/>
        <v>2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26</v>
      </c>
      <c r="R450" s="158">
        <f t="shared" si="68"/>
        <v>299</v>
      </c>
      <c r="S450" s="122">
        <f t="array" ref="S450">IF(ISERROR(Q450/J450),"",Q450/J450)</f>
        <v>0.83870967741935487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57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9</v>
      </c>
      <c r="J452" s="85">
        <f t="shared" si="63"/>
        <v>48</v>
      </c>
      <c r="K452" s="69">
        <f t="shared" ref="K452:P452" si="71">+K443+K450+K451</f>
        <v>6</v>
      </c>
      <c r="L452" s="69">
        <f t="shared" si="71"/>
        <v>2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40</v>
      </c>
      <c r="R452" s="67">
        <f>R443+R450+R451</f>
        <v>783</v>
      </c>
      <c r="S452" s="123">
        <f t="array" ref="S452">IF(ISERROR(Q452/J452),"",Q452/J452)</f>
        <v>0.83333333333333337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C454"/>
  <sheetViews>
    <sheetView tabSelected="1" workbookViewId="0">
      <pane xSplit="5" ySplit="28" topLeftCell="F420" activePane="bottomRight" state="frozen"/>
      <selection pane="topRight" activeCell="F1" sqref="F1"/>
      <selection pane="bottomLeft" activeCell="A29" sqref="A29"/>
      <selection pane="bottomRight" activeCell="I415" sqref="I415:J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customHeight="1">
      <c r="A29" s="237">
        <v>3000435</v>
      </c>
      <c r="B29" s="236">
        <v>3004</v>
      </c>
      <c r="C29" s="248" t="s">
        <v>51</v>
      </c>
      <c r="D29" s="248"/>
      <c r="E29" s="241" t="s">
        <v>309</v>
      </c>
      <c r="F29" s="240" t="s">
        <v>329</v>
      </c>
      <c r="G29" s="133">
        <v>10.3</v>
      </c>
      <c r="H29" s="133">
        <v>0.3</v>
      </c>
      <c r="I29" s="133">
        <f>10+H29</f>
        <v>10.3</v>
      </c>
      <c r="J29" s="133"/>
      <c r="K29" s="239">
        <f t="shared" si="0"/>
        <v>5403.380000000001</v>
      </c>
      <c r="L29" s="239">
        <f t="shared" si="1"/>
        <v>5403.380000000001</v>
      </c>
      <c r="M29" s="239">
        <v>524.6</v>
      </c>
      <c r="N29" s="239">
        <f>+M29*1000/(25.4*20*15*60)*T29</f>
        <v>3.4422572178477688</v>
      </c>
      <c r="O29" s="239"/>
      <c r="P29" s="239">
        <f t="shared" si="2"/>
        <v>35.455249343832023</v>
      </c>
      <c r="Q29" s="239">
        <v>11</v>
      </c>
      <c r="R29" s="19">
        <f t="shared" si="3"/>
        <v>22</v>
      </c>
      <c r="S29" s="239">
        <f t="shared" si="4"/>
        <v>-13.455249343832023</v>
      </c>
      <c r="T29" s="20">
        <v>3</v>
      </c>
      <c r="U29" s="20">
        <v>2</v>
      </c>
      <c r="V29" s="238">
        <f t="array" ref="V29">IF(ISERROR(L29/K29),"",L29/K29)</f>
        <v>1</v>
      </c>
      <c r="W29" s="20"/>
      <c r="X29" s="20"/>
      <c r="Y29" s="20"/>
      <c r="Z29" s="20"/>
      <c r="AA29" s="20"/>
      <c r="AB29" s="20"/>
      <c r="AC29" s="20"/>
    </row>
    <row r="30" spans="1:29" ht="21.95" hidden="1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24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24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24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24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24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24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24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243"/>
      <c r="G37" s="133"/>
      <c r="H37" s="133"/>
      <c r="I37" s="133"/>
      <c r="J37" s="133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24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24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24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24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>
        <v>3602</v>
      </c>
      <c r="C42" s="248" t="s">
        <v>61</v>
      </c>
      <c r="D42" s="248" t="s">
        <v>62</v>
      </c>
      <c r="E42" s="166" t="s">
        <v>63</v>
      </c>
      <c r="F42" s="243">
        <v>1596</v>
      </c>
      <c r="G42" s="133">
        <v>5</v>
      </c>
      <c r="H42" s="133"/>
      <c r="I42" s="133">
        <f>6-J42/250</f>
        <v>5</v>
      </c>
      <c r="J42" s="133">
        <v>250</v>
      </c>
      <c r="K42" s="164">
        <f t="shared" si="0"/>
        <v>1834.65</v>
      </c>
      <c r="L42" s="164">
        <f t="shared" si="1"/>
        <v>1834.65</v>
      </c>
      <c r="M42" s="164">
        <v>366.93</v>
      </c>
      <c r="N42" s="164">
        <f>+M42*1000/(35.8*10*13*60)*T42</f>
        <v>2.6280618822518265</v>
      </c>
      <c r="O42" s="164">
        <v>0.5</v>
      </c>
      <c r="P42" s="164">
        <f t="shared" si="2"/>
        <v>14.640309411259132</v>
      </c>
      <c r="Q42" s="164">
        <v>5</v>
      </c>
      <c r="R42" s="19">
        <f t="shared" si="3"/>
        <v>15</v>
      </c>
      <c r="S42" s="164">
        <f t="shared" si="4"/>
        <v>0.35969058874086812</v>
      </c>
      <c r="T42" s="20">
        <v>2</v>
      </c>
      <c r="U42" s="20">
        <v>3</v>
      </c>
      <c r="V42" s="161">
        <f t="array" ref="V42">IF(ISERROR(L42/K42),"",L42/K42)</f>
        <v>1</v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>
        <v>3602</v>
      </c>
      <c r="C43" s="248" t="s">
        <v>61</v>
      </c>
      <c r="D43" s="248" t="s">
        <v>62</v>
      </c>
      <c r="E43" s="166" t="s">
        <v>37</v>
      </c>
      <c r="F43" s="243">
        <v>1595</v>
      </c>
      <c r="G43" s="133">
        <v>4.2</v>
      </c>
      <c r="H43" s="133">
        <v>0.2</v>
      </c>
      <c r="I43" s="133">
        <f>4+H43</f>
        <v>4.2</v>
      </c>
      <c r="J43" s="133"/>
      <c r="K43" s="164">
        <f t="shared" si="0"/>
        <v>1541.106</v>
      </c>
      <c r="L43" s="164">
        <f t="shared" si="1"/>
        <v>1541.106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11.037859905457672</v>
      </c>
      <c r="Q43" s="164">
        <v>6</v>
      </c>
      <c r="R43" s="19">
        <f t="shared" si="3"/>
        <v>18</v>
      </c>
      <c r="S43" s="164">
        <f t="shared" si="4"/>
        <v>6.9621400945423275</v>
      </c>
      <c r="T43" s="20">
        <v>2</v>
      </c>
      <c r="U43" s="20">
        <v>3</v>
      </c>
      <c r="V43" s="161">
        <f t="array" ref="V43">IF(ISERROR(L43/K43),"",L43/K43)</f>
        <v>1</v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24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24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240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240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240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240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24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24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24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24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24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24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>
        <v>4503</v>
      </c>
      <c r="C56" s="248" t="s">
        <v>75</v>
      </c>
      <c r="D56" s="248" t="s">
        <v>76</v>
      </c>
      <c r="E56" s="166" t="s">
        <v>38</v>
      </c>
      <c r="F56" s="243" t="s">
        <v>328</v>
      </c>
      <c r="G56" s="133">
        <v>9</v>
      </c>
      <c r="H56" s="133">
        <v>0.3</v>
      </c>
      <c r="I56" s="133">
        <f>9+H56-J56/500</f>
        <v>8.9</v>
      </c>
      <c r="J56" s="133">
        <v>200</v>
      </c>
      <c r="K56" s="164">
        <f t="shared" si="0"/>
        <v>4913.0999999999995</v>
      </c>
      <c r="L56" s="164">
        <f t="shared" si="1"/>
        <v>4858.51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24.390110441767071</v>
      </c>
      <c r="Q56" s="164">
        <v>11</v>
      </c>
      <c r="R56" s="19">
        <f t="shared" si="3"/>
        <v>33</v>
      </c>
      <c r="S56" s="164">
        <f t="shared" si="4"/>
        <v>8.6098895582329291</v>
      </c>
      <c r="T56" s="20">
        <v>2</v>
      </c>
      <c r="U56" s="20">
        <v>3</v>
      </c>
      <c r="V56" s="161">
        <f t="array" ref="V56">IF(ISERROR(L56/K56),"",L56/K56)</f>
        <v>0.98888888888888904</v>
      </c>
      <c r="W56" s="20"/>
      <c r="X56" s="20">
        <f>20/60*3</f>
        <v>1</v>
      </c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244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243"/>
      <c r="G58" s="133"/>
      <c r="H58" s="133"/>
      <c r="I58" s="133"/>
      <c r="J58" s="133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243"/>
      <c r="G59" s="133"/>
      <c r="H59" s="133"/>
      <c r="I59" s="133"/>
      <c r="J59" s="133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24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24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24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24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24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24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24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24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24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24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24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24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24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24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4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24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>
        <v>5001</v>
      </c>
      <c r="C76" s="248" t="s">
        <v>317</v>
      </c>
      <c r="D76" s="248" t="s">
        <v>96</v>
      </c>
      <c r="E76" s="166" t="s">
        <v>41</v>
      </c>
      <c r="F76" s="243">
        <v>1600</v>
      </c>
      <c r="G76" s="133">
        <v>10.25</v>
      </c>
      <c r="H76" s="133">
        <v>0.125</v>
      </c>
      <c r="I76" s="133">
        <f>11+H76-J76/400</f>
        <v>10.25</v>
      </c>
      <c r="J76" s="133">
        <v>350</v>
      </c>
      <c r="K76" s="164">
        <f t="shared" si="0"/>
        <v>4288.5999999999995</v>
      </c>
      <c r="L76" s="164">
        <f t="shared" si="1"/>
        <v>4288.5999999999995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50.963755199049317</v>
      </c>
      <c r="Q76" s="164">
        <v>11</v>
      </c>
      <c r="R76" s="19">
        <f t="shared" si="3"/>
        <v>44</v>
      </c>
      <c r="S76" s="164">
        <f t="shared" si="4"/>
        <v>-6.9637551990493165</v>
      </c>
      <c r="T76" s="20">
        <v>4</v>
      </c>
      <c r="U76" s="20">
        <v>4</v>
      </c>
      <c r="V76" s="161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33"/>
      <c r="H77" s="133"/>
      <c r="I77" s="133"/>
      <c r="J77" s="133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33"/>
      <c r="H100" s="133"/>
      <c r="I100" s="133"/>
      <c r="J100" s="133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33"/>
      <c r="H101" s="133"/>
      <c r="I101" s="133"/>
      <c r="J101" s="133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33"/>
      <c r="H102" s="133"/>
      <c r="I102" s="133"/>
      <c r="J102" s="133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33"/>
      <c r="H103" s="133"/>
      <c r="I103" s="133"/>
      <c r="J103" s="133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33"/>
      <c r="H104" s="133"/>
      <c r="I104" s="133"/>
      <c r="J104" s="133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33"/>
      <c r="H105" s="133"/>
      <c r="I105" s="133"/>
      <c r="J105" s="133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33"/>
      <c r="H111" s="133"/>
      <c r="I111" s="133"/>
      <c r="J111" s="133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33"/>
      <c r="H112" s="133"/>
      <c r="I112" s="133"/>
      <c r="J112" s="133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33"/>
      <c r="H113" s="133"/>
      <c r="I113" s="133"/>
      <c r="J113" s="133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33"/>
      <c r="H114" s="133"/>
      <c r="I114" s="133"/>
      <c r="J114" s="133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33"/>
      <c r="H115" s="133"/>
      <c r="I115" s="133"/>
      <c r="J115" s="133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33"/>
      <c r="H116" s="133"/>
      <c r="I116" s="133"/>
      <c r="J116" s="133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33"/>
      <c r="H117" s="133"/>
      <c r="I117" s="133"/>
      <c r="J117" s="133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33"/>
      <c r="H118" s="133"/>
      <c r="I118" s="133"/>
      <c r="J118" s="133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33"/>
      <c r="H119" s="133"/>
      <c r="I119" s="133"/>
      <c r="J119" s="133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33"/>
      <c r="H120" s="133"/>
      <c r="I120" s="133"/>
      <c r="J120" s="133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133"/>
      <c r="H121" s="133"/>
      <c r="I121" s="133"/>
      <c r="J121" s="133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133"/>
      <c r="H122" s="133"/>
      <c r="I122" s="133"/>
      <c r="J122" s="133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133"/>
      <c r="H123" s="133"/>
      <c r="I123" s="133"/>
      <c r="J123" s="133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133"/>
      <c r="H124" s="133"/>
      <c r="I124" s="133"/>
      <c r="J124" s="133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133"/>
      <c r="H125" s="133"/>
      <c r="I125" s="133"/>
      <c r="J125" s="133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33"/>
      <c r="H126" s="133"/>
      <c r="I126" s="133"/>
      <c r="J126" s="133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33"/>
      <c r="H127" s="133"/>
      <c r="I127" s="133"/>
      <c r="J127" s="133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33"/>
      <c r="H128" s="133"/>
      <c r="I128" s="133"/>
      <c r="J128" s="133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33"/>
      <c r="H129" s="133"/>
      <c r="I129" s="133"/>
      <c r="J129" s="133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33"/>
      <c r="H130" s="133"/>
      <c r="I130" s="133"/>
      <c r="J130" s="133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33"/>
      <c r="H131" s="133"/>
      <c r="I131" s="133"/>
      <c r="J131" s="133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33"/>
      <c r="H132" s="133"/>
      <c r="I132" s="133"/>
      <c r="J132" s="133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33"/>
      <c r="H133" s="133"/>
      <c r="I133" s="133"/>
      <c r="J133" s="133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33"/>
      <c r="H134" s="133"/>
      <c r="I134" s="133"/>
      <c r="J134" s="133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33"/>
      <c r="H135" s="133"/>
      <c r="I135" s="133"/>
      <c r="J135" s="133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33"/>
      <c r="H136" s="133"/>
      <c r="I136" s="133"/>
      <c r="J136" s="133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33"/>
      <c r="H137" s="133"/>
      <c r="I137" s="133"/>
      <c r="J137" s="133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33"/>
      <c r="H138" s="133"/>
      <c r="I138" s="133"/>
      <c r="J138" s="133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>
        <v>6503</v>
      </c>
      <c r="C139" s="259" t="s">
        <v>137</v>
      </c>
      <c r="D139" s="260"/>
      <c r="E139" s="166" t="s">
        <v>57</v>
      </c>
      <c r="F139" s="240">
        <v>1599</v>
      </c>
      <c r="G139" s="133">
        <v>9</v>
      </c>
      <c r="H139" s="133"/>
      <c r="I139" s="133">
        <v>9</v>
      </c>
      <c r="J139" s="133"/>
      <c r="K139" s="164">
        <f t="shared" si="7"/>
        <v>3170.61</v>
      </c>
      <c r="L139" s="164">
        <f t="shared" si="8"/>
        <v>3170.61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39.619946617082533</v>
      </c>
      <c r="Q139" s="164">
        <v>8</v>
      </c>
      <c r="R139" s="19">
        <f t="shared" si="10"/>
        <v>40</v>
      </c>
      <c r="S139" s="164">
        <f t="shared" si="11"/>
        <v>0.38005338291746682</v>
      </c>
      <c r="T139" s="20">
        <v>5</v>
      </c>
      <c r="U139" s="20">
        <v>5</v>
      </c>
      <c r="V139" s="161">
        <f t="array" ref="V139">IF(ISERROR(L139/K139),"",L139/K139)</f>
        <v>1</v>
      </c>
      <c r="W139" s="20"/>
      <c r="X139" s="20"/>
      <c r="Y139" s="20"/>
      <c r="Z139" s="20"/>
      <c r="AA139" s="20">
        <v>2</v>
      </c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47.75</v>
      </c>
      <c r="H199" s="164">
        <f t="array" ref="H199">SUM(IF(ISERROR(H6:H198),“”,H6:H198))</f>
        <v>0.92500000000000004</v>
      </c>
      <c r="I199" s="164">
        <f t="array" ref="I199">SUM(IF(ISERROR(I6:I198),“”,I6:I198))</f>
        <v>47.65</v>
      </c>
      <c r="J199" s="164">
        <f t="array" ref="J199">SUM(IF(ISERROR(J6:J198),“”,J6:J198))</f>
        <v>800</v>
      </c>
      <c r="K199" s="164">
        <f t="array" ref="K199">SUM(IF(ISERROR(K6:K198),“”,K6:K198))</f>
        <v>21151.446</v>
      </c>
      <c r="L199" s="56">
        <f>SUM(L6:L198)</f>
        <v>21096.856</v>
      </c>
      <c r="M199" s="164"/>
      <c r="N199" s="164"/>
      <c r="O199" s="164">
        <f>SUM(O6:O190)</f>
        <v>0.5</v>
      </c>
      <c r="P199" s="56">
        <f>SUM((P6:P190),(W204:X209))</f>
        <v>297.10723091844773</v>
      </c>
      <c r="Q199" s="164"/>
      <c r="R199" s="56">
        <f>SUM((R6:R190),(Y204:Z209))</f>
        <v>304</v>
      </c>
      <c r="S199" s="164">
        <f t="array" ref="S199">SUM(IF(ISERROR(S6:S198),“”,S6:S198))</f>
        <v>-4.1072309184477476</v>
      </c>
      <c r="T199" s="164"/>
      <c r="U199" s="164"/>
      <c r="V199" s="161">
        <f>IF(ISERROR(L199/K199),"",L199/K199)</f>
        <v>0.99741908898332532</v>
      </c>
      <c r="W199" s="164">
        <f t="array" ref="W199">SUM(IF(ISERROR(W6:W198),“”,W6:W198))</f>
        <v>0</v>
      </c>
      <c r="X199" s="164">
        <f t="array" ref="X199">SUM(IF(ISERROR(X6:X198),“”,X6:X198))</f>
        <v>1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0.9773264174948938</v>
      </c>
      <c r="P200" s="274"/>
      <c r="Q200" s="274"/>
      <c r="R200" s="275"/>
      <c r="S200" s="44"/>
      <c r="T200" s="45"/>
      <c r="U200" s="45"/>
      <c r="V200" s="45"/>
      <c r="W200" s="276">
        <f>SUM(W199:AC199)</f>
        <v>3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137.5</v>
      </c>
      <c r="F202" s="279"/>
      <c r="G202" s="279">
        <v>137.5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3969.2</v>
      </c>
      <c r="F203" s="279"/>
      <c r="G203" s="279">
        <v>4200.2</v>
      </c>
      <c r="H203" s="279"/>
      <c r="I203" s="279">
        <f>G203-E203</f>
        <v>231</v>
      </c>
      <c r="J203" s="279"/>
      <c r="K203" s="281">
        <f t="array" ref="K203">IF(ISERROR(I203/E203),"",I203/E203)</f>
        <v>5.8198125566864864E-2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16</v>
      </c>
      <c r="T203" s="284"/>
      <c r="U203" s="284">
        <v>17</v>
      </c>
      <c r="V203" s="284"/>
      <c r="W203" s="283">
        <f t="shared" ref="W203:W210" si="28">S203*11</f>
        <v>176</v>
      </c>
      <c r="X203" s="283"/>
      <c r="Y203" s="283">
        <f t="shared" ref="Y203:Y210" si="29">U203*11</f>
        <v>187</v>
      </c>
      <c r="Z203" s="283"/>
      <c r="AA203" s="283">
        <f t="shared" ref="AA203:AA210" si="30">Y203-W203</f>
        <v>11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540</v>
      </c>
      <c r="F204" s="279"/>
      <c r="G204" s="279">
        <v>540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4</v>
      </c>
      <c r="T204" s="284"/>
      <c r="U204" s="284">
        <v>7</v>
      </c>
      <c r="V204" s="284"/>
      <c r="W204" s="283">
        <f t="shared" si="28"/>
        <v>44</v>
      </c>
      <c r="X204" s="283"/>
      <c r="Y204" s="283">
        <f t="shared" si="29"/>
        <v>77</v>
      </c>
      <c r="Z204" s="283"/>
      <c r="AA204" s="283">
        <f t="shared" si="30"/>
        <v>33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8"/>
        <v>8.25</v>
      </c>
      <c r="X205" s="283"/>
      <c r="Y205" s="283">
        <f t="shared" si="29"/>
        <v>0</v>
      </c>
      <c r="Z205" s="283"/>
      <c r="AA205" s="283">
        <f t="shared" si="30"/>
        <v>-8.25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151197</v>
      </c>
      <c r="H206" s="286"/>
      <c r="I206" s="325">
        <v>151096</v>
      </c>
      <c r="J206" s="326"/>
      <c r="K206" s="289">
        <f>G206-I206</f>
        <v>101</v>
      </c>
      <c r="L206" s="289"/>
      <c r="M206" s="290">
        <f t="array" ref="M206">IF(ISERROR(K206/L199),"",K206/(L199/1000))</f>
        <v>4.7874432095474324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0</v>
      </c>
      <c r="V206" s="284"/>
      <c r="W206" s="283">
        <f t="shared" si="28"/>
        <v>8.25</v>
      </c>
      <c r="X206" s="283"/>
      <c r="Y206" s="283">
        <f t="shared" si="29"/>
        <v>0</v>
      </c>
      <c r="Z206" s="283"/>
      <c r="AA206" s="283">
        <f t="shared" si="30"/>
        <v>-8.25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28698.2*120+45014.8*60</f>
        <v>6144672</v>
      </c>
      <c r="H207" s="286"/>
      <c r="I207" s="325">
        <v>6143052</v>
      </c>
      <c r="J207" s="326"/>
      <c r="K207" s="289">
        <f>G207-I207</f>
        <v>1620</v>
      </c>
      <c r="L207" s="289"/>
      <c r="M207" s="290">
        <f t="array" ref="M207">IF(ISERROR(K207/L199),"",K207/(L199/1000))</f>
        <v>76.788693064028124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8"/>
        <v>16.5</v>
      </c>
      <c r="X207" s="283"/>
      <c r="Y207" s="283">
        <f t="shared" si="29"/>
        <v>11</v>
      </c>
      <c r="Z207" s="283"/>
      <c r="AA207" s="283">
        <f t="shared" si="30"/>
        <v>-5.5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+I208+16</f>
        <v>27082</v>
      </c>
      <c r="H208" s="286"/>
      <c r="I208" s="285">
        <v>27066</v>
      </c>
      <c r="J208" s="286"/>
      <c r="K208" s="289">
        <f>G208-I208</f>
        <v>16</v>
      </c>
      <c r="L208" s="289"/>
      <c r="M208" s="293">
        <f t="array" ref="M208">IF(ISERROR(K208/L199),"",K208/(L199/1000))</f>
        <v>0.75840684507682099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v>3.52</v>
      </c>
      <c r="L209" s="292"/>
      <c r="M209" s="294">
        <f t="array" ref="M209">IF(ISERROR((K209+K210)/L199),"",((K209+K210)*1000)/(L199/1000))</f>
        <v>166.84950591690063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3</v>
      </c>
      <c r="V209" s="284"/>
      <c r="W209" s="283">
        <f t="shared" si="28"/>
        <v>33</v>
      </c>
      <c r="X209" s="283"/>
      <c r="Y209" s="283">
        <f t="shared" si="29"/>
        <v>33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27</v>
      </c>
      <c r="T210" s="284"/>
      <c r="U210" s="284">
        <f>SUM(U203:V209)</f>
        <v>29</v>
      </c>
      <c r="V210" s="284"/>
      <c r="W210" s="283">
        <f t="shared" si="28"/>
        <v>297</v>
      </c>
      <c r="X210" s="283"/>
      <c r="Y210" s="283">
        <f t="shared" si="29"/>
        <v>319</v>
      </c>
      <c r="Z210" s="283"/>
      <c r="AA210" s="283">
        <f t="shared" si="30"/>
        <v>22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4.5454545454545459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66.134344827586204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>
        <v>3004</v>
      </c>
      <c r="C234" s="248" t="s">
        <v>51</v>
      </c>
      <c r="D234" s="248"/>
      <c r="E234" s="166" t="s">
        <v>40</v>
      </c>
      <c r="F234" s="240">
        <v>1594</v>
      </c>
      <c r="G234" s="164">
        <v>6</v>
      </c>
      <c r="H234" s="164"/>
      <c r="I234" s="164">
        <v>6</v>
      </c>
      <c r="J234" s="164"/>
      <c r="K234" s="164">
        <f t="shared" si="31"/>
        <v>3147.6000000000004</v>
      </c>
      <c r="L234" s="164">
        <f t="shared" si="32"/>
        <v>3147.6000000000004</v>
      </c>
      <c r="M234" s="164">
        <v>524.6</v>
      </c>
      <c r="N234" s="164">
        <f>+M234*1000/(25.4*20*15*60)*T234</f>
        <v>3.4422572178477688</v>
      </c>
      <c r="O234" s="164">
        <v>0.5</v>
      </c>
      <c r="P234" s="164">
        <f t="shared" si="34"/>
        <v>21.653543307086615</v>
      </c>
      <c r="Q234" s="164">
        <v>6.5</v>
      </c>
      <c r="R234" s="19">
        <f t="shared" si="35"/>
        <v>13</v>
      </c>
      <c r="S234" s="164">
        <f t="shared" si="36"/>
        <v>-8.6535433070866148</v>
      </c>
      <c r="T234" s="20">
        <v>3</v>
      </c>
      <c r="U234" s="20">
        <v>2</v>
      </c>
      <c r="V234" s="161">
        <f t="array" ref="V234">IF(ISERROR(L234/K234),"",L234/K234)</f>
        <v>1</v>
      </c>
      <c r="W234" s="20"/>
      <c r="X234" s="20"/>
      <c r="Y234" s="20"/>
      <c r="Z234" s="20"/>
      <c r="AA234" s="20">
        <v>2</v>
      </c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240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242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240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242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240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242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2" customFormat="1" ht="21" customHeight="1">
      <c r="A238" s="237">
        <v>3000435</v>
      </c>
      <c r="B238" s="236">
        <v>3004</v>
      </c>
      <c r="C238" s="248" t="s">
        <v>51</v>
      </c>
      <c r="D238" s="248"/>
      <c r="E238" s="241" t="s">
        <v>309</v>
      </c>
      <c r="F238" s="240">
        <v>1593</v>
      </c>
      <c r="G238" s="239">
        <v>1</v>
      </c>
      <c r="H238" s="239"/>
      <c r="I238" s="239">
        <v>1</v>
      </c>
      <c r="J238" s="239"/>
      <c r="K238" s="239">
        <f t="shared" si="31"/>
        <v>524.6</v>
      </c>
      <c r="L238" s="239">
        <f t="shared" si="32"/>
        <v>524.6</v>
      </c>
      <c r="M238" s="239">
        <v>524.6</v>
      </c>
      <c r="N238" s="239">
        <f>+M238*1000/(25.4*20*15*60)*T238</f>
        <v>3.4422572178477688</v>
      </c>
      <c r="O238" s="239"/>
      <c r="P238" s="239">
        <f t="shared" si="34"/>
        <v>3.4422572178477688</v>
      </c>
      <c r="Q238" s="239">
        <v>1.5</v>
      </c>
      <c r="R238" s="19">
        <f t="shared" si="35"/>
        <v>3</v>
      </c>
      <c r="S238" s="239">
        <f t="shared" si="36"/>
        <v>-0.44225721784776884</v>
      </c>
      <c r="T238" s="20">
        <v>3</v>
      </c>
      <c r="U238" s="20">
        <v>2</v>
      </c>
      <c r="V238" s="242">
        <f t="array" ref="V238">IF(ISERROR(L238/K238),"",L238/K238)</f>
        <v>1</v>
      </c>
      <c r="W238" s="20"/>
      <c r="X238" s="20"/>
      <c r="Y238" s="20"/>
      <c r="Z238" s="20"/>
      <c r="AA238" s="20"/>
      <c r="AB238" s="20"/>
      <c r="AC238" s="20"/>
    </row>
    <row r="239" spans="1:29" ht="21.95" hidden="1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243"/>
      <c r="G239" s="239"/>
      <c r="H239" s="239"/>
      <c r="I239" s="239"/>
      <c r="J239" s="239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242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243"/>
      <c r="G240" s="239"/>
      <c r="H240" s="239"/>
      <c r="I240" s="239"/>
      <c r="J240" s="239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242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243"/>
      <c r="G241" s="239"/>
      <c r="H241" s="239"/>
      <c r="I241" s="239"/>
      <c r="J241" s="239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242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240"/>
      <c r="G242" s="239"/>
      <c r="H242" s="239"/>
      <c r="I242" s="239"/>
      <c r="J242" s="239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242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240"/>
      <c r="G243" s="239"/>
      <c r="H243" s="239"/>
      <c r="I243" s="239"/>
      <c r="J243" s="239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242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240"/>
      <c r="G244" s="239"/>
      <c r="H244" s="239"/>
      <c r="I244" s="239"/>
      <c r="J244" s="239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242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240"/>
      <c r="G245" s="239"/>
      <c r="H245" s="239"/>
      <c r="I245" s="239"/>
      <c r="J245" s="239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242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240"/>
      <c r="G246" s="239"/>
      <c r="H246" s="239"/>
      <c r="I246" s="239"/>
      <c r="J246" s="239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242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243"/>
      <c r="G247" s="239"/>
      <c r="H247" s="239"/>
      <c r="I247" s="239"/>
      <c r="J247" s="239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242" t="str">
        <f t="array" ref="V247">IF(ISERROR(L247/K247),"",L247/K247)</f>
        <v/>
      </c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243"/>
      <c r="G248" s="239"/>
      <c r="H248" s="239"/>
      <c r="I248" s="239"/>
      <c r="J248" s="239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242" t="str">
        <f t="array" ref="V248">IF(ISERROR(L248/K248),"",L248/K248)</f>
        <v/>
      </c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243"/>
      <c r="G249" s="239"/>
      <c r="H249" s="239"/>
      <c r="I249" s="239"/>
      <c r="J249" s="239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242" t="str">
        <f t="array" ref="V249">IF(ISERROR(L249/K249),"",L249/K249)</f>
        <v/>
      </c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240"/>
      <c r="G250" s="239"/>
      <c r="H250" s="239"/>
      <c r="I250" s="239"/>
      <c r="J250" s="239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242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>
        <v>3602</v>
      </c>
      <c r="C251" s="248" t="s">
        <v>61</v>
      </c>
      <c r="D251" s="248" t="s">
        <v>62</v>
      </c>
      <c r="E251" s="166" t="s">
        <v>63</v>
      </c>
      <c r="F251" s="240">
        <v>1596</v>
      </c>
      <c r="G251" s="239">
        <v>7</v>
      </c>
      <c r="H251" s="239">
        <v>1</v>
      </c>
      <c r="I251" s="239">
        <f>6+H251</f>
        <v>7</v>
      </c>
      <c r="J251" s="239"/>
      <c r="K251" s="164">
        <f t="shared" si="31"/>
        <v>2568.5100000000002</v>
      </c>
      <c r="L251" s="164">
        <f t="shared" si="32"/>
        <v>2568.5100000000002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18.396433175762784</v>
      </c>
      <c r="Q251" s="164">
        <v>9</v>
      </c>
      <c r="R251" s="19">
        <f t="shared" si="35"/>
        <v>18</v>
      </c>
      <c r="S251" s="164">
        <f t="shared" si="36"/>
        <v>-0.39643317576278392</v>
      </c>
      <c r="T251" s="20">
        <v>2</v>
      </c>
      <c r="U251" s="20">
        <v>2</v>
      </c>
      <c r="V251" s="242">
        <f t="array" ref="V251">IF(ISERROR(L251/K251),"",L251/K251)</f>
        <v>1</v>
      </c>
      <c r="W251" s="20"/>
      <c r="X251" s="20"/>
      <c r="Y251" s="20"/>
      <c r="Z251" s="20"/>
      <c r="AA251" s="20">
        <v>2</v>
      </c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240"/>
      <c r="G252" s="239"/>
      <c r="H252" s="239"/>
      <c r="I252" s="239"/>
      <c r="J252" s="239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242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240"/>
      <c r="G253" s="239"/>
      <c r="H253" s="239"/>
      <c r="I253" s="239"/>
      <c r="J253" s="239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242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240"/>
      <c r="G254" s="239"/>
      <c r="H254" s="239"/>
      <c r="I254" s="239"/>
      <c r="J254" s="239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242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240"/>
      <c r="G255" s="239"/>
      <c r="H255" s="239"/>
      <c r="I255" s="239"/>
      <c r="J255" s="239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242" t="str">
        <f t="array" ref="V255">IF(ISERROR(L255/K255),"",L255/K255)</f>
        <v/>
      </c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240"/>
      <c r="G256" s="239"/>
      <c r="H256" s="239"/>
      <c r="I256" s="239"/>
      <c r="J256" s="239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242" t="str">
        <f t="array" ref="V256">IF(ISERROR(L256/K256),"",L256/K256)</f>
        <v/>
      </c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240"/>
      <c r="G257" s="239"/>
      <c r="H257" s="239"/>
      <c r="I257" s="239"/>
      <c r="J257" s="239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242" t="str">
        <f t="array" ref="V257">IF(ISERROR(L257/K257),"",L257/K257)</f>
        <v/>
      </c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240"/>
      <c r="G258" s="239"/>
      <c r="H258" s="239"/>
      <c r="I258" s="239"/>
      <c r="J258" s="239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242" t="str">
        <f t="array" ref="V258">IF(ISERROR(L258/K258),"",L258/K258)</f>
        <v/>
      </c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240"/>
      <c r="G259" s="239"/>
      <c r="H259" s="239"/>
      <c r="I259" s="239"/>
      <c r="J259" s="239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242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240"/>
      <c r="G260" s="239"/>
      <c r="H260" s="239"/>
      <c r="I260" s="239"/>
      <c r="J260" s="239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242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240"/>
      <c r="G261" s="239"/>
      <c r="H261" s="239"/>
      <c r="I261" s="239"/>
      <c r="J261" s="239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242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240"/>
      <c r="G262" s="239"/>
      <c r="H262" s="239"/>
      <c r="I262" s="239"/>
      <c r="J262" s="239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242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240"/>
      <c r="G263" s="239"/>
      <c r="H263" s="239"/>
      <c r="I263" s="239"/>
      <c r="J263" s="239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242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240"/>
      <c r="G264" s="239"/>
      <c r="H264" s="239"/>
      <c r="I264" s="239"/>
      <c r="J264" s="239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242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>
        <v>4503</v>
      </c>
      <c r="C265" s="248" t="s">
        <v>75</v>
      </c>
      <c r="D265" s="248" t="s">
        <v>76</v>
      </c>
      <c r="E265" s="166" t="s">
        <v>38</v>
      </c>
      <c r="F265" s="240">
        <v>1598</v>
      </c>
      <c r="G265" s="239">
        <v>5.4</v>
      </c>
      <c r="H265" s="239">
        <v>0.4</v>
      </c>
      <c r="I265" s="239">
        <f>5+H265</f>
        <v>5.4</v>
      </c>
      <c r="J265" s="239"/>
      <c r="K265" s="164">
        <f t="shared" si="31"/>
        <v>2947.86</v>
      </c>
      <c r="L265" s="164">
        <f t="shared" si="32"/>
        <v>2947.86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14.798493975903616</v>
      </c>
      <c r="Q265" s="164">
        <v>8</v>
      </c>
      <c r="R265" s="19">
        <f t="shared" si="35"/>
        <v>16</v>
      </c>
      <c r="S265" s="164">
        <f t="shared" si="36"/>
        <v>1.2015060240963837</v>
      </c>
      <c r="T265" s="20">
        <v>2</v>
      </c>
      <c r="U265" s="20">
        <v>2</v>
      </c>
      <c r="V265" s="161">
        <f t="array" ref="V265">IF(ISERROR(L265/K265),"",L265/K265)</f>
        <v>1</v>
      </c>
      <c r="W265" s="20"/>
      <c r="X265" s="20"/>
      <c r="Y265" s="20"/>
      <c r="Z265" s="20"/>
      <c r="AA265" s="20">
        <v>2</v>
      </c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244"/>
      <c r="G266" s="239"/>
      <c r="H266" s="239"/>
      <c r="I266" s="239"/>
      <c r="J266" s="239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240"/>
      <c r="G267" s="239"/>
      <c r="H267" s="239"/>
      <c r="I267" s="239"/>
      <c r="J267" s="239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240"/>
      <c r="G268" s="239"/>
      <c r="H268" s="239"/>
      <c r="I268" s="239"/>
      <c r="J268" s="239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240"/>
      <c r="G269" s="239"/>
      <c r="H269" s="239"/>
      <c r="I269" s="239"/>
      <c r="J269" s="239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240"/>
      <c r="G270" s="239"/>
      <c r="H270" s="239"/>
      <c r="I270" s="239"/>
      <c r="J270" s="239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240"/>
      <c r="G271" s="239"/>
      <c r="H271" s="239"/>
      <c r="I271" s="239"/>
      <c r="J271" s="239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240"/>
      <c r="G272" s="239"/>
      <c r="H272" s="239"/>
      <c r="I272" s="239"/>
      <c r="J272" s="239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240"/>
      <c r="G273" s="239"/>
      <c r="H273" s="239"/>
      <c r="I273" s="239"/>
      <c r="J273" s="239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240"/>
      <c r="G274" s="239"/>
      <c r="H274" s="239"/>
      <c r="I274" s="239"/>
      <c r="J274" s="239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240"/>
      <c r="G275" s="239"/>
      <c r="H275" s="239"/>
      <c r="I275" s="239"/>
      <c r="J275" s="239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240"/>
      <c r="G276" s="239"/>
      <c r="H276" s="239"/>
      <c r="I276" s="239"/>
      <c r="J276" s="239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240"/>
      <c r="G277" s="239"/>
      <c r="H277" s="239"/>
      <c r="I277" s="239"/>
      <c r="J277" s="239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240"/>
      <c r="G278" s="239"/>
      <c r="H278" s="239"/>
      <c r="I278" s="239"/>
      <c r="J278" s="239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240"/>
      <c r="G279" s="239"/>
      <c r="H279" s="239"/>
      <c r="I279" s="239"/>
      <c r="J279" s="239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240"/>
      <c r="G280" s="239"/>
      <c r="H280" s="239"/>
      <c r="I280" s="239"/>
      <c r="J280" s="239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240"/>
      <c r="G281" s="239"/>
      <c r="H281" s="239"/>
      <c r="I281" s="239"/>
      <c r="J281" s="239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240"/>
      <c r="G282" s="239"/>
      <c r="H282" s="239"/>
      <c r="I282" s="239"/>
      <c r="J282" s="239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240"/>
      <c r="G283" s="239"/>
      <c r="H283" s="239"/>
      <c r="I283" s="239"/>
      <c r="J283" s="239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240"/>
      <c r="G284" s="239"/>
      <c r="H284" s="239"/>
      <c r="I284" s="239"/>
      <c r="J284" s="239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>
        <v>5001</v>
      </c>
      <c r="C285" s="248" t="s">
        <v>317</v>
      </c>
      <c r="D285" s="248" t="s">
        <v>96</v>
      </c>
      <c r="E285" s="166" t="s">
        <v>41</v>
      </c>
      <c r="F285" s="240">
        <v>1600</v>
      </c>
      <c r="G285" s="239">
        <v>5.88</v>
      </c>
      <c r="H285" s="239">
        <v>0.875</v>
      </c>
      <c r="I285" s="239">
        <f>5+H285</f>
        <v>5.875</v>
      </c>
      <c r="J285" s="239"/>
      <c r="K285" s="164">
        <f t="shared" si="31"/>
        <v>2460.192</v>
      </c>
      <c r="L285" s="164">
        <f t="shared" si="32"/>
        <v>2458.1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29.210932857991683</v>
      </c>
      <c r="Q285" s="164">
        <v>7</v>
      </c>
      <c r="R285" s="19">
        <f t="shared" si="35"/>
        <v>28</v>
      </c>
      <c r="S285" s="164">
        <f t="shared" si="36"/>
        <v>-1.2109328579916827</v>
      </c>
      <c r="T285" s="20">
        <v>4</v>
      </c>
      <c r="U285" s="20">
        <v>4</v>
      </c>
      <c r="V285" s="161">
        <f t="array" ref="V285">IF(ISERROR(L285/K285),"",L285/K285)</f>
        <v>0.99914965986394555</v>
      </c>
      <c r="W285" s="20"/>
      <c r="X285" s="20"/>
      <c r="Y285" s="20"/>
      <c r="Z285" s="20"/>
      <c r="AA285" s="20">
        <v>2</v>
      </c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240"/>
      <c r="G286" s="239"/>
      <c r="H286" s="239"/>
      <c r="I286" s="239"/>
      <c r="J286" s="239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240"/>
      <c r="G287" s="239"/>
      <c r="H287" s="239"/>
      <c r="I287" s="239"/>
      <c r="J287" s="239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240"/>
      <c r="G288" s="239"/>
      <c r="H288" s="239"/>
      <c r="I288" s="239"/>
      <c r="J288" s="239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240"/>
      <c r="G289" s="239"/>
      <c r="H289" s="239"/>
      <c r="I289" s="239"/>
      <c r="J289" s="239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240"/>
      <c r="G290" s="239"/>
      <c r="H290" s="239"/>
      <c r="I290" s="239"/>
      <c r="J290" s="239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240"/>
      <c r="G291" s="239"/>
      <c r="H291" s="239"/>
      <c r="I291" s="239"/>
      <c r="J291" s="239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244"/>
      <c r="G292" s="239"/>
      <c r="H292" s="239"/>
      <c r="I292" s="239"/>
      <c r="J292" s="239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240"/>
      <c r="G293" s="239"/>
      <c r="H293" s="239"/>
      <c r="I293" s="239"/>
      <c r="J293" s="239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240"/>
      <c r="G294" s="239"/>
      <c r="H294" s="239"/>
      <c r="I294" s="239"/>
      <c r="J294" s="239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240"/>
      <c r="G295" s="239"/>
      <c r="H295" s="239"/>
      <c r="I295" s="239"/>
      <c r="J295" s="239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240"/>
      <c r="G296" s="239"/>
      <c r="H296" s="239"/>
      <c r="I296" s="239"/>
      <c r="J296" s="239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240"/>
      <c r="G297" s="239"/>
      <c r="H297" s="239"/>
      <c r="I297" s="239"/>
      <c r="J297" s="239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240"/>
      <c r="G298" s="239"/>
      <c r="H298" s="239"/>
      <c r="I298" s="239"/>
      <c r="J298" s="239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240"/>
      <c r="G299" s="239"/>
      <c r="H299" s="239"/>
      <c r="I299" s="239"/>
      <c r="J299" s="239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240"/>
      <c r="G300" s="239"/>
      <c r="H300" s="239"/>
      <c r="I300" s="239"/>
      <c r="J300" s="239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240"/>
      <c r="G301" s="239"/>
      <c r="H301" s="239"/>
      <c r="I301" s="239"/>
      <c r="J301" s="239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240"/>
      <c r="G302" s="239"/>
      <c r="H302" s="239"/>
      <c r="I302" s="239"/>
      <c r="J302" s="239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240"/>
      <c r="G303" s="239"/>
      <c r="H303" s="239"/>
      <c r="I303" s="239"/>
      <c r="J303" s="239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240"/>
      <c r="G304" s="239"/>
      <c r="H304" s="239"/>
      <c r="I304" s="239"/>
      <c r="J304" s="239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240"/>
      <c r="G305" s="239"/>
      <c r="H305" s="239"/>
      <c r="I305" s="239"/>
      <c r="J305" s="239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237"/>
      <c r="G306" s="239"/>
      <c r="H306" s="239"/>
      <c r="I306" s="239"/>
      <c r="J306" s="239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240"/>
      <c r="G307" s="239"/>
      <c r="H307" s="239"/>
      <c r="I307" s="239"/>
      <c r="J307" s="239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240"/>
      <c r="G308" s="239"/>
      <c r="H308" s="239"/>
      <c r="I308" s="239"/>
      <c r="J308" s="239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240"/>
      <c r="G309" s="239"/>
      <c r="H309" s="239"/>
      <c r="I309" s="239"/>
      <c r="J309" s="239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240"/>
      <c r="G310" s="239"/>
      <c r="H310" s="239"/>
      <c r="I310" s="239"/>
      <c r="J310" s="239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240"/>
      <c r="G311" s="239"/>
      <c r="H311" s="239"/>
      <c r="I311" s="239"/>
      <c r="J311" s="239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243"/>
      <c r="G312" s="239"/>
      <c r="H312" s="239"/>
      <c r="I312" s="239"/>
      <c r="J312" s="239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243"/>
      <c r="G313" s="239"/>
      <c r="H313" s="239"/>
      <c r="I313" s="239"/>
      <c r="J313" s="239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243"/>
      <c r="G314" s="239"/>
      <c r="H314" s="239"/>
      <c r="I314" s="239"/>
      <c r="J314" s="239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240"/>
      <c r="G315" s="239"/>
      <c r="H315" s="239"/>
      <c r="I315" s="239"/>
      <c r="J315" s="239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240"/>
      <c r="G316" s="239"/>
      <c r="H316" s="239"/>
      <c r="I316" s="239"/>
      <c r="J316" s="239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45"/>
      <c r="G317" s="239"/>
      <c r="H317" s="239"/>
      <c r="I317" s="239"/>
      <c r="J317" s="239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45"/>
      <c r="G318" s="239"/>
      <c r="H318" s="239"/>
      <c r="I318" s="239"/>
      <c r="J318" s="239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45"/>
      <c r="G319" s="239"/>
      <c r="H319" s="239"/>
      <c r="I319" s="239"/>
      <c r="J319" s="239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240"/>
      <c r="G320" s="239"/>
      <c r="H320" s="239"/>
      <c r="I320" s="239"/>
      <c r="J320" s="239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240"/>
      <c r="G321" s="239"/>
      <c r="H321" s="239"/>
      <c r="I321" s="239"/>
      <c r="J321" s="239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240"/>
      <c r="G322" s="239"/>
      <c r="H322" s="239"/>
      <c r="I322" s="239"/>
      <c r="J322" s="239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240"/>
      <c r="G323" s="239"/>
      <c r="H323" s="239"/>
      <c r="I323" s="239"/>
      <c r="J323" s="239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240"/>
      <c r="G324" s="239"/>
      <c r="H324" s="239"/>
      <c r="I324" s="239"/>
      <c r="J324" s="239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240"/>
      <c r="G325" s="239"/>
      <c r="H325" s="239"/>
      <c r="I325" s="239"/>
      <c r="J325" s="239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240"/>
      <c r="G326" s="239"/>
      <c r="H326" s="239"/>
      <c r="I326" s="239"/>
      <c r="J326" s="239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240"/>
      <c r="G327" s="239"/>
      <c r="H327" s="239"/>
      <c r="I327" s="239"/>
      <c r="J327" s="239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240"/>
      <c r="G328" s="239"/>
      <c r="H328" s="239"/>
      <c r="I328" s="239"/>
      <c r="J328" s="239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240"/>
      <c r="G329" s="239"/>
      <c r="H329" s="239"/>
      <c r="I329" s="239"/>
      <c r="J329" s="239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240"/>
      <c r="G330" s="239"/>
      <c r="H330" s="239"/>
      <c r="I330" s="239"/>
      <c r="J330" s="239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240"/>
      <c r="G331" s="239"/>
      <c r="H331" s="239"/>
      <c r="I331" s="239"/>
      <c r="J331" s="239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240"/>
      <c r="G332" s="239"/>
      <c r="H332" s="239"/>
      <c r="I332" s="239"/>
      <c r="J332" s="239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240"/>
      <c r="G333" s="239"/>
      <c r="H333" s="239"/>
      <c r="I333" s="239"/>
      <c r="J333" s="239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240"/>
      <c r="G334" s="239"/>
      <c r="H334" s="239"/>
      <c r="I334" s="239"/>
      <c r="J334" s="239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240"/>
      <c r="G335" s="239"/>
      <c r="H335" s="239"/>
      <c r="I335" s="239"/>
      <c r="J335" s="239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240"/>
      <c r="G336" s="239"/>
      <c r="H336" s="239"/>
      <c r="I336" s="239"/>
      <c r="J336" s="239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240"/>
      <c r="G337" s="239"/>
      <c r="H337" s="239"/>
      <c r="I337" s="239"/>
      <c r="J337" s="239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240"/>
      <c r="G338" s="239"/>
      <c r="H338" s="239"/>
      <c r="I338" s="239"/>
      <c r="J338" s="239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240"/>
      <c r="G339" s="239"/>
      <c r="H339" s="239"/>
      <c r="I339" s="239"/>
      <c r="J339" s="239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240"/>
      <c r="G340" s="239"/>
      <c r="H340" s="239"/>
      <c r="I340" s="239"/>
      <c r="J340" s="239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240"/>
      <c r="G341" s="239"/>
      <c r="H341" s="239"/>
      <c r="I341" s="239"/>
      <c r="J341" s="239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240"/>
      <c r="G342" s="239"/>
      <c r="H342" s="239"/>
      <c r="I342" s="239"/>
      <c r="J342" s="239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240"/>
      <c r="G343" s="239"/>
      <c r="H343" s="239"/>
      <c r="I343" s="239"/>
      <c r="J343" s="239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240"/>
      <c r="G344" s="239"/>
      <c r="H344" s="239"/>
      <c r="I344" s="239"/>
      <c r="J344" s="239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240"/>
      <c r="G345" s="239"/>
      <c r="H345" s="239"/>
      <c r="I345" s="239"/>
      <c r="J345" s="239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240"/>
      <c r="G346" s="239"/>
      <c r="H346" s="239"/>
      <c r="I346" s="239"/>
      <c r="J346" s="239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240"/>
      <c r="G347" s="239"/>
      <c r="H347" s="239"/>
      <c r="I347" s="239"/>
      <c r="J347" s="239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>
        <v>6503</v>
      </c>
      <c r="C348" s="259" t="s">
        <v>137</v>
      </c>
      <c r="D348" s="260"/>
      <c r="E348" s="166" t="s">
        <v>57</v>
      </c>
      <c r="F348" s="240">
        <v>1599</v>
      </c>
      <c r="G348" s="239">
        <v>3</v>
      </c>
      <c r="H348" s="239"/>
      <c r="I348" s="239">
        <v>3</v>
      </c>
      <c r="J348" s="239"/>
      <c r="K348" s="164">
        <f t="shared" si="38"/>
        <v>1056.8700000000001</v>
      </c>
      <c r="L348" s="164">
        <f t="shared" si="39"/>
        <v>1056.8700000000001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13.206648872360844</v>
      </c>
      <c r="Q348" s="164">
        <v>6</v>
      </c>
      <c r="R348" s="19">
        <f t="shared" si="41"/>
        <v>30</v>
      </c>
      <c r="S348" s="164">
        <f t="shared" si="42"/>
        <v>16.793351127639156</v>
      </c>
      <c r="T348" s="20">
        <v>5</v>
      </c>
      <c r="U348" s="20">
        <v>5</v>
      </c>
      <c r="V348" s="161">
        <f t="array" ref="V348">IF(ISERROR(L348/K348),"",L348/K348)</f>
        <v>1</v>
      </c>
      <c r="W348" s="20"/>
      <c r="X348" s="20"/>
      <c r="Y348" s="20"/>
      <c r="Z348" s="20"/>
      <c r="AA348" s="20">
        <v>2</v>
      </c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28.279999999999998</v>
      </c>
      <c r="H408" s="164">
        <f t="array" ref="H408">SUM(IF(ISERROR(H215:H407),“”,H215:H407))</f>
        <v>2.2749999999999999</v>
      </c>
      <c r="I408" s="164">
        <f t="array" ref="I408">SUM(IF(ISERROR(I215:I407),“”,I215:I407))</f>
        <v>28.274999999999999</v>
      </c>
      <c r="J408" s="164">
        <f t="array" ref="J408">SUM(IF(ISERROR(J215:J407),“”,J215:J407))</f>
        <v>0</v>
      </c>
      <c r="K408" s="164">
        <f t="array" ref="K408">SUM(IF(ISERROR(K215:K407),“”,K215:K407))</f>
        <v>12705.632000000003</v>
      </c>
      <c r="L408" s="117">
        <f>SUM(L215:L399)</f>
        <v>12703.540000000003</v>
      </c>
      <c r="M408" s="164"/>
      <c r="N408" s="164"/>
      <c r="O408" s="164">
        <f t="array" ref="O408">SUM(IF(ISERROR(O215:O407),“”,O215:O407))</f>
        <v>0.5</v>
      </c>
      <c r="P408" s="56">
        <f>SUM((P215:P399),(W413:X418))</f>
        <v>199.70830940695333</v>
      </c>
      <c r="Q408" s="164"/>
      <c r="R408" s="56">
        <f>SUM((R215:R399),(Y413:Z418))</f>
        <v>207</v>
      </c>
      <c r="S408" s="164">
        <f t="array" ref="S408">SUM(IF(ISERROR(S215:S407),“”,S215:S407))</f>
        <v>7.29169059304669</v>
      </c>
      <c r="T408" s="164"/>
      <c r="U408" s="164"/>
      <c r="V408" s="161">
        <f t="array" ref="V408">IF(ISERROR(L408/K408),"",L408/K408)</f>
        <v>0.99983534860760959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10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0.96477444157948467</v>
      </c>
      <c r="P409" s="274"/>
      <c r="Q409" s="274"/>
      <c r="R409" s="275"/>
      <c r="S409" s="44"/>
      <c r="T409" s="45"/>
      <c r="U409" s="45"/>
      <c r="V409" s="45"/>
      <c r="W409" s="276">
        <f>SUM(W408:AC408)</f>
        <v>10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62.5</v>
      </c>
      <c r="F411" s="279"/>
      <c r="G411" s="279">
        <v>62.5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2181</v>
      </c>
      <c r="F412" s="279"/>
      <c r="G412" s="279">
        <v>2381</v>
      </c>
      <c r="H412" s="279"/>
      <c r="I412" s="279">
        <f>G412-E412</f>
        <v>200</v>
      </c>
      <c r="J412" s="279"/>
      <c r="K412" s="281">
        <f t="array" ref="K412">IF(ISERROR(I412/E412),"",I412/E412)</f>
        <v>9.170105456212746E-2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16</v>
      </c>
      <c r="T412" s="284"/>
      <c r="U412" s="284">
        <v>17</v>
      </c>
      <c r="V412" s="284"/>
      <c r="W412" s="283">
        <f>S412*9</f>
        <v>144</v>
      </c>
      <c r="X412" s="283"/>
      <c r="Y412" s="283">
        <f>U412*9</f>
        <v>153</v>
      </c>
      <c r="Z412" s="283"/>
      <c r="AA412" s="283">
        <f t="shared" ref="AA412:AA419" si="59">Y412-W412</f>
        <v>9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183</v>
      </c>
      <c r="F413" s="279"/>
      <c r="G413" s="279">
        <v>183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4</v>
      </c>
      <c r="T413" s="284"/>
      <c r="U413" s="284">
        <v>5</v>
      </c>
      <c r="V413" s="284"/>
      <c r="W413" s="283">
        <f t="shared" ref="W413:W419" si="60">S413*9</f>
        <v>36</v>
      </c>
      <c r="X413" s="283"/>
      <c r="Y413" s="283">
        <f t="shared" ref="Y413:Y419" si="61">U413*9</f>
        <v>45</v>
      </c>
      <c r="Z413" s="283"/>
      <c r="AA413" s="283">
        <f t="shared" si="59"/>
        <v>9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0</v>
      </c>
      <c r="V414" s="284"/>
      <c r="W414" s="283">
        <f t="shared" si="60"/>
        <v>6.75</v>
      </c>
      <c r="X414" s="283"/>
      <c r="Y414" s="283">
        <f t="shared" si="61"/>
        <v>0</v>
      </c>
      <c r="Z414" s="283"/>
      <c r="AA414" s="283">
        <f t="shared" si="59"/>
        <v>-6.75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151490</v>
      </c>
      <c r="H415" s="324"/>
      <c r="I415" s="325">
        <v>151197</v>
      </c>
      <c r="J415" s="326"/>
      <c r="K415" s="289">
        <f>G415-I415</f>
        <v>293</v>
      </c>
      <c r="L415" s="289"/>
      <c r="M415" s="290">
        <f t="array" ref="M415">IF(ISERROR(K415/L408),"",K415/(L408/1000))</f>
        <v>23.064437156886974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6.75</v>
      </c>
      <c r="X415" s="283"/>
      <c r="Y415" s="283">
        <f t="shared" si="61"/>
        <v>9</v>
      </c>
      <c r="Z415" s="283"/>
      <c r="AA415" s="283">
        <f t="shared" si="59"/>
        <v>2.25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45037*60+28711.8*120</f>
        <v>6147636</v>
      </c>
      <c r="H416" s="323"/>
      <c r="I416" s="322">
        <v>6144672</v>
      </c>
      <c r="J416" s="323"/>
      <c r="K416" s="289">
        <f>G416-I416</f>
        <v>2964</v>
      </c>
      <c r="L416" s="289"/>
      <c r="M416" s="290">
        <f t="array" ref="M416">IF(ISERROR(K416/L408),"",K416/(L408/1000))</f>
        <v>233.32079089765526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1</v>
      </c>
      <c r="V416" s="284"/>
      <c r="W416" s="283">
        <f t="shared" si="60"/>
        <v>13.5</v>
      </c>
      <c r="X416" s="283"/>
      <c r="Y416" s="283">
        <f t="shared" si="61"/>
        <v>9</v>
      </c>
      <c r="Z416" s="283"/>
      <c r="AA416" s="283">
        <f t="shared" si="59"/>
        <v>-4.5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+I417+14</f>
        <v>27096</v>
      </c>
      <c r="H417" s="324"/>
      <c r="I417" s="327">
        <v>27082</v>
      </c>
      <c r="J417" s="328"/>
      <c r="K417" s="289">
        <f>G417-I417</f>
        <v>14</v>
      </c>
      <c r="L417" s="289"/>
      <c r="M417" s="293">
        <f t="array" ref="M417">IF(ISERROR(K417/L408),"",K417/(L408/1000))</f>
        <v>1.1020550177352137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9</v>
      </c>
      <c r="X417" s="283"/>
      <c r="Y417" s="283">
        <f t="shared" si="61"/>
        <v>9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v>3.04</v>
      </c>
      <c r="L418" s="301"/>
      <c r="M418" s="294">
        <f t="array" ref="M418">IF(ISERROR((K418+K419)/L408),"",((K418+K419)*1000)/(L408/1000))</f>
        <v>239.30337527964642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3</v>
      </c>
      <c r="V418" s="284"/>
      <c r="W418" s="283">
        <f t="shared" si="60"/>
        <v>27</v>
      </c>
      <c r="X418" s="283"/>
      <c r="Y418" s="283">
        <f t="shared" si="61"/>
        <v>27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27</v>
      </c>
      <c r="T419" s="284"/>
      <c r="U419" s="284">
        <f>SUM(U412:V418)</f>
        <v>28</v>
      </c>
      <c r="V419" s="284"/>
      <c r="W419" s="283">
        <f t="shared" si="60"/>
        <v>243</v>
      </c>
      <c r="X419" s="283"/>
      <c r="Y419" s="283">
        <f t="shared" si="61"/>
        <v>252</v>
      </c>
      <c r="Z419" s="283"/>
      <c r="AA419" s="283">
        <f t="shared" si="59"/>
        <v>9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4.6052631578947372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50.41087301587303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33857.078000000001</v>
      </c>
      <c r="D423" s="337"/>
      <c r="E423" s="333" t="s">
        <v>226</v>
      </c>
      <c r="F423" s="333"/>
      <c r="G423" s="333">
        <f>L199+L408</f>
        <v>33800.396000000001</v>
      </c>
      <c r="H423" s="333"/>
      <c r="I423" s="340" t="s">
        <v>227</v>
      </c>
      <c r="J423" s="340"/>
      <c r="K423" s="339">
        <f>IF(ISERROR(G423/C423),"",G423/C423)</f>
        <v>0.99832584489423448</v>
      </c>
      <c r="L423" s="339"/>
      <c r="M423" s="333" t="s">
        <v>228</v>
      </c>
      <c r="N423" s="333"/>
      <c r="O423" s="334">
        <f>IF(ISERROR(G423/G424),"",G423/G424)</f>
        <v>66.145589041095889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496.81554032540106</v>
      </c>
      <c r="D424" s="337"/>
      <c r="E424" s="338" t="s">
        <v>18</v>
      </c>
      <c r="F424" s="338"/>
      <c r="G424" s="333">
        <f>R199+R408</f>
        <v>511</v>
      </c>
      <c r="H424" s="333"/>
      <c r="I424" s="313" t="s">
        <v>176</v>
      </c>
      <c r="J424" s="313"/>
      <c r="K424" s="339">
        <f>IF(ISERROR(C424/G424),"",C424/G424)</f>
        <v>0.97224176188923883</v>
      </c>
      <c r="L424" s="339"/>
      <c r="M424" s="279" t="s">
        <v>230</v>
      </c>
      <c r="N424" s="279"/>
      <c r="O424" s="333">
        <f>W200+W409</f>
        <v>13</v>
      </c>
      <c r="P424" s="279"/>
      <c r="Q424" s="279" t="s">
        <v>231</v>
      </c>
      <c r="R424" s="279"/>
      <c r="S424" s="339">
        <f t="array" ref="S424">IF(ISERROR(O424/G424),"",O424/G424)</f>
        <v>2.5440313111545987E-2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394</v>
      </c>
      <c r="D426" s="337"/>
      <c r="E426" s="333" t="s">
        <v>234</v>
      </c>
      <c r="F426" s="333"/>
      <c r="G426" s="293">
        <f t="array" ref="G426">IF(ISERROR(C426/G423),"",C426/(G423/1000))</f>
        <v>11.656668164479493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4584</v>
      </c>
      <c r="D427" s="337"/>
      <c r="E427" s="333" t="s">
        <v>236</v>
      </c>
      <c r="F427" s="333"/>
      <c r="G427" s="293">
        <f>IF(ISERROR(C427/G423),"",C427/(G423/1000))</f>
        <v>135.61971285780203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30</v>
      </c>
      <c r="D428" s="337"/>
      <c r="E428" s="333" t="s">
        <v>238</v>
      </c>
      <c r="F428" s="333"/>
      <c r="G428" s="293">
        <f>IF(ISERROR(C428/G423),"",C428/(G423/1000))</f>
        <v>0.88756356582331164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6.5600000000000005</v>
      </c>
      <c r="D429" s="337"/>
      <c r="E429" s="333" t="s">
        <v>240</v>
      </c>
      <c r="F429" s="333"/>
      <c r="G429" s="341">
        <f>IF(ISERROR(C429/G423),"",C429/(G423/1000))</f>
        <v>0.19408056639336416</v>
      </c>
      <c r="H429" s="341"/>
      <c r="I429" s="333" t="s">
        <v>241</v>
      </c>
      <c r="J429" s="333"/>
      <c r="K429" s="342">
        <f>IF(ISERROR(C428/C429),"",C428/C429)</f>
        <v>4.5731707317073171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200</v>
      </c>
      <c r="D432" s="346"/>
      <c r="E432" s="333" t="s">
        <v>247</v>
      </c>
      <c r="F432" s="351"/>
      <c r="G432" s="347">
        <f>+G411+G202</f>
        <v>200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6150.2</v>
      </c>
      <c r="D433" s="346"/>
      <c r="E433" s="333" t="s">
        <v>251</v>
      </c>
      <c r="F433" s="333"/>
      <c r="G433" s="347">
        <f>+G412+G203</f>
        <v>6581.2</v>
      </c>
      <c r="H433" s="348"/>
      <c r="I433" s="333" t="s">
        <v>252</v>
      </c>
      <c r="J433" s="333"/>
      <c r="K433" s="315">
        <f>G433-C433</f>
        <v>431</v>
      </c>
      <c r="L433" s="317"/>
      <c r="M433" s="349" t="s">
        <v>253</v>
      </c>
      <c r="N433" s="350"/>
      <c r="O433" s="343">
        <f t="array" ref="O433">IF(ISERROR(K433/C433),"",K433/C433)</f>
        <v>7.0079021820428605E-2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723</v>
      </c>
      <c r="D434" s="346"/>
      <c r="E434" s="333" t="s">
        <v>255</v>
      </c>
      <c r="F434" s="351"/>
      <c r="G434" s="347">
        <f>+G413+G204</f>
        <v>723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D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26</v>
      </c>
      <c r="D440" s="67">
        <v>26</v>
      </c>
      <c r="E440" s="153"/>
      <c r="F440" s="153"/>
      <c r="G440" s="153"/>
      <c r="H440" s="154">
        <v>7</v>
      </c>
      <c r="I440" s="154">
        <v>6</v>
      </c>
      <c r="J440" s="83">
        <f t="shared" si="63"/>
        <v>13</v>
      </c>
      <c r="K440" s="67">
        <v>3</v>
      </c>
      <c r="L440" s="67"/>
      <c r="M440" s="67"/>
      <c r="N440" s="67"/>
      <c r="O440" s="67"/>
      <c r="P440" s="118"/>
      <c r="Q440" s="83">
        <f t="shared" si="64"/>
        <v>10</v>
      </c>
      <c r="R440" s="158">
        <f t="shared" si="65"/>
        <v>110</v>
      </c>
      <c r="S440" s="101">
        <f t="array" ref="S440">IF(ISERROR(Q440/J440),"",Q440/J440)</f>
        <v>0.76923076923076927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D452" si="66">SUM(D443:F443)-O443-P443-G443</f>
        <v>45</v>
      </c>
      <c r="D443" s="68">
        <v>45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7</v>
      </c>
      <c r="I443" s="68">
        <f t="shared" si="67"/>
        <v>6</v>
      </c>
      <c r="J443" s="84">
        <f t="shared" si="63"/>
        <v>32</v>
      </c>
      <c r="K443" s="68">
        <f t="shared" si="67"/>
        <v>3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29</v>
      </c>
      <c r="R443" s="158">
        <f t="shared" si="65"/>
        <v>319</v>
      </c>
      <c r="S443" s="120">
        <f t="array" ref="S443">IF(ISERROR(Q443/J443),"",Q443/J443)</f>
        <v>0.90625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22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14</v>
      </c>
      <c r="K447" s="67">
        <v>2</v>
      </c>
      <c r="L447" s="67"/>
      <c r="M447" s="67"/>
      <c r="N447" s="67"/>
      <c r="O447" s="67"/>
      <c r="P447" s="67">
        <v>2</v>
      </c>
      <c r="Q447" s="83">
        <f t="shared" si="64"/>
        <v>12</v>
      </c>
      <c r="R447" s="158">
        <f t="shared" si="68"/>
        <v>138</v>
      </c>
      <c r="S447" s="101">
        <f t="array" ref="S447">IF(ISERROR(Q447/J447),"",Q447/J447)</f>
        <v>0.8571428571428571</v>
      </c>
      <c r="T447" s="101">
        <f t="array" ref="T447">IF(ISERROR((O447:P447)/C447),"",SUM(O447:P447)/C447)</f>
        <v>9.0909090909090912E-2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38</v>
      </c>
      <c r="D450" s="69">
        <v>40</v>
      </c>
      <c r="E450" s="69">
        <f t="shared" ref="D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8</v>
      </c>
      <c r="J450" s="85">
        <f t="shared" si="63"/>
        <v>30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2</v>
      </c>
      <c r="Q450" s="83">
        <f t="shared" si="64"/>
        <v>28</v>
      </c>
      <c r="R450" s="158">
        <f t="shared" si="68"/>
        <v>322</v>
      </c>
      <c r="S450" s="122">
        <f t="array" ref="S450">IF(ISERROR(Q450/J450),"",Q450/J450)</f>
        <v>0.93333333333333335</v>
      </c>
      <c r="T450" s="122">
        <f t="array" ref="T450">IF(ISERROR((O450:P450)/C450),"",SUM(O450:P450)/C450)</f>
        <v>5.2631578947368418E-2</v>
      </c>
      <c r="U450" s="101">
        <f t="array" ref="U450">IF(ISERROR((O450:P450)/C450),"",SUM(O450:P450)/C450)</f>
        <v>5.2631578947368418E-2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55</v>
      </c>
      <c r="D452" s="69">
        <v>57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7</v>
      </c>
      <c r="I452" s="69">
        <f>+I443+I450+I451</f>
        <v>14</v>
      </c>
      <c r="J452" s="85">
        <f t="shared" si="63"/>
        <v>34</v>
      </c>
      <c r="K452" s="69">
        <f t="shared" ref="K452:P452" si="71">+K443+K450+K451</f>
        <v>5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2</v>
      </c>
      <c r="Q452" s="83">
        <f t="shared" si="64"/>
        <v>29</v>
      </c>
      <c r="R452" s="67">
        <f>R443+R450+R451</f>
        <v>663</v>
      </c>
      <c r="S452" s="123">
        <f t="array" ref="S452">IF(ISERROR(Q452/J452),"",Q452/J452)</f>
        <v>0.8529411764705882</v>
      </c>
      <c r="T452" s="167">
        <f t="array" ref="T452">IF(ISERROR((O452:P452)/C452),"",SUM(O452:P452)/C452)</f>
        <v>3.6363636363636362E-2</v>
      </c>
      <c r="U452" s="101">
        <f t="array" ref="U452">IF(ISERROR((O452:P452)/C452),"",SUM(O452:P452)/C452)</f>
        <v>3.6363636363636362E-2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selection activeCell="G24" sqref="G24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0"/>
  <dimension ref="A1:AC454"/>
  <sheetViews>
    <sheetView topLeftCell="A58" workbookViewId="0">
      <selection activeCell="G11" sqref="G1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35" t="s">
        <v>25</v>
      </c>
      <c r="S5" s="249"/>
      <c r="T5" s="251"/>
      <c r="U5" s="251"/>
      <c r="V5" s="25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61" t="s">
        <v>34</v>
      </c>
      <c r="D6" s="26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customHeight="1">
      <c r="A7" s="142">
        <v>300318</v>
      </c>
      <c r="B7" s="135" t="s">
        <v>33</v>
      </c>
      <c r="C7" s="261" t="s">
        <v>34</v>
      </c>
      <c r="D7" s="26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customHeight="1">
      <c r="A8" s="142">
        <v>300319</v>
      </c>
      <c r="B8" s="135" t="s">
        <v>33</v>
      </c>
      <c r="C8" s="261" t="s">
        <v>34</v>
      </c>
      <c r="D8" s="26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customHeight="1">
      <c r="A9" s="142">
        <v>300316</v>
      </c>
      <c r="B9" s="135" t="s">
        <v>33</v>
      </c>
      <c r="C9" s="261" t="s">
        <v>34</v>
      </c>
      <c r="D9" s="26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customHeight="1">
      <c r="A10" s="142">
        <v>300317</v>
      </c>
      <c r="B10" s="135" t="s">
        <v>33</v>
      </c>
      <c r="C10" s="248" t="s">
        <v>34</v>
      </c>
      <c r="D10" s="24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customHeight="1">
      <c r="A11" s="142">
        <v>300315</v>
      </c>
      <c r="B11" s="135" t="s">
        <v>33</v>
      </c>
      <c r="C11" s="248" t="s">
        <v>34</v>
      </c>
      <c r="D11" s="24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customHeight="1">
      <c r="A12" s="142">
        <v>300314</v>
      </c>
      <c r="B12" s="135" t="s">
        <v>33</v>
      </c>
      <c r="C12" s="248" t="s">
        <v>34</v>
      </c>
      <c r="D12" s="24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customHeight="1">
      <c r="A13" s="142">
        <v>300313</v>
      </c>
      <c r="B13" s="135" t="s">
        <v>33</v>
      </c>
      <c r="C13" s="248" t="s">
        <v>34</v>
      </c>
      <c r="D13" s="24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customHeight="1">
      <c r="A14" s="142"/>
      <c r="B14" s="135" t="s">
        <v>43</v>
      </c>
      <c r="C14" s="259" t="s">
        <v>313</v>
      </c>
      <c r="D14" s="26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customHeight="1">
      <c r="A15" s="142"/>
      <c r="B15" s="135" t="s">
        <v>43</v>
      </c>
      <c r="C15" s="259" t="s">
        <v>313</v>
      </c>
      <c r="D15" s="26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customHeight="1">
      <c r="A16" s="135">
        <v>300202</v>
      </c>
      <c r="B16" s="135" t="s">
        <v>43</v>
      </c>
      <c r="C16" s="259" t="s">
        <v>44</v>
      </c>
      <c r="D16" s="26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35">
        <v>300203</v>
      </c>
      <c r="B17" s="135" t="s">
        <v>43</v>
      </c>
      <c r="C17" s="259" t="s">
        <v>44</v>
      </c>
      <c r="D17" s="26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35">
        <v>300204</v>
      </c>
      <c r="B18" s="135" t="s">
        <v>43</v>
      </c>
      <c r="C18" s="259" t="s">
        <v>44</v>
      </c>
      <c r="D18" s="26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42">
        <v>300269</v>
      </c>
      <c r="B19" s="135" t="s">
        <v>43</v>
      </c>
      <c r="C19" s="248" t="s">
        <v>45</v>
      </c>
      <c r="D19" s="24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42"/>
      <c r="B20" s="135"/>
      <c r="C20" s="248" t="s">
        <v>46</v>
      </c>
      <c r="D20" s="24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42">
        <v>300350</v>
      </c>
      <c r="B21" s="135" t="s">
        <v>43</v>
      </c>
      <c r="C21" s="248" t="s">
        <v>48</v>
      </c>
      <c r="D21" s="24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42">
        <v>300113</v>
      </c>
      <c r="B22" s="135" t="s">
        <v>43</v>
      </c>
      <c r="C22" s="248" t="s">
        <v>50</v>
      </c>
      <c r="D22" s="24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42">
        <v>300114</v>
      </c>
      <c r="B23" s="135" t="s">
        <v>43</v>
      </c>
      <c r="C23" s="248" t="s">
        <v>50</v>
      </c>
      <c r="D23" s="24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42">
        <v>300115</v>
      </c>
      <c r="B24" s="135" t="s">
        <v>43</v>
      </c>
      <c r="C24" s="248" t="s">
        <v>50</v>
      </c>
      <c r="D24" s="24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 t="s">
        <v>43</v>
      </c>
      <c r="C25" s="248" t="s">
        <v>51</v>
      </c>
      <c r="D25" s="248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42">
        <v>300012</v>
      </c>
      <c r="B26" s="135" t="s">
        <v>43</v>
      </c>
      <c r="C26" s="248" t="s">
        <v>51</v>
      </c>
      <c r="D26" s="248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42">
        <v>300013</v>
      </c>
      <c r="B27" s="135" t="s">
        <v>43</v>
      </c>
      <c r="C27" s="248" t="s">
        <v>51</v>
      </c>
      <c r="D27" s="248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42">
        <v>300016</v>
      </c>
      <c r="B28" s="135" t="s">
        <v>43</v>
      </c>
      <c r="C28" s="248" t="s">
        <v>51</v>
      </c>
      <c r="D28" s="248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38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42">
        <v>300276</v>
      </c>
      <c r="B30" s="135" t="s">
        <v>43</v>
      </c>
      <c r="C30" s="248" t="s">
        <v>53</v>
      </c>
      <c r="D30" s="248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42">
        <v>300277</v>
      </c>
      <c r="B31" s="135" t="s">
        <v>43</v>
      </c>
      <c r="C31" s="248" t="s">
        <v>53</v>
      </c>
      <c r="D31" s="248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42">
        <v>300278</v>
      </c>
      <c r="B32" s="135" t="s">
        <v>43</v>
      </c>
      <c r="C32" s="248" t="s">
        <v>53</v>
      </c>
      <c r="D32" s="248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42">
        <v>300027</v>
      </c>
      <c r="B33" s="135" t="s">
        <v>55</v>
      </c>
      <c r="C33" s="248" t="s">
        <v>56</v>
      </c>
      <c r="D33" s="248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42">
        <v>300028</v>
      </c>
      <c r="B34" s="135" t="s">
        <v>55</v>
      </c>
      <c r="C34" s="248" t="s">
        <v>56</v>
      </c>
      <c r="D34" s="248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42">
        <v>300029</v>
      </c>
      <c r="B35" s="135" t="s">
        <v>55</v>
      </c>
      <c r="C35" s="248" t="s">
        <v>56</v>
      </c>
      <c r="D35" s="248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42">
        <v>300026</v>
      </c>
      <c r="B36" s="135" t="s">
        <v>55</v>
      </c>
      <c r="C36" s="248" t="s">
        <v>56</v>
      </c>
      <c r="D36" s="248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42">
        <v>300032</v>
      </c>
      <c r="B37" s="135">
        <v>3002</v>
      </c>
      <c r="C37" s="248" t="s">
        <v>58</v>
      </c>
      <c r="D37" s="248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42">
        <v>300413</v>
      </c>
      <c r="B38" s="135">
        <v>3002</v>
      </c>
      <c r="C38" s="259" t="s">
        <v>304</v>
      </c>
      <c r="D38" s="260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customHeight="1">
      <c r="A39" s="142">
        <v>300414</v>
      </c>
      <c r="B39" s="135">
        <v>3002</v>
      </c>
      <c r="C39" s="259" t="s">
        <v>304</v>
      </c>
      <c r="D39" s="260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customHeight="1">
      <c r="A40" s="142">
        <v>300415</v>
      </c>
      <c r="B40" s="135">
        <v>3002</v>
      </c>
      <c r="C40" s="259" t="s">
        <v>304</v>
      </c>
      <c r="D40" s="260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customHeight="1">
      <c r="A41" s="142">
        <v>300035</v>
      </c>
      <c r="B41" s="135" t="s">
        <v>60</v>
      </c>
      <c r="C41" s="248" t="s">
        <v>61</v>
      </c>
      <c r="D41" s="248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42">
        <v>300036</v>
      </c>
      <c r="B42" s="135" t="s">
        <v>60</v>
      </c>
      <c r="C42" s="248" t="s">
        <v>61</v>
      </c>
      <c r="D42" s="248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42">
        <v>300037</v>
      </c>
      <c r="B43" s="135" t="s">
        <v>60</v>
      </c>
      <c r="C43" s="248" t="s">
        <v>61</v>
      </c>
      <c r="D43" s="248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42">
        <v>300038</v>
      </c>
      <c r="B44" s="135" t="s">
        <v>60</v>
      </c>
      <c r="C44" s="248" t="s">
        <v>64</v>
      </c>
      <c r="D44" s="248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42">
        <v>300039</v>
      </c>
      <c r="B45" s="135" t="s">
        <v>60</v>
      </c>
      <c r="C45" s="248" t="s">
        <v>64</v>
      </c>
      <c r="D45" s="248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42">
        <v>300416</v>
      </c>
      <c r="B46" s="135" t="s">
        <v>67</v>
      </c>
      <c r="C46" s="259" t="s">
        <v>68</v>
      </c>
      <c r="D46" s="260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42">
        <v>300417</v>
      </c>
      <c r="B47" s="135" t="s">
        <v>67</v>
      </c>
      <c r="C47" s="259" t="s">
        <v>68</v>
      </c>
      <c r="D47" s="260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42">
        <v>300418</v>
      </c>
      <c r="B48" s="135" t="s">
        <v>67</v>
      </c>
      <c r="C48" s="259" t="s">
        <v>68</v>
      </c>
      <c r="D48" s="260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42">
        <v>300419</v>
      </c>
      <c r="B49" s="135" t="s">
        <v>67</v>
      </c>
      <c r="C49" s="259" t="s">
        <v>68</v>
      </c>
      <c r="D49" s="260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customHeight="1">
      <c r="A50" s="142">
        <v>300260</v>
      </c>
      <c r="B50" s="135" t="s">
        <v>67</v>
      </c>
      <c r="C50" s="248" t="s">
        <v>73</v>
      </c>
      <c r="D50" s="248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42">
        <v>300261</v>
      </c>
      <c r="B51" s="135" t="s">
        <v>67</v>
      </c>
      <c r="C51" s="248" t="s">
        <v>73</v>
      </c>
      <c r="D51" s="248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42">
        <v>300262</v>
      </c>
      <c r="B52" s="135" t="s">
        <v>67</v>
      </c>
      <c r="C52" s="248" t="s">
        <v>73</v>
      </c>
      <c r="D52" s="248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42">
        <v>300263</v>
      </c>
      <c r="B53" s="135" t="s">
        <v>67</v>
      </c>
      <c r="C53" s="248" t="s">
        <v>73</v>
      </c>
      <c r="D53" s="248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42">
        <v>300051</v>
      </c>
      <c r="B54" s="135" t="s">
        <v>67</v>
      </c>
      <c r="C54" s="248" t="s">
        <v>75</v>
      </c>
      <c r="D54" s="248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42">
        <v>300052</v>
      </c>
      <c r="B55" s="135" t="s">
        <v>67</v>
      </c>
      <c r="C55" s="248" t="s">
        <v>75</v>
      </c>
      <c r="D55" s="248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42">
        <v>300054</v>
      </c>
      <c r="B56" s="135" t="s">
        <v>67</v>
      </c>
      <c r="C56" s="248" t="s">
        <v>75</v>
      </c>
      <c r="D56" s="248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38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42">
        <v>300050</v>
      </c>
      <c r="B58" s="135" t="s">
        <v>67</v>
      </c>
      <c r="C58" s="248" t="s">
        <v>77</v>
      </c>
      <c r="D58" s="248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42">
        <v>300045</v>
      </c>
      <c r="B59" s="135" t="s">
        <v>67</v>
      </c>
      <c r="C59" s="248" t="s">
        <v>77</v>
      </c>
      <c r="D59" s="248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42">
        <v>300422</v>
      </c>
      <c r="B60" s="135" t="s">
        <v>67</v>
      </c>
      <c r="C60" s="259" t="s">
        <v>301</v>
      </c>
      <c r="D60" s="260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customHeight="1">
      <c r="A61" s="142">
        <v>300421</v>
      </c>
      <c r="B61" s="135" t="s">
        <v>67</v>
      </c>
      <c r="C61" s="259" t="s">
        <v>301</v>
      </c>
      <c r="D61" s="260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customHeight="1">
      <c r="A62" s="142">
        <v>300149</v>
      </c>
      <c r="B62" s="135" t="s">
        <v>67</v>
      </c>
      <c r="C62" s="248" t="s">
        <v>81</v>
      </c>
      <c r="D62" s="248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42">
        <v>300150</v>
      </c>
      <c r="B63" s="135" t="s">
        <v>67</v>
      </c>
      <c r="C63" s="248" t="s">
        <v>81</v>
      </c>
      <c r="D63" s="248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42">
        <v>300330</v>
      </c>
      <c r="B64" s="135" t="s">
        <v>67</v>
      </c>
      <c r="C64" s="259" t="s">
        <v>83</v>
      </c>
      <c r="D64" s="260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42">
        <v>300331</v>
      </c>
      <c r="B65" s="135" t="s">
        <v>67</v>
      </c>
      <c r="C65" s="259" t="s">
        <v>83</v>
      </c>
      <c r="D65" s="260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customHeight="1">
      <c r="A66" s="142">
        <v>300332</v>
      </c>
      <c r="B66" s="135" t="s">
        <v>67</v>
      </c>
      <c r="C66" s="259" t="s">
        <v>83</v>
      </c>
      <c r="D66" s="260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customHeight="1">
      <c r="A67" s="142">
        <v>300333</v>
      </c>
      <c r="B67" s="135" t="s">
        <v>67</v>
      </c>
      <c r="C67" s="259" t="s">
        <v>86</v>
      </c>
      <c r="D67" s="260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customHeight="1">
      <c r="A68" s="142">
        <v>300334</v>
      </c>
      <c r="B68" s="135" t="s">
        <v>67</v>
      </c>
      <c r="C68" s="259" t="s">
        <v>86</v>
      </c>
      <c r="D68" s="260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customHeight="1">
      <c r="A69" s="142">
        <v>300335</v>
      </c>
      <c r="B69" s="135" t="s">
        <v>67</v>
      </c>
      <c r="C69" s="259" t="s">
        <v>86</v>
      </c>
      <c r="D69" s="260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customHeight="1">
      <c r="A70" s="142">
        <v>300291</v>
      </c>
      <c r="B70" s="135" t="s">
        <v>87</v>
      </c>
      <c r="C70" s="248" t="s">
        <v>88</v>
      </c>
      <c r="D70" s="248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42">
        <v>300292</v>
      </c>
      <c r="B71" s="135" t="s">
        <v>87</v>
      </c>
      <c r="C71" s="248" t="s">
        <v>88</v>
      </c>
      <c r="D71" s="248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42">
        <v>300293</v>
      </c>
      <c r="B72" s="135" t="s">
        <v>87</v>
      </c>
      <c r="C72" s="248" t="s">
        <v>88</v>
      </c>
      <c r="D72" s="248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42">
        <v>300290</v>
      </c>
      <c r="B73" s="135" t="s">
        <v>87</v>
      </c>
      <c r="C73" s="248" t="s">
        <v>88</v>
      </c>
      <c r="D73" s="248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42">
        <v>300058</v>
      </c>
      <c r="B75" s="135" t="s">
        <v>87</v>
      </c>
      <c r="C75" s="248" t="s">
        <v>316</v>
      </c>
      <c r="D75" s="248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42">
        <v>300061</v>
      </c>
      <c r="B76" s="135" t="s">
        <v>92</v>
      </c>
      <c r="C76" s="248" t="s">
        <v>317</v>
      </c>
      <c r="D76" s="248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42">
        <v>300064</v>
      </c>
      <c r="B77" s="135">
        <v>5002</v>
      </c>
      <c r="C77" s="248" t="s">
        <v>317</v>
      </c>
      <c r="D77" s="248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35" t="s">
        <v>87</v>
      </c>
      <c r="C78" s="248" t="s">
        <v>317</v>
      </c>
      <c r="D78" s="248" t="s">
        <v>96</v>
      </c>
      <c r="E78" s="148" t="s">
        <v>57</v>
      </c>
      <c r="F78" s="13"/>
      <c r="G78" s="110"/>
      <c r="H78" s="110"/>
      <c r="I78" s="110"/>
      <c r="J78" s="110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42">
        <v>300068</v>
      </c>
      <c r="B79" s="135" t="s">
        <v>87</v>
      </c>
      <c r="C79" s="248" t="s">
        <v>98</v>
      </c>
      <c r="D79" s="248" t="s">
        <v>99</v>
      </c>
      <c r="E79" s="148" t="s">
        <v>37</v>
      </c>
      <c r="F79" s="13"/>
      <c r="G79" s="110"/>
      <c r="H79" s="110"/>
      <c r="I79" s="110"/>
      <c r="J79" s="110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42">
        <v>300065</v>
      </c>
      <c r="B80" s="135" t="s">
        <v>87</v>
      </c>
      <c r="C80" s="248" t="s">
        <v>98</v>
      </c>
      <c r="D80" s="248" t="s">
        <v>99</v>
      </c>
      <c r="E80" s="148" t="s">
        <v>35</v>
      </c>
      <c r="F80" s="13"/>
      <c r="G80" s="110"/>
      <c r="H80" s="110"/>
      <c r="I80" s="110"/>
      <c r="J80" s="110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42">
        <v>300066</v>
      </c>
      <c r="B81" s="135" t="s">
        <v>87</v>
      </c>
      <c r="C81" s="248" t="s">
        <v>98</v>
      </c>
      <c r="D81" s="248" t="s">
        <v>99</v>
      </c>
      <c r="E81" s="148" t="s">
        <v>66</v>
      </c>
      <c r="F81" s="13"/>
      <c r="G81" s="110"/>
      <c r="H81" s="110"/>
      <c r="I81" s="110"/>
      <c r="J81" s="110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customHeight="1">
      <c r="A82" s="142">
        <v>300067</v>
      </c>
      <c r="B82" s="135" t="s">
        <v>87</v>
      </c>
      <c r="C82" s="248" t="s">
        <v>98</v>
      </c>
      <c r="D82" s="248" t="s">
        <v>99</v>
      </c>
      <c r="E82" s="148" t="s">
        <v>41</v>
      </c>
      <c r="F82" s="13"/>
      <c r="G82" s="110"/>
      <c r="H82" s="110"/>
      <c r="I82" s="110"/>
      <c r="J82" s="110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38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42">
        <v>300384</v>
      </c>
      <c r="B84" s="135" t="s">
        <v>87</v>
      </c>
      <c r="C84" s="248" t="s">
        <v>100</v>
      </c>
      <c r="D84" s="248" t="s">
        <v>101</v>
      </c>
      <c r="E84" s="148" t="s">
        <v>35</v>
      </c>
      <c r="F84" s="147"/>
      <c r="G84" s="110"/>
      <c r="H84" s="110"/>
      <c r="I84" s="110"/>
      <c r="J84" s="110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42">
        <v>300383</v>
      </c>
      <c r="B85" s="135" t="s">
        <v>87</v>
      </c>
      <c r="C85" s="248" t="s">
        <v>100</v>
      </c>
      <c r="D85" s="248" t="s">
        <v>102</v>
      </c>
      <c r="E85" s="148" t="s">
        <v>41</v>
      </c>
      <c r="F85" s="147"/>
      <c r="G85" s="110"/>
      <c r="H85" s="110"/>
      <c r="I85" s="110"/>
      <c r="J85" s="110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42">
        <v>300386</v>
      </c>
      <c r="B86" s="135" t="s">
        <v>87</v>
      </c>
      <c r="C86" s="248" t="s">
        <v>100</v>
      </c>
      <c r="D86" s="248" t="s">
        <v>103</v>
      </c>
      <c r="E86" s="148" t="s">
        <v>66</v>
      </c>
      <c r="F86" s="147"/>
      <c r="G86" s="110"/>
      <c r="H86" s="110"/>
      <c r="I86" s="110"/>
      <c r="J86" s="110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42">
        <v>300385</v>
      </c>
      <c r="B87" s="135" t="s">
        <v>87</v>
      </c>
      <c r="C87" s="248" t="s">
        <v>100</v>
      </c>
      <c r="D87" s="248" t="s">
        <v>104</v>
      </c>
      <c r="E87" s="148" t="s">
        <v>105</v>
      </c>
      <c r="F87" s="147"/>
      <c r="G87" s="110"/>
      <c r="H87" s="110"/>
      <c r="I87" s="110"/>
      <c r="J87" s="110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customHeight="1">
      <c r="A88" s="142">
        <v>300352</v>
      </c>
      <c r="B88" s="135" t="s">
        <v>87</v>
      </c>
      <c r="C88" s="248" t="s">
        <v>106</v>
      </c>
      <c r="D88" s="248" t="s">
        <v>101</v>
      </c>
      <c r="E88" s="148" t="s">
        <v>35</v>
      </c>
      <c r="F88" s="13"/>
      <c r="G88" s="110"/>
      <c r="H88" s="110"/>
      <c r="I88" s="110"/>
      <c r="J88" s="110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42">
        <v>300353</v>
      </c>
      <c r="B89" s="135" t="s">
        <v>87</v>
      </c>
      <c r="C89" s="248" t="s">
        <v>106</v>
      </c>
      <c r="D89" s="248" t="s">
        <v>101</v>
      </c>
      <c r="E89" s="148" t="s">
        <v>105</v>
      </c>
      <c r="F89" s="13"/>
      <c r="G89" s="110"/>
      <c r="H89" s="110"/>
      <c r="I89" s="110"/>
      <c r="J89" s="110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42">
        <v>300351</v>
      </c>
      <c r="B90" s="135" t="s">
        <v>87</v>
      </c>
      <c r="C90" s="248" t="s">
        <v>106</v>
      </c>
      <c r="D90" s="248" t="s">
        <v>101</v>
      </c>
      <c r="E90" s="148" t="s">
        <v>41</v>
      </c>
      <c r="F90" s="13"/>
      <c r="G90" s="110"/>
      <c r="H90" s="110"/>
      <c r="I90" s="110"/>
      <c r="J90" s="110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42">
        <v>300354</v>
      </c>
      <c r="B91" s="135" t="s">
        <v>87</v>
      </c>
      <c r="C91" s="248" t="s">
        <v>106</v>
      </c>
      <c r="D91" s="248" t="s">
        <v>101</v>
      </c>
      <c r="E91" s="148" t="s">
        <v>66</v>
      </c>
      <c r="F91" s="13"/>
      <c r="G91" s="110"/>
      <c r="H91" s="110"/>
      <c r="I91" s="110"/>
      <c r="J91" s="110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42">
        <v>300250</v>
      </c>
      <c r="B92" s="135" t="s">
        <v>87</v>
      </c>
      <c r="C92" s="248" t="s">
        <v>107</v>
      </c>
      <c r="D92" s="248" t="s">
        <v>101</v>
      </c>
      <c r="E92" s="148" t="s">
        <v>35</v>
      </c>
      <c r="F92" s="13"/>
      <c r="G92" s="110"/>
      <c r="H92" s="110"/>
      <c r="I92" s="110"/>
      <c r="J92" s="110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42">
        <v>300251</v>
      </c>
      <c r="B93" s="135" t="s">
        <v>87</v>
      </c>
      <c r="C93" s="248" t="s">
        <v>107</v>
      </c>
      <c r="D93" s="248" t="s">
        <v>101</v>
      </c>
      <c r="E93" s="148" t="s">
        <v>105</v>
      </c>
      <c r="F93" s="13"/>
      <c r="G93" s="110"/>
      <c r="H93" s="110"/>
      <c r="I93" s="110"/>
      <c r="J93" s="110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42">
        <v>300254</v>
      </c>
      <c r="B94" s="135" t="s">
        <v>87</v>
      </c>
      <c r="C94" s="248" t="s">
        <v>107</v>
      </c>
      <c r="D94" s="248" t="s">
        <v>101</v>
      </c>
      <c r="E94" s="148" t="s">
        <v>41</v>
      </c>
      <c r="F94" s="13"/>
      <c r="G94" s="110"/>
      <c r="H94" s="110"/>
      <c r="I94" s="110"/>
      <c r="J94" s="110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42">
        <v>300253</v>
      </c>
      <c r="B95" s="135" t="s">
        <v>87</v>
      </c>
      <c r="C95" s="248" t="s">
        <v>107</v>
      </c>
      <c r="D95" s="248" t="s">
        <v>101</v>
      </c>
      <c r="E95" s="148" t="s">
        <v>66</v>
      </c>
      <c r="F95" s="13"/>
      <c r="G95" s="110"/>
      <c r="H95" s="110"/>
      <c r="I95" s="110"/>
      <c r="J95" s="110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42">
        <v>300255</v>
      </c>
      <c r="B96" s="135" t="s">
        <v>87</v>
      </c>
      <c r="C96" s="248" t="s">
        <v>107</v>
      </c>
      <c r="D96" s="248" t="s">
        <v>101</v>
      </c>
      <c r="E96" s="148" t="s">
        <v>108</v>
      </c>
      <c r="F96" s="13"/>
      <c r="G96" s="110"/>
      <c r="H96" s="110"/>
      <c r="I96" s="110"/>
      <c r="J96" s="110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42">
        <v>300088</v>
      </c>
      <c r="B98" s="135" t="s">
        <v>87</v>
      </c>
      <c r="C98" s="248" t="s">
        <v>318</v>
      </c>
      <c r="D98" s="248" t="s">
        <v>96</v>
      </c>
      <c r="E98" s="148" t="s">
        <v>39</v>
      </c>
      <c r="F98" s="13"/>
      <c r="G98" s="110"/>
      <c r="H98" s="110"/>
      <c r="I98" s="110"/>
      <c r="J98" s="110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87</v>
      </c>
      <c r="C99" s="248" t="s">
        <v>318</v>
      </c>
      <c r="D99" s="248" t="s">
        <v>96</v>
      </c>
      <c r="E99" s="148" t="s">
        <v>42</v>
      </c>
      <c r="F99" s="13"/>
      <c r="G99" s="110"/>
      <c r="H99" s="110"/>
      <c r="I99" s="110"/>
      <c r="J99" s="110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42">
        <v>300128</v>
      </c>
      <c r="B100" s="135" t="s">
        <v>87</v>
      </c>
      <c r="C100" s="248" t="s">
        <v>112</v>
      </c>
      <c r="D100" s="248" t="s">
        <v>113</v>
      </c>
      <c r="E100" s="148" t="s">
        <v>35</v>
      </c>
      <c r="F100" s="13"/>
      <c r="G100" s="110"/>
      <c r="H100" s="110"/>
      <c r="I100" s="110"/>
      <c r="J100" s="110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35" t="s">
        <v>87</v>
      </c>
      <c r="C101" s="248" t="s">
        <v>112</v>
      </c>
      <c r="D101" s="248" t="s">
        <v>113</v>
      </c>
      <c r="E101" s="148" t="s">
        <v>41</v>
      </c>
      <c r="F101" s="13"/>
      <c r="G101" s="110"/>
      <c r="H101" s="110"/>
      <c r="I101" s="110"/>
      <c r="J101" s="110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42">
        <v>300130</v>
      </c>
      <c r="B102" s="135" t="s">
        <v>87</v>
      </c>
      <c r="C102" s="248" t="s">
        <v>112</v>
      </c>
      <c r="D102" s="248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42">
        <v>300423</v>
      </c>
      <c r="B103" s="135" t="s">
        <v>300</v>
      </c>
      <c r="C103" s="259" t="s">
        <v>296</v>
      </c>
      <c r="D103" s="260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42">
        <v>300424</v>
      </c>
      <c r="B104" s="135" t="s">
        <v>300</v>
      </c>
      <c r="C104" s="259" t="s">
        <v>296</v>
      </c>
      <c r="D104" s="260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42">
        <v>300425</v>
      </c>
      <c r="B105" s="135" t="s">
        <v>300</v>
      </c>
      <c r="C105" s="259" t="s">
        <v>296</v>
      </c>
      <c r="D105" s="260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35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35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35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35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35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42">
        <v>300074</v>
      </c>
      <c r="B111" s="135" t="s">
        <v>118</v>
      </c>
      <c r="C111" s="248" t="s">
        <v>119</v>
      </c>
      <c r="D111" s="248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42">
        <v>300076</v>
      </c>
      <c r="B112" s="135" t="s">
        <v>118</v>
      </c>
      <c r="C112" s="248" t="s">
        <v>119</v>
      </c>
      <c r="D112" s="248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42">
        <v>300096</v>
      </c>
      <c r="B113" s="135" t="s">
        <v>118</v>
      </c>
      <c r="C113" s="248" t="s">
        <v>121</v>
      </c>
      <c r="D113" s="248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42"/>
      <c r="B114" s="135" t="s">
        <v>118</v>
      </c>
      <c r="C114" s="248" t="s">
        <v>121</v>
      </c>
      <c r="D114" s="248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42">
        <v>300097</v>
      </c>
      <c r="B115" s="135" t="s">
        <v>118</v>
      </c>
      <c r="C115" s="248" t="s">
        <v>121</v>
      </c>
      <c r="D115" s="248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35">
        <v>300294</v>
      </c>
      <c r="B116" s="135" t="s">
        <v>118</v>
      </c>
      <c r="C116" s="248" t="s">
        <v>123</v>
      </c>
      <c r="D116" s="248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35">
        <v>300295</v>
      </c>
      <c r="B117" s="135" t="s">
        <v>124</v>
      </c>
      <c r="C117" s="248" t="s">
        <v>125</v>
      </c>
      <c r="D117" s="248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35">
        <v>300258</v>
      </c>
      <c r="B118" s="135" t="s">
        <v>118</v>
      </c>
      <c r="C118" s="248" t="s">
        <v>123</v>
      </c>
      <c r="D118" s="248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35">
        <v>300256</v>
      </c>
      <c r="B119" s="135" t="s">
        <v>118</v>
      </c>
      <c r="C119" s="248" t="s">
        <v>123</v>
      </c>
      <c r="D119" s="248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35">
        <v>300259</v>
      </c>
      <c r="B120" s="135" t="s">
        <v>118</v>
      </c>
      <c r="C120" s="248" t="s">
        <v>123</v>
      </c>
      <c r="D120" s="248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35">
        <v>300345</v>
      </c>
      <c r="B121" s="135" t="s">
        <v>118</v>
      </c>
      <c r="C121" s="248" t="s">
        <v>127</v>
      </c>
      <c r="D121" s="248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35">
        <v>300346</v>
      </c>
      <c r="B122" s="135" t="s">
        <v>118</v>
      </c>
      <c r="C122" s="248" t="s">
        <v>127</v>
      </c>
      <c r="D122" s="248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35">
        <v>300347</v>
      </c>
      <c r="B123" s="135" t="s">
        <v>118</v>
      </c>
      <c r="C123" s="248" t="s">
        <v>127</v>
      </c>
      <c r="D123" s="248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35">
        <v>300348</v>
      </c>
      <c r="B124" s="135" t="s">
        <v>118</v>
      </c>
      <c r="C124" s="248" t="s">
        <v>127</v>
      </c>
      <c r="D124" s="248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35">
        <v>300349</v>
      </c>
      <c r="B125" s="135" t="s">
        <v>118</v>
      </c>
      <c r="C125" s="248" t="s">
        <v>127</v>
      </c>
      <c r="D125" s="248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35">
        <v>300298</v>
      </c>
      <c r="B126" s="135" t="s">
        <v>118</v>
      </c>
      <c r="C126" s="248" t="s">
        <v>128</v>
      </c>
      <c r="D126" s="248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35">
        <v>300299</v>
      </c>
      <c r="B127" s="135" t="s">
        <v>118</v>
      </c>
      <c r="C127" s="248" t="s">
        <v>128</v>
      </c>
      <c r="D127" s="248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35">
        <v>300296</v>
      </c>
      <c r="B128" s="135" t="s">
        <v>118</v>
      </c>
      <c r="C128" s="248" t="s">
        <v>128</v>
      </c>
      <c r="D128" s="248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35">
        <v>300297</v>
      </c>
      <c r="B129" s="135" t="s">
        <v>118</v>
      </c>
      <c r="C129" s="248" t="s">
        <v>128</v>
      </c>
      <c r="D129" s="248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35">
        <v>300340</v>
      </c>
      <c r="B130" s="135" t="s">
        <v>118</v>
      </c>
      <c r="C130" s="259" t="s">
        <v>129</v>
      </c>
      <c r="D130" s="260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35">
        <v>300339</v>
      </c>
      <c r="B131" s="135" t="s">
        <v>118</v>
      </c>
      <c r="C131" s="259" t="s">
        <v>129</v>
      </c>
      <c r="D131" s="260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35">
        <v>300303</v>
      </c>
      <c r="B132" s="135" t="s">
        <v>118</v>
      </c>
      <c r="C132" s="248" t="s">
        <v>130</v>
      </c>
      <c r="D132" s="248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35">
        <v>300302</v>
      </c>
      <c r="B133" s="135" t="s">
        <v>118</v>
      </c>
      <c r="C133" s="248" t="s">
        <v>130</v>
      </c>
      <c r="D133" s="248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35">
        <v>300301</v>
      </c>
      <c r="B134" s="135" t="s">
        <v>118</v>
      </c>
      <c r="C134" s="248" t="s">
        <v>130</v>
      </c>
      <c r="D134" s="248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42">
        <v>300304</v>
      </c>
      <c r="B135" s="135" t="s">
        <v>118</v>
      </c>
      <c r="C135" s="248" t="s">
        <v>130</v>
      </c>
      <c r="D135" s="248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42">
        <v>300300</v>
      </c>
      <c r="B136" s="135" t="s">
        <v>118</v>
      </c>
      <c r="C136" s="248" t="s">
        <v>130</v>
      </c>
      <c r="D136" s="248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42">
        <v>300085</v>
      </c>
      <c r="B137" s="135">
        <v>6503</v>
      </c>
      <c r="C137" s="248" t="s">
        <v>134</v>
      </c>
      <c r="D137" s="248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42">
        <v>300087</v>
      </c>
      <c r="B138" s="135" t="s">
        <v>118</v>
      </c>
      <c r="C138" s="248" t="s">
        <v>134</v>
      </c>
      <c r="D138" s="248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42">
        <v>300387</v>
      </c>
      <c r="B139" s="135" t="s">
        <v>136</v>
      </c>
      <c r="C139" s="259" t="s">
        <v>137</v>
      </c>
      <c r="D139" s="260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42">
        <v>300388</v>
      </c>
      <c r="B140" s="135" t="s">
        <v>138</v>
      </c>
      <c r="C140" s="259" t="s">
        <v>137</v>
      </c>
      <c r="D140" s="260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42">
        <v>300123</v>
      </c>
      <c r="B141" s="135" t="s">
        <v>118</v>
      </c>
      <c r="C141" s="248" t="s">
        <v>139</v>
      </c>
      <c r="D141" s="248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42">
        <v>300270</v>
      </c>
      <c r="B142" s="135" t="s">
        <v>118</v>
      </c>
      <c r="C142" s="248" t="s">
        <v>141</v>
      </c>
      <c r="D142" s="248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42">
        <v>300336</v>
      </c>
      <c r="B143" s="135" t="s">
        <v>136</v>
      </c>
      <c r="C143" s="248" t="s">
        <v>143</v>
      </c>
      <c r="D143" s="248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42">
        <v>300337</v>
      </c>
      <c r="B144" s="135" t="s">
        <v>138</v>
      </c>
      <c r="C144" s="248" t="s">
        <v>143</v>
      </c>
      <c r="D144" s="248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42">
        <v>300338</v>
      </c>
      <c r="B145" s="135" t="s">
        <v>144</v>
      </c>
      <c r="C145" s="248" t="s">
        <v>143</v>
      </c>
      <c r="D145" s="248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42">
        <v>300309</v>
      </c>
      <c r="B146" s="135">
        <v>6504</v>
      </c>
      <c r="C146" s="248" t="s">
        <v>145</v>
      </c>
      <c r="D146" s="248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42">
        <v>300310</v>
      </c>
      <c r="B147" s="135">
        <v>6504</v>
      </c>
      <c r="C147" s="248" t="s">
        <v>145</v>
      </c>
      <c r="D147" s="248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42">
        <v>300312</v>
      </c>
      <c r="B148" s="135">
        <v>6504</v>
      </c>
      <c r="C148" s="248" t="s">
        <v>145</v>
      </c>
      <c r="D148" s="248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42">
        <v>300311</v>
      </c>
      <c r="B149" s="135">
        <v>6504</v>
      </c>
      <c r="C149" s="259" t="s">
        <v>145</v>
      </c>
      <c r="D149" s="260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42">
        <v>300399</v>
      </c>
      <c r="B150" s="135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42">
        <v>300400</v>
      </c>
      <c r="B151" s="135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42">
        <v>300401</v>
      </c>
      <c r="B152" s="135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42">
        <v>300402</v>
      </c>
      <c r="B153" s="135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42">
        <v>300403</v>
      </c>
      <c r="B154" s="135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42">
        <v>300404</v>
      </c>
      <c r="B155" s="135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42">
        <v>300405</v>
      </c>
      <c r="B156" s="135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42">
        <v>300372</v>
      </c>
      <c r="B157" s="135">
        <v>18501</v>
      </c>
      <c r="C157" s="259" t="s">
        <v>153</v>
      </c>
      <c r="D157" s="260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42">
        <v>300373</v>
      </c>
      <c r="B158" s="135">
        <v>18501</v>
      </c>
      <c r="C158" s="259" t="s">
        <v>153</v>
      </c>
      <c r="D158" s="260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42">
        <v>300374</v>
      </c>
      <c r="B159" s="135">
        <v>18501</v>
      </c>
      <c r="C159" s="259" t="s">
        <v>153</v>
      </c>
      <c r="D159" s="260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42">
        <v>300375</v>
      </c>
      <c r="B160" s="135">
        <v>18501</v>
      </c>
      <c r="C160" s="259" t="s">
        <v>153</v>
      </c>
      <c r="D160" s="260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42">
        <v>300341</v>
      </c>
      <c r="B161" s="135">
        <v>18501</v>
      </c>
      <c r="C161" s="266" t="s">
        <v>154</v>
      </c>
      <c r="D161" s="26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42">
        <v>300342</v>
      </c>
      <c r="B162" s="135">
        <v>18501</v>
      </c>
      <c r="C162" s="266" t="s">
        <v>154</v>
      </c>
      <c r="D162" s="26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42">
        <v>300343</v>
      </c>
      <c r="B163" s="135">
        <v>18501</v>
      </c>
      <c r="C163" s="266" t="s">
        <v>154</v>
      </c>
      <c r="D163" s="26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42">
        <v>300344</v>
      </c>
      <c r="B164" s="135">
        <v>18501</v>
      </c>
      <c r="C164" s="266" t="s">
        <v>154</v>
      </c>
      <c r="D164" s="26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42">
        <v>300396</v>
      </c>
      <c r="B165" s="135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42">
        <v>300397</v>
      </c>
      <c r="B166" s="135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42">
        <v>300398</v>
      </c>
      <c r="B167" s="135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42">
        <v>300271</v>
      </c>
      <c r="B168" s="135">
        <v>18501</v>
      </c>
      <c r="C168" s="248" t="s">
        <v>156</v>
      </c>
      <c r="D168" s="248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42">
        <v>300009</v>
      </c>
      <c r="B169" s="135">
        <v>18501</v>
      </c>
      <c r="C169" s="248" t="s">
        <v>157</v>
      </c>
      <c r="D169" s="248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42">
        <v>300010</v>
      </c>
      <c r="B170" s="135">
        <v>18501</v>
      </c>
      <c r="C170" s="248" t="s">
        <v>157</v>
      </c>
      <c r="D170" s="248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42">
        <v>300305</v>
      </c>
      <c r="B171" s="135">
        <v>18501</v>
      </c>
      <c r="C171" s="248" t="s">
        <v>159</v>
      </c>
      <c r="D171" s="248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42">
        <v>300306</v>
      </c>
      <c r="B172" s="135">
        <v>18501</v>
      </c>
      <c r="C172" s="248" t="s">
        <v>159</v>
      </c>
      <c r="D172" s="248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42">
        <v>300307</v>
      </c>
      <c r="B173" s="135">
        <v>18501</v>
      </c>
      <c r="C173" s="248" t="s">
        <v>159</v>
      </c>
      <c r="D173" s="248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42">
        <v>300308</v>
      </c>
      <c r="B174" s="135">
        <v>18501</v>
      </c>
      <c r="C174" s="248" t="s">
        <v>159</v>
      </c>
      <c r="D174" s="248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42">
        <v>300182</v>
      </c>
      <c r="B175" s="135">
        <v>18501</v>
      </c>
      <c r="C175" s="248" t="s">
        <v>161</v>
      </c>
      <c r="D175" s="248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42">
        <v>300185</v>
      </c>
      <c r="B176" s="135">
        <v>18501</v>
      </c>
      <c r="C176" s="248" t="s">
        <v>161</v>
      </c>
      <c r="D176" s="248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42">
        <v>300272</v>
      </c>
      <c r="B177" s="135">
        <v>18502</v>
      </c>
      <c r="C177" s="248" t="s">
        <v>162</v>
      </c>
      <c r="D177" s="248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42">
        <v>300273</v>
      </c>
      <c r="B178" s="135">
        <v>18502</v>
      </c>
      <c r="C178" s="248" t="s">
        <v>162</v>
      </c>
      <c r="D178" s="248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42">
        <v>300274</v>
      </c>
      <c r="B179" s="135">
        <v>18502</v>
      </c>
      <c r="C179" s="248" t="s">
        <v>162</v>
      </c>
      <c r="D179" s="248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42">
        <v>300275</v>
      </c>
      <c r="B180" s="135">
        <v>18502</v>
      </c>
      <c r="C180" s="248" t="s">
        <v>162</v>
      </c>
      <c r="D180" s="248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42">
        <v>300285</v>
      </c>
      <c r="B181" s="135">
        <v>13001</v>
      </c>
      <c r="C181" s="248" t="s">
        <v>165</v>
      </c>
      <c r="D181" s="248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42">
        <v>300287</v>
      </c>
      <c r="B182" s="135">
        <v>13001</v>
      </c>
      <c r="C182" s="248" t="s">
        <v>165</v>
      </c>
      <c r="D182" s="248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42">
        <v>300284</v>
      </c>
      <c r="B183" s="135">
        <v>13001</v>
      </c>
      <c r="C183" s="248" t="s">
        <v>165</v>
      </c>
      <c r="D183" s="248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42">
        <v>300283</v>
      </c>
      <c r="B184" s="135">
        <v>13001</v>
      </c>
      <c r="C184" s="248" t="s">
        <v>165</v>
      </c>
      <c r="D184" s="248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42">
        <v>300289</v>
      </c>
      <c r="B185" s="135">
        <v>13001</v>
      </c>
      <c r="C185" s="248" t="s">
        <v>165</v>
      </c>
      <c r="D185" s="248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42">
        <v>300288</v>
      </c>
      <c r="B186" s="135">
        <v>13001</v>
      </c>
      <c r="C186" s="248" t="s">
        <v>165</v>
      </c>
      <c r="D186" s="248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39">
        <v>300355</v>
      </c>
      <c r="B187" s="135" t="s">
        <v>167</v>
      </c>
      <c r="C187" s="259" t="s">
        <v>168</v>
      </c>
      <c r="D187" s="260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39">
        <v>300356</v>
      </c>
      <c r="B188" s="135" t="s">
        <v>169</v>
      </c>
      <c r="C188" s="259" t="s">
        <v>168</v>
      </c>
      <c r="D188" s="260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39">
        <v>300357</v>
      </c>
      <c r="B189" s="135" t="s">
        <v>170</v>
      </c>
      <c r="C189" s="259" t="s">
        <v>168</v>
      </c>
      <c r="D189" s="260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 t="s">
        <v>171</v>
      </c>
      <c r="C190" s="259" t="s">
        <v>168</v>
      </c>
      <c r="D190" s="260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42">
        <v>300438</v>
      </c>
      <c r="B191" s="135" t="s">
        <v>87</v>
      </c>
      <c r="C191" s="248" t="s">
        <v>312</v>
      </c>
      <c r="D191" s="248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42">
        <v>300439</v>
      </c>
      <c r="B192" s="135" t="s">
        <v>87</v>
      </c>
      <c r="C192" s="248" t="s">
        <v>312</v>
      </c>
      <c r="D192" s="248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42">
        <v>300440</v>
      </c>
      <c r="B193" s="135" t="s">
        <v>87</v>
      </c>
      <c r="C193" s="248" t="s">
        <v>312</v>
      </c>
      <c r="D193" s="248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42">
        <v>300441</v>
      </c>
      <c r="B194" s="135" t="s">
        <v>87</v>
      </c>
      <c r="C194" s="248" t="s">
        <v>312</v>
      </c>
      <c r="D194" s="248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39">
        <v>300406</v>
      </c>
      <c r="B195" s="135" t="s">
        <v>171</v>
      </c>
      <c r="C195" s="259" t="s">
        <v>172</v>
      </c>
      <c r="D195" s="260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39">
        <v>300407</v>
      </c>
      <c r="B196" s="135" t="s">
        <v>171</v>
      </c>
      <c r="C196" s="259" t="s">
        <v>172</v>
      </c>
      <c r="D196" s="260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39">
        <v>300408</v>
      </c>
      <c r="B197" s="135" t="s">
        <v>171</v>
      </c>
      <c r="C197" s="259" t="s">
        <v>172</v>
      </c>
      <c r="D197" s="260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39">
        <v>300409</v>
      </c>
      <c r="B198" s="135" t="s">
        <v>171</v>
      </c>
      <c r="C198" s="259" t="s">
        <v>172</v>
      </c>
      <c r="D198" s="260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46">
        <f t="array" ref="G199">SUM(IF(ISERROR(G6:G198),“”,G6:G198))</f>
        <v>0</v>
      </c>
      <c r="H199" s="146">
        <f t="array" ref="H199">SUM(IF(ISERROR(H6:H198),“”,H6:H198))</f>
        <v>0</v>
      </c>
      <c r="I199" s="146">
        <f t="array" ref="I199">SUM(IF(ISERROR(I6:I198),“”,I6:I198))</f>
        <v>0</v>
      </c>
      <c r="J199" s="146">
        <f t="array" ref="J199">SUM(IF(ISERROR(J6:J198),“”,J6:J198))</f>
        <v>0</v>
      </c>
      <c r="K199" s="146">
        <f t="array" ref="K199">SUM(IF(ISERROR(K6:K198),“”,K6:K198))</f>
        <v>0</v>
      </c>
      <c r="L199" s="56">
        <f>SUM(L6:L198)</f>
        <v>0</v>
      </c>
      <c r="M199" s="146"/>
      <c r="N199" s="146"/>
      <c r="O199" s="146">
        <f>SUM(O6:O190)</f>
        <v>0</v>
      </c>
      <c r="P199" s="56">
        <f>SUM((P6:P190),(W204:X209))</f>
        <v>0</v>
      </c>
      <c r="Q199" s="146"/>
      <c r="R199" s="56">
        <f>SUM((R6:R190),(Y204:Z209))</f>
        <v>0</v>
      </c>
      <c r="S199" s="146">
        <f t="array" ref="S199">SUM(IF(ISERROR(S6:S198),“”,S6:S198))</f>
        <v>0</v>
      </c>
      <c r="T199" s="146"/>
      <c r="U199" s="146"/>
      <c r="V199" s="143" t="str">
        <f>IF(ISERROR(L199/K199),"",L199/K199)</f>
        <v/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44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44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44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35" t="s">
        <v>25</v>
      </c>
      <c r="S214" s="249"/>
      <c r="T214" s="251"/>
      <c r="U214" s="251"/>
      <c r="V214" s="25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61" t="s">
        <v>34</v>
      </c>
      <c r="D215" s="26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customHeight="1">
      <c r="A216" s="142">
        <v>300318</v>
      </c>
      <c r="B216" s="145" t="s">
        <v>33</v>
      </c>
      <c r="C216" s="314" t="s">
        <v>34</v>
      </c>
      <c r="D216" s="31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customHeight="1">
      <c r="A217" s="142">
        <v>300319</v>
      </c>
      <c r="B217" s="145" t="s">
        <v>33</v>
      </c>
      <c r="C217" s="314" t="s">
        <v>34</v>
      </c>
      <c r="D217" s="31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customHeight="1">
      <c r="A218" s="142">
        <v>300316</v>
      </c>
      <c r="B218" s="145" t="s">
        <v>33</v>
      </c>
      <c r="C218" s="314" t="s">
        <v>34</v>
      </c>
      <c r="D218" s="31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customHeight="1">
      <c r="A219" s="142">
        <v>300317</v>
      </c>
      <c r="B219" s="145" t="s">
        <v>33</v>
      </c>
      <c r="C219" s="314" t="s">
        <v>34</v>
      </c>
      <c r="D219" s="31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customHeight="1">
      <c r="A220" s="142">
        <v>300315</v>
      </c>
      <c r="B220" s="145" t="s">
        <v>33</v>
      </c>
      <c r="C220" s="314" t="s">
        <v>34</v>
      </c>
      <c r="D220" s="31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customHeight="1">
      <c r="A221" s="142">
        <v>300314</v>
      </c>
      <c r="B221" s="145" t="s">
        <v>33</v>
      </c>
      <c r="C221" s="314" t="s">
        <v>34</v>
      </c>
      <c r="D221" s="31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customHeight="1">
      <c r="A222" s="142">
        <v>300313</v>
      </c>
      <c r="B222" s="145" t="s">
        <v>33</v>
      </c>
      <c r="C222" s="314" t="s">
        <v>34</v>
      </c>
      <c r="D222" s="31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customHeight="1">
      <c r="A223" s="142"/>
      <c r="B223" s="135" t="s">
        <v>43</v>
      </c>
      <c r="C223" s="259" t="s">
        <v>313</v>
      </c>
      <c r="D223" s="26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customHeight="1">
      <c r="A224" s="142"/>
      <c r="B224" s="135" t="s">
        <v>43</v>
      </c>
      <c r="C224" s="259" t="s">
        <v>313</v>
      </c>
      <c r="D224" s="26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customHeight="1">
      <c r="A225" s="135">
        <v>300202</v>
      </c>
      <c r="B225" s="135" t="s">
        <v>52</v>
      </c>
      <c r="C225" s="259" t="s">
        <v>44</v>
      </c>
      <c r="D225" s="26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35">
        <v>300203</v>
      </c>
      <c r="B226" s="135" t="s">
        <v>43</v>
      </c>
      <c r="C226" s="259" t="s">
        <v>44</v>
      </c>
      <c r="D226" s="26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35">
        <v>300204</v>
      </c>
      <c r="B227" s="135" t="s">
        <v>43</v>
      </c>
      <c r="C227" s="259" t="s">
        <v>44</v>
      </c>
      <c r="D227" s="26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42">
        <v>300269</v>
      </c>
      <c r="B228" s="135" t="s">
        <v>43</v>
      </c>
      <c r="C228" s="248" t="s">
        <v>45</v>
      </c>
      <c r="D228" s="24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42"/>
      <c r="B229" s="135"/>
      <c r="C229" s="248" t="s">
        <v>46</v>
      </c>
      <c r="D229" s="24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42">
        <v>300350</v>
      </c>
      <c r="B230" s="135" t="s">
        <v>43</v>
      </c>
      <c r="C230" s="248" t="s">
        <v>48</v>
      </c>
      <c r="D230" s="24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42">
        <v>300113</v>
      </c>
      <c r="B231" s="135" t="s">
        <v>43</v>
      </c>
      <c r="C231" s="248" t="s">
        <v>50</v>
      </c>
      <c r="D231" s="24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42">
        <v>300114</v>
      </c>
      <c r="B232" s="135" t="s">
        <v>43</v>
      </c>
      <c r="C232" s="248" t="s">
        <v>50</v>
      </c>
      <c r="D232" s="24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42">
        <v>300115</v>
      </c>
      <c r="B233" s="135" t="s">
        <v>43</v>
      </c>
      <c r="C233" s="248" t="s">
        <v>50</v>
      </c>
      <c r="D233" s="24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42">
        <v>300011</v>
      </c>
      <c r="B234" s="135" t="s">
        <v>43</v>
      </c>
      <c r="C234" s="248" t="s">
        <v>51</v>
      </c>
      <c r="D234" s="24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 t="s">
        <v>43</v>
      </c>
      <c r="C235" s="248" t="s">
        <v>51</v>
      </c>
      <c r="D235" s="248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 t="s">
        <v>221</v>
      </c>
      <c r="C236" s="248" t="s">
        <v>51</v>
      </c>
      <c r="D236" s="248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42">
        <v>300016</v>
      </c>
      <c r="B237" s="135" t="s">
        <v>43</v>
      </c>
      <c r="C237" s="248" t="s">
        <v>51</v>
      </c>
      <c r="D237" s="24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38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42">
        <v>300276</v>
      </c>
      <c r="B239" s="135" t="s">
        <v>43</v>
      </c>
      <c r="C239" s="248" t="s">
        <v>53</v>
      </c>
      <c r="D239" s="24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42">
        <v>300277</v>
      </c>
      <c r="B240" s="135" t="s">
        <v>43</v>
      </c>
      <c r="C240" s="248" t="s">
        <v>53</v>
      </c>
      <c r="D240" s="24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42">
        <v>300278</v>
      </c>
      <c r="B241" s="135" t="s">
        <v>43</v>
      </c>
      <c r="C241" s="248" t="s">
        <v>53</v>
      </c>
      <c r="D241" s="24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42">
        <v>300027</v>
      </c>
      <c r="B242" s="135" t="s">
        <v>55</v>
      </c>
      <c r="C242" s="248" t="s">
        <v>56</v>
      </c>
      <c r="D242" s="24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42">
        <v>300028</v>
      </c>
      <c r="B243" s="135" t="s">
        <v>55</v>
      </c>
      <c r="C243" s="248" t="s">
        <v>56</v>
      </c>
      <c r="D243" s="24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42">
        <v>300029</v>
      </c>
      <c r="B244" s="135" t="s">
        <v>55</v>
      </c>
      <c r="C244" s="248" t="s">
        <v>56</v>
      </c>
      <c r="D244" s="24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42">
        <v>300026</v>
      </c>
      <c r="B245" s="135" t="s">
        <v>55</v>
      </c>
      <c r="C245" s="248" t="s">
        <v>56</v>
      </c>
      <c r="D245" s="24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48" t="s">
        <v>58</v>
      </c>
      <c r="D246" s="248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42">
        <v>300413</v>
      </c>
      <c r="B247" s="135">
        <v>3002</v>
      </c>
      <c r="C247" s="259" t="s">
        <v>304</v>
      </c>
      <c r="D247" s="26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42">
        <v>300414</v>
      </c>
      <c r="B248" s="135">
        <v>3002</v>
      </c>
      <c r="C248" s="259" t="s">
        <v>304</v>
      </c>
      <c r="D248" s="26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42">
        <v>300415</v>
      </c>
      <c r="B249" s="135">
        <v>3002</v>
      </c>
      <c r="C249" s="259" t="s">
        <v>304</v>
      </c>
      <c r="D249" s="26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42">
        <v>300035</v>
      </c>
      <c r="B250" s="135" t="s">
        <v>60</v>
      </c>
      <c r="C250" s="248" t="s">
        <v>61</v>
      </c>
      <c r="D250" s="24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42">
        <v>300036</v>
      </c>
      <c r="B251" s="135" t="s">
        <v>60</v>
      </c>
      <c r="C251" s="248" t="s">
        <v>61</v>
      </c>
      <c r="D251" s="24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42">
        <v>300037</v>
      </c>
      <c r="B252" s="135" t="s">
        <v>60</v>
      </c>
      <c r="C252" s="248" t="s">
        <v>61</v>
      </c>
      <c r="D252" s="24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42">
        <v>300038</v>
      </c>
      <c r="B253" s="135" t="s">
        <v>60</v>
      </c>
      <c r="C253" s="248" t="s">
        <v>64</v>
      </c>
      <c r="D253" s="24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42">
        <v>300039</v>
      </c>
      <c r="B254" s="135" t="s">
        <v>60</v>
      </c>
      <c r="C254" s="248" t="s">
        <v>64</v>
      </c>
      <c r="D254" s="24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42">
        <v>300416</v>
      </c>
      <c r="B255" s="135" t="s">
        <v>67</v>
      </c>
      <c r="C255" s="259" t="s">
        <v>68</v>
      </c>
      <c r="D255" s="26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42">
        <v>300417</v>
      </c>
      <c r="B256" s="135" t="s">
        <v>67</v>
      </c>
      <c r="C256" s="259" t="s">
        <v>68</v>
      </c>
      <c r="D256" s="26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42">
        <v>300418</v>
      </c>
      <c r="B257" s="135" t="s">
        <v>67</v>
      </c>
      <c r="C257" s="259" t="s">
        <v>68</v>
      </c>
      <c r="D257" s="26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42">
        <v>300419</v>
      </c>
      <c r="B258" s="135" t="s">
        <v>67</v>
      </c>
      <c r="C258" s="259" t="s">
        <v>68</v>
      </c>
      <c r="D258" s="26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42">
        <v>300260</v>
      </c>
      <c r="B259" s="135" t="s">
        <v>67</v>
      </c>
      <c r="C259" s="248" t="s">
        <v>73</v>
      </c>
      <c r="D259" s="24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42">
        <v>300261</v>
      </c>
      <c r="B260" s="135" t="s">
        <v>67</v>
      </c>
      <c r="C260" s="248" t="s">
        <v>73</v>
      </c>
      <c r="D260" s="24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42">
        <v>300262</v>
      </c>
      <c r="B261" s="135" t="s">
        <v>67</v>
      </c>
      <c r="C261" s="248" t="s">
        <v>73</v>
      </c>
      <c r="D261" s="24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42">
        <v>300263</v>
      </c>
      <c r="B262" s="135" t="s">
        <v>67</v>
      </c>
      <c r="C262" s="248" t="s">
        <v>73</v>
      </c>
      <c r="D262" s="24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42">
        <v>300051</v>
      </c>
      <c r="B263" s="135" t="s">
        <v>67</v>
      </c>
      <c r="C263" s="248" t="s">
        <v>75</v>
      </c>
      <c r="D263" s="24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42">
        <v>300052</v>
      </c>
      <c r="B264" s="135" t="s">
        <v>67</v>
      </c>
      <c r="C264" s="248" t="s">
        <v>75</v>
      </c>
      <c r="D264" s="24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42">
        <v>300054</v>
      </c>
      <c r="B265" s="135" t="s">
        <v>67</v>
      </c>
      <c r="C265" s="248" t="s">
        <v>75</v>
      </c>
      <c r="D265" s="24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38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 t="s">
        <v>67</v>
      </c>
      <c r="C267" s="248" t="s">
        <v>77</v>
      </c>
      <c r="D267" s="248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42">
        <v>300045</v>
      </c>
      <c r="B268" s="135" t="s">
        <v>67</v>
      </c>
      <c r="C268" s="248" t="s">
        <v>77</v>
      </c>
      <c r="D268" s="24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42">
        <v>300422</v>
      </c>
      <c r="B269" s="135" t="s">
        <v>67</v>
      </c>
      <c r="C269" s="259" t="s">
        <v>301</v>
      </c>
      <c r="D269" s="26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42">
        <v>300421</v>
      </c>
      <c r="B270" s="135" t="s">
        <v>67</v>
      </c>
      <c r="C270" s="259" t="s">
        <v>301</v>
      </c>
      <c r="D270" s="26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42">
        <v>300149</v>
      </c>
      <c r="B271" s="135" t="s">
        <v>67</v>
      </c>
      <c r="C271" s="248" t="s">
        <v>81</v>
      </c>
      <c r="D271" s="24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42">
        <v>300150</v>
      </c>
      <c r="B272" s="135" t="s">
        <v>67</v>
      </c>
      <c r="C272" s="248" t="s">
        <v>81</v>
      </c>
      <c r="D272" s="24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42">
        <v>300330</v>
      </c>
      <c r="B273" s="135" t="s">
        <v>67</v>
      </c>
      <c r="C273" s="259" t="s">
        <v>83</v>
      </c>
      <c r="D273" s="26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42">
        <v>300331</v>
      </c>
      <c r="B274" s="135" t="s">
        <v>67</v>
      </c>
      <c r="C274" s="259" t="s">
        <v>83</v>
      </c>
      <c r="D274" s="26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42">
        <v>300332</v>
      </c>
      <c r="B275" s="135" t="s">
        <v>67</v>
      </c>
      <c r="C275" s="259" t="s">
        <v>83</v>
      </c>
      <c r="D275" s="26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42">
        <v>300333</v>
      </c>
      <c r="B276" s="135" t="s">
        <v>67</v>
      </c>
      <c r="C276" s="259" t="s">
        <v>86</v>
      </c>
      <c r="D276" s="26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42">
        <v>300334</v>
      </c>
      <c r="B277" s="135" t="s">
        <v>67</v>
      </c>
      <c r="C277" s="259" t="s">
        <v>86</v>
      </c>
      <c r="D277" s="26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42">
        <v>300335</v>
      </c>
      <c r="B278" s="135" t="s">
        <v>67</v>
      </c>
      <c r="C278" s="259" t="s">
        <v>86</v>
      </c>
      <c r="D278" s="26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42">
        <v>300291</v>
      </c>
      <c r="B279" s="135" t="s">
        <v>87</v>
      </c>
      <c r="C279" s="248" t="s">
        <v>88</v>
      </c>
      <c r="D279" s="24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42">
        <v>300292</v>
      </c>
      <c r="B280" s="135" t="s">
        <v>87</v>
      </c>
      <c r="C280" s="248" t="s">
        <v>88</v>
      </c>
      <c r="D280" s="24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42">
        <v>300293</v>
      </c>
      <c r="B281" s="135" t="s">
        <v>87</v>
      </c>
      <c r="C281" s="248" t="s">
        <v>88</v>
      </c>
      <c r="D281" s="24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42">
        <v>300290</v>
      </c>
      <c r="B282" s="135" t="s">
        <v>87</v>
      </c>
      <c r="C282" s="248" t="s">
        <v>88</v>
      </c>
      <c r="D282" s="24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42">
        <v>300389</v>
      </c>
      <c r="B283" s="135" t="s">
        <v>87</v>
      </c>
      <c r="C283" s="259" t="s">
        <v>90</v>
      </c>
      <c r="D283" s="260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42">
        <v>300058</v>
      </c>
      <c r="B284" s="135" t="s">
        <v>87</v>
      </c>
      <c r="C284" s="248" t="s">
        <v>91</v>
      </c>
      <c r="D284" s="24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87</v>
      </c>
      <c r="C285" s="248" t="s">
        <v>93</v>
      </c>
      <c r="D285" s="248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>
        <v>5002</v>
      </c>
      <c r="C286" s="248" t="s">
        <v>95</v>
      </c>
      <c r="D286" s="248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42">
        <v>300060</v>
      </c>
      <c r="B287" s="135" t="s">
        <v>87</v>
      </c>
      <c r="C287" s="248" t="s">
        <v>93</v>
      </c>
      <c r="D287" s="248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42">
        <v>300068</v>
      </c>
      <c r="B288" s="135" t="s">
        <v>87</v>
      </c>
      <c r="C288" s="248" t="s">
        <v>98</v>
      </c>
      <c r="D288" s="24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42">
        <v>300065</v>
      </c>
      <c r="B289" s="135" t="s">
        <v>87</v>
      </c>
      <c r="C289" s="248" t="s">
        <v>98</v>
      </c>
      <c r="D289" s="24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42">
        <v>300066</v>
      </c>
      <c r="B290" s="135" t="s">
        <v>87</v>
      </c>
      <c r="C290" s="248" t="s">
        <v>98</v>
      </c>
      <c r="D290" s="24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42">
        <v>300067</v>
      </c>
      <c r="B291" s="135" t="s">
        <v>87</v>
      </c>
      <c r="C291" s="248" t="s">
        <v>98</v>
      </c>
      <c r="D291" s="24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38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42">
        <v>300384</v>
      </c>
      <c r="B293" s="135" t="s">
        <v>87</v>
      </c>
      <c r="C293" s="248" t="s">
        <v>100</v>
      </c>
      <c r="D293" s="24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42">
        <v>300383</v>
      </c>
      <c r="B294" s="135" t="s">
        <v>87</v>
      </c>
      <c r="C294" s="248" t="s">
        <v>100</v>
      </c>
      <c r="D294" s="24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42">
        <v>300386</v>
      </c>
      <c r="B295" s="135" t="s">
        <v>87</v>
      </c>
      <c r="C295" s="248" t="s">
        <v>100</v>
      </c>
      <c r="D295" s="24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42">
        <v>300385</v>
      </c>
      <c r="B296" s="135" t="s">
        <v>87</v>
      </c>
      <c r="C296" s="248" t="s">
        <v>100</v>
      </c>
      <c r="D296" s="24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42">
        <v>300352</v>
      </c>
      <c r="B297" s="135" t="s">
        <v>87</v>
      </c>
      <c r="C297" s="248" t="s">
        <v>106</v>
      </c>
      <c r="D297" s="24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42">
        <v>300353</v>
      </c>
      <c r="B298" s="135" t="s">
        <v>87</v>
      </c>
      <c r="C298" s="248" t="s">
        <v>106</v>
      </c>
      <c r="D298" s="24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42">
        <v>300351</v>
      </c>
      <c r="B299" s="135" t="s">
        <v>87</v>
      </c>
      <c r="C299" s="248" t="s">
        <v>106</v>
      </c>
      <c r="D299" s="24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42">
        <v>300354</v>
      </c>
      <c r="B300" s="135" t="s">
        <v>87</v>
      </c>
      <c r="C300" s="248" t="s">
        <v>106</v>
      </c>
      <c r="D300" s="24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42">
        <v>300250</v>
      </c>
      <c r="B301" s="135" t="s">
        <v>87</v>
      </c>
      <c r="C301" s="248" t="s">
        <v>107</v>
      </c>
      <c r="D301" s="24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42">
        <v>300251</v>
      </c>
      <c r="B302" s="135" t="s">
        <v>87</v>
      </c>
      <c r="C302" s="248" t="s">
        <v>107</v>
      </c>
      <c r="D302" s="24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42">
        <v>300254</v>
      </c>
      <c r="B303" s="135" t="s">
        <v>87</v>
      </c>
      <c r="C303" s="248" t="s">
        <v>107</v>
      </c>
      <c r="D303" s="24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42">
        <v>300253</v>
      </c>
      <c r="B304" s="135" t="s">
        <v>87</v>
      </c>
      <c r="C304" s="248" t="s">
        <v>107</v>
      </c>
      <c r="D304" s="24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42">
        <v>300255</v>
      </c>
      <c r="B305" s="135" t="s">
        <v>87</v>
      </c>
      <c r="C305" s="248" t="s">
        <v>107</v>
      </c>
      <c r="D305" s="24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42">
        <v>300392</v>
      </c>
      <c r="B306" s="135" t="s">
        <v>87</v>
      </c>
      <c r="C306" s="259" t="s">
        <v>109</v>
      </c>
      <c r="D306" s="26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87</v>
      </c>
      <c r="C307" s="248" t="s">
        <v>110</v>
      </c>
      <c r="D307" s="248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87</v>
      </c>
      <c r="C308" s="248" t="s">
        <v>110</v>
      </c>
      <c r="D308" s="248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35" t="s">
        <v>87</v>
      </c>
      <c r="C309" s="248" t="s">
        <v>112</v>
      </c>
      <c r="D309" s="248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35" t="s">
        <v>87</v>
      </c>
      <c r="C310" s="248" t="s">
        <v>112</v>
      </c>
      <c r="D310" s="248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42">
        <v>300130</v>
      </c>
      <c r="B311" s="135" t="s">
        <v>87</v>
      </c>
      <c r="C311" s="248" t="s">
        <v>112</v>
      </c>
      <c r="D311" s="24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42">
        <v>300423</v>
      </c>
      <c r="B312" s="135" t="s">
        <v>300</v>
      </c>
      <c r="C312" s="259" t="s">
        <v>296</v>
      </c>
      <c r="D312" s="26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42">
        <v>300424</v>
      </c>
      <c r="B313" s="135" t="s">
        <v>300</v>
      </c>
      <c r="C313" s="259" t="s">
        <v>296</v>
      </c>
      <c r="D313" s="26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42">
        <v>300425</v>
      </c>
      <c r="B314" s="135" t="s">
        <v>300</v>
      </c>
      <c r="C314" s="259" t="s">
        <v>296</v>
      </c>
      <c r="D314" s="26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42">
        <v>300390</v>
      </c>
      <c r="B315" s="135" t="s">
        <v>295</v>
      </c>
      <c r="C315" s="259" t="s">
        <v>114</v>
      </c>
      <c r="D315" s="26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42">
        <v>300391</v>
      </c>
      <c r="B316" s="135" t="s">
        <v>116</v>
      </c>
      <c r="C316" s="259" t="s">
        <v>114</v>
      </c>
      <c r="D316" s="26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35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35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35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42">
        <v>300074</v>
      </c>
      <c r="B320" s="135" t="s">
        <v>118</v>
      </c>
      <c r="C320" s="248" t="s">
        <v>119</v>
      </c>
      <c r="D320" s="248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42">
        <v>300076</v>
      </c>
      <c r="B321" s="135" t="s">
        <v>118</v>
      </c>
      <c r="C321" s="248" t="s">
        <v>119</v>
      </c>
      <c r="D321" s="248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42">
        <v>300096</v>
      </c>
      <c r="B322" s="138">
        <v>6502</v>
      </c>
      <c r="C322" s="261" t="s">
        <v>121</v>
      </c>
      <c r="D322" s="261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42"/>
      <c r="B323" s="138" t="s">
        <v>118</v>
      </c>
      <c r="C323" s="261" t="s">
        <v>121</v>
      </c>
      <c r="D323" s="261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42">
        <v>300097</v>
      </c>
      <c r="B324" s="138">
        <v>6502</v>
      </c>
      <c r="C324" s="261" t="s">
        <v>121</v>
      </c>
      <c r="D324" s="261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35">
        <v>300294</v>
      </c>
      <c r="B325" s="135" t="s">
        <v>118</v>
      </c>
      <c r="C325" s="248" t="s">
        <v>123</v>
      </c>
      <c r="D325" s="248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35">
        <v>300295</v>
      </c>
      <c r="B326" s="135" t="s">
        <v>124</v>
      </c>
      <c r="C326" s="248" t="s">
        <v>125</v>
      </c>
      <c r="D326" s="248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35">
        <v>300258</v>
      </c>
      <c r="B327" s="135" t="s">
        <v>118</v>
      </c>
      <c r="C327" s="248" t="s">
        <v>123</v>
      </c>
      <c r="D327" s="248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35">
        <v>300256</v>
      </c>
      <c r="B328" s="135" t="s">
        <v>118</v>
      </c>
      <c r="C328" s="248" t="s">
        <v>123</v>
      </c>
      <c r="D328" s="248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35">
        <v>300259</v>
      </c>
      <c r="B329" s="135" t="s">
        <v>118</v>
      </c>
      <c r="C329" s="248" t="s">
        <v>123</v>
      </c>
      <c r="D329" s="248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35">
        <v>300345</v>
      </c>
      <c r="B330" s="135" t="s">
        <v>118</v>
      </c>
      <c r="C330" s="248" t="s">
        <v>127</v>
      </c>
      <c r="D330" s="248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35">
        <v>300346</v>
      </c>
      <c r="B331" s="135" t="s">
        <v>118</v>
      </c>
      <c r="C331" s="248" t="s">
        <v>127</v>
      </c>
      <c r="D331" s="248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35">
        <v>300347</v>
      </c>
      <c r="B332" s="135" t="s">
        <v>118</v>
      </c>
      <c r="C332" s="248" t="s">
        <v>127</v>
      </c>
      <c r="D332" s="248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35">
        <v>300348</v>
      </c>
      <c r="B333" s="135" t="s">
        <v>118</v>
      </c>
      <c r="C333" s="248" t="s">
        <v>127</v>
      </c>
      <c r="D333" s="248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35">
        <v>300349</v>
      </c>
      <c r="B334" s="135" t="s">
        <v>118</v>
      </c>
      <c r="C334" s="248" t="s">
        <v>127</v>
      </c>
      <c r="D334" s="248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35">
        <v>300298</v>
      </c>
      <c r="B335" s="135" t="s">
        <v>118</v>
      </c>
      <c r="C335" s="248" t="s">
        <v>128</v>
      </c>
      <c r="D335" s="248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35">
        <v>300299</v>
      </c>
      <c r="B336" s="135" t="s">
        <v>118</v>
      </c>
      <c r="C336" s="248" t="s">
        <v>128</v>
      </c>
      <c r="D336" s="248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35">
        <v>300296</v>
      </c>
      <c r="B337" s="135" t="s">
        <v>118</v>
      </c>
      <c r="C337" s="248" t="s">
        <v>128</v>
      </c>
      <c r="D337" s="248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35">
        <v>300297</v>
      </c>
      <c r="B338" s="135" t="s">
        <v>118</v>
      </c>
      <c r="C338" s="248" t="s">
        <v>128</v>
      </c>
      <c r="D338" s="248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35">
        <v>300340</v>
      </c>
      <c r="B339" s="135" t="s">
        <v>118</v>
      </c>
      <c r="C339" s="259" t="s">
        <v>129</v>
      </c>
      <c r="D339" s="260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35">
        <v>300339</v>
      </c>
      <c r="B340" s="135" t="s">
        <v>118</v>
      </c>
      <c r="C340" s="259" t="s">
        <v>129</v>
      </c>
      <c r="D340" s="260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35">
        <v>300303</v>
      </c>
      <c r="B341" s="135" t="s">
        <v>118</v>
      </c>
      <c r="C341" s="248" t="s">
        <v>130</v>
      </c>
      <c r="D341" s="248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35">
        <v>300302</v>
      </c>
      <c r="B342" s="135" t="s">
        <v>118</v>
      </c>
      <c r="C342" s="248" t="s">
        <v>130</v>
      </c>
      <c r="D342" s="248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35">
        <v>300301</v>
      </c>
      <c r="B343" s="135" t="s">
        <v>118</v>
      </c>
      <c r="C343" s="248" t="s">
        <v>130</v>
      </c>
      <c r="D343" s="248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42">
        <v>300304</v>
      </c>
      <c r="B344" s="135" t="s">
        <v>118</v>
      </c>
      <c r="C344" s="248" t="s">
        <v>130</v>
      </c>
      <c r="D344" s="248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42">
        <v>300300</v>
      </c>
      <c r="B345" s="135" t="s">
        <v>118</v>
      </c>
      <c r="C345" s="248" t="s">
        <v>130</v>
      </c>
      <c r="D345" s="248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42">
        <v>300085</v>
      </c>
      <c r="B346" s="135" t="s">
        <v>118</v>
      </c>
      <c r="C346" s="248" t="s">
        <v>134</v>
      </c>
      <c r="D346" s="248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42">
        <v>300087</v>
      </c>
      <c r="B347" s="135" t="s">
        <v>118</v>
      </c>
      <c r="C347" s="248" t="s">
        <v>134</v>
      </c>
      <c r="D347" s="248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42">
        <v>300387</v>
      </c>
      <c r="B348" s="135" t="s">
        <v>136</v>
      </c>
      <c r="C348" s="259" t="s">
        <v>137</v>
      </c>
      <c r="D348" s="260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42">
        <v>300388</v>
      </c>
      <c r="B349" s="135" t="s">
        <v>138</v>
      </c>
      <c r="C349" s="259" t="s">
        <v>137</v>
      </c>
      <c r="D349" s="260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42">
        <v>300123</v>
      </c>
      <c r="B350" s="135" t="s">
        <v>118</v>
      </c>
      <c r="C350" s="248" t="s">
        <v>139</v>
      </c>
      <c r="D350" s="248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42">
        <v>300270</v>
      </c>
      <c r="B351" s="135" t="s">
        <v>118</v>
      </c>
      <c r="C351" s="248" t="s">
        <v>141</v>
      </c>
      <c r="D351" s="248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42">
        <v>300336</v>
      </c>
      <c r="B352" s="135" t="s">
        <v>118</v>
      </c>
      <c r="C352" s="248" t="s">
        <v>143</v>
      </c>
      <c r="D352" s="248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42">
        <v>300337</v>
      </c>
      <c r="B353" s="135" t="s">
        <v>118</v>
      </c>
      <c r="C353" s="248" t="s">
        <v>143</v>
      </c>
      <c r="D353" s="248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42">
        <v>300338</v>
      </c>
      <c r="B354" s="135" t="s">
        <v>118</v>
      </c>
      <c r="C354" s="248" t="s">
        <v>143</v>
      </c>
      <c r="D354" s="248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42">
        <v>300309</v>
      </c>
      <c r="B355" s="135">
        <v>6504</v>
      </c>
      <c r="C355" s="248" t="s">
        <v>145</v>
      </c>
      <c r="D355" s="248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42">
        <v>300310</v>
      </c>
      <c r="B356" s="135">
        <v>6504</v>
      </c>
      <c r="C356" s="248" t="s">
        <v>145</v>
      </c>
      <c r="D356" s="248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42">
        <v>300312</v>
      </c>
      <c r="B357" s="135">
        <v>6504</v>
      </c>
      <c r="C357" s="248" t="s">
        <v>145</v>
      </c>
      <c r="D357" s="248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42">
        <v>300311</v>
      </c>
      <c r="B358" s="135">
        <v>6504</v>
      </c>
      <c r="C358" s="248" t="s">
        <v>145</v>
      </c>
      <c r="D358" s="248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42">
        <v>300399</v>
      </c>
      <c r="B359" s="135">
        <v>18501</v>
      </c>
      <c r="C359" s="259" t="s">
        <v>148</v>
      </c>
      <c r="D359" s="260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42">
        <v>300400</v>
      </c>
      <c r="B360" s="135">
        <v>18501</v>
      </c>
      <c r="C360" s="259" t="s">
        <v>148</v>
      </c>
      <c r="D360" s="260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42">
        <v>300401</v>
      </c>
      <c r="B361" s="135">
        <v>18501</v>
      </c>
      <c r="C361" s="259" t="s">
        <v>148</v>
      </c>
      <c r="D361" s="260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42">
        <v>300402</v>
      </c>
      <c r="B362" s="135">
        <v>18501</v>
      </c>
      <c r="C362" s="259" t="s">
        <v>150</v>
      </c>
      <c r="D362" s="260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42">
        <v>300403</v>
      </c>
      <c r="B363" s="135">
        <v>18501</v>
      </c>
      <c r="C363" s="259" t="s">
        <v>150</v>
      </c>
      <c r="D363" s="260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42">
        <v>300404</v>
      </c>
      <c r="B364" s="135">
        <v>18501</v>
      </c>
      <c r="C364" s="259" t="s">
        <v>150</v>
      </c>
      <c r="D364" s="260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42">
        <v>300405</v>
      </c>
      <c r="B365" s="135">
        <v>18501</v>
      </c>
      <c r="C365" s="259" t="s">
        <v>150</v>
      </c>
      <c r="D365" s="260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42">
        <v>300372</v>
      </c>
      <c r="B366" s="135">
        <v>18501</v>
      </c>
      <c r="C366" s="259" t="s">
        <v>153</v>
      </c>
      <c r="D366" s="260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42">
        <v>300373</v>
      </c>
      <c r="B367" s="135">
        <v>18501</v>
      </c>
      <c r="C367" s="259" t="s">
        <v>153</v>
      </c>
      <c r="D367" s="260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42">
        <v>300374</v>
      </c>
      <c r="B368" s="135">
        <v>18501</v>
      </c>
      <c r="C368" s="259" t="s">
        <v>153</v>
      </c>
      <c r="D368" s="260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42">
        <v>300375</v>
      </c>
      <c r="B369" s="135">
        <v>18501</v>
      </c>
      <c r="C369" s="259" t="s">
        <v>153</v>
      </c>
      <c r="D369" s="260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42">
        <v>300341</v>
      </c>
      <c r="B370" s="135">
        <v>18501</v>
      </c>
      <c r="C370" s="266" t="s">
        <v>154</v>
      </c>
      <c r="D370" s="26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42">
        <v>300342</v>
      </c>
      <c r="B371" s="135">
        <v>18501</v>
      </c>
      <c r="C371" s="266" t="s">
        <v>154</v>
      </c>
      <c r="D371" s="26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42">
        <v>300343</v>
      </c>
      <c r="B372" s="135">
        <v>18501</v>
      </c>
      <c r="C372" s="266" t="s">
        <v>154</v>
      </c>
      <c r="D372" s="26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42">
        <v>300344</v>
      </c>
      <c r="B373" s="135">
        <v>18501</v>
      </c>
      <c r="C373" s="266" t="s">
        <v>154</v>
      </c>
      <c r="D373" s="26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42">
        <v>300396</v>
      </c>
      <c r="B374" s="135">
        <v>18501</v>
      </c>
      <c r="C374" s="266" t="s">
        <v>155</v>
      </c>
      <c r="D374" s="26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42">
        <v>300397</v>
      </c>
      <c r="B375" s="135">
        <v>18501</v>
      </c>
      <c r="C375" s="266" t="s">
        <v>155</v>
      </c>
      <c r="D375" s="26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42">
        <v>300398</v>
      </c>
      <c r="B376" s="135">
        <v>18501</v>
      </c>
      <c r="C376" s="266" t="s">
        <v>155</v>
      </c>
      <c r="D376" s="26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42">
        <v>300271</v>
      </c>
      <c r="B377" s="135">
        <v>18501</v>
      </c>
      <c r="C377" s="248" t="s">
        <v>156</v>
      </c>
      <c r="D377" s="248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42">
        <v>300009</v>
      </c>
      <c r="B378" s="135">
        <v>18501</v>
      </c>
      <c r="C378" s="248" t="s">
        <v>157</v>
      </c>
      <c r="D378" s="248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42">
        <v>300010</v>
      </c>
      <c r="B379" s="135">
        <v>18501</v>
      </c>
      <c r="C379" s="248" t="s">
        <v>157</v>
      </c>
      <c r="D379" s="248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42">
        <v>300305</v>
      </c>
      <c r="B380" s="135">
        <v>18501</v>
      </c>
      <c r="C380" s="248" t="s">
        <v>159</v>
      </c>
      <c r="D380" s="248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42">
        <v>300306</v>
      </c>
      <c r="B381" s="135">
        <v>18501</v>
      </c>
      <c r="C381" s="248" t="s">
        <v>159</v>
      </c>
      <c r="D381" s="248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42">
        <v>300307</v>
      </c>
      <c r="B382" s="135">
        <v>18501</v>
      </c>
      <c r="C382" s="248" t="s">
        <v>159</v>
      </c>
      <c r="D382" s="248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42">
        <v>300308</v>
      </c>
      <c r="B383" s="135">
        <v>18501</v>
      </c>
      <c r="C383" s="248" t="s">
        <v>159</v>
      </c>
      <c r="D383" s="248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42">
        <v>300182</v>
      </c>
      <c r="B384" s="135">
        <v>18501</v>
      </c>
      <c r="C384" s="248" t="s">
        <v>161</v>
      </c>
      <c r="D384" s="248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42">
        <v>300185</v>
      </c>
      <c r="B385" s="135">
        <v>18501</v>
      </c>
      <c r="C385" s="248" t="s">
        <v>161</v>
      </c>
      <c r="D385" s="248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42">
        <v>300272</v>
      </c>
      <c r="B386" s="135">
        <v>18502</v>
      </c>
      <c r="C386" s="248" t="s">
        <v>162</v>
      </c>
      <c r="D386" s="248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42">
        <v>300273</v>
      </c>
      <c r="B387" s="135">
        <v>18502</v>
      </c>
      <c r="C387" s="248" t="s">
        <v>162</v>
      </c>
      <c r="D387" s="248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42">
        <v>300274</v>
      </c>
      <c r="B388" s="135">
        <v>18502</v>
      </c>
      <c r="C388" s="248" t="s">
        <v>162</v>
      </c>
      <c r="D388" s="248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42">
        <v>300275</v>
      </c>
      <c r="B389" s="135">
        <v>18502</v>
      </c>
      <c r="C389" s="248" t="s">
        <v>162</v>
      </c>
      <c r="D389" s="248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42">
        <v>300285</v>
      </c>
      <c r="B390" s="135">
        <v>13001</v>
      </c>
      <c r="C390" s="248" t="s">
        <v>165</v>
      </c>
      <c r="D390" s="248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42">
        <v>300287</v>
      </c>
      <c r="B391" s="135">
        <v>13001</v>
      </c>
      <c r="C391" s="248" t="s">
        <v>165</v>
      </c>
      <c r="D391" s="248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42">
        <v>300284</v>
      </c>
      <c r="B392" s="135">
        <v>13001</v>
      </c>
      <c r="C392" s="248" t="s">
        <v>165</v>
      </c>
      <c r="D392" s="248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42">
        <v>300283</v>
      </c>
      <c r="B393" s="135">
        <v>13001</v>
      </c>
      <c r="C393" s="248" t="s">
        <v>165</v>
      </c>
      <c r="D393" s="248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42">
        <v>300289</v>
      </c>
      <c r="B394" s="135">
        <v>13001</v>
      </c>
      <c r="C394" s="248" t="s">
        <v>165</v>
      </c>
      <c r="D394" s="248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42">
        <v>300288</v>
      </c>
      <c r="B395" s="135">
        <v>13001</v>
      </c>
      <c r="C395" s="248" t="s">
        <v>165</v>
      </c>
      <c r="D395" s="248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24">
        <v>13001</v>
      </c>
      <c r="C396" s="262" t="s">
        <v>168</v>
      </c>
      <c r="D396" s="263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39">
        <v>300356</v>
      </c>
      <c r="B397" s="124">
        <v>13001</v>
      </c>
      <c r="C397" s="262" t="s">
        <v>168</v>
      </c>
      <c r="D397" s="263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 t="s">
        <v>170</v>
      </c>
      <c r="C398" s="259" t="s">
        <v>168</v>
      </c>
      <c r="D398" s="260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 t="s">
        <v>171</v>
      </c>
      <c r="C399" s="259" t="s">
        <v>168</v>
      </c>
      <c r="D399" s="260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42">
        <v>300438</v>
      </c>
      <c r="B400" s="135" t="s">
        <v>87</v>
      </c>
      <c r="C400" s="248" t="s">
        <v>312</v>
      </c>
      <c r="D400" s="24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42">
        <v>300439</v>
      </c>
      <c r="B401" s="135" t="s">
        <v>87</v>
      </c>
      <c r="C401" s="248" t="s">
        <v>312</v>
      </c>
      <c r="D401" s="24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42">
        <v>300440</v>
      </c>
      <c r="B402" s="135" t="s">
        <v>87</v>
      </c>
      <c r="C402" s="248" t="s">
        <v>312</v>
      </c>
      <c r="D402" s="24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42">
        <v>300441</v>
      </c>
      <c r="B403" s="135" t="s">
        <v>87</v>
      </c>
      <c r="C403" s="248" t="s">
        <v>312</v>
      </c>
      <c r="D403" s="24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39">
        <v>300406</v>
      </c>
      <c r="B404" s="135" t="s">
        <v>171</v>
      </c>
      <c r="C404" s="259" t="s">
        <v>172</v>
      </c>
      <c r="D404" s="26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39">
        <v>300407</v>
      </c>
      <c r="B405" s="135" t="s">
        <v>171</v>
      </c>
      <c r="C405" s="259" t="s">
        <v>172</v>
      </c>
      <c r="D405" s="26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39">
        <v>300408</v>
      </c>
      <c r="B406" s="135" t="s">
        <v>171</v>
      </c>
      <c r="C406" s="259" t="s">
        <v>172</v>
      </c>
      <c r="D406" s="26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39">
        <v>300409</v>
      </c>
      <c r="B407" s="135" t="s">
        <v>171</v>
      </c>
      <c r="C407" s="259" t="s">
        <v>172</v>
      </c>
      <c r="D407" s="26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46">
        <f t="array" ref="G408">SUM(IF(ISERROR(G215:G407),“”,G215:G407))</f>
        <v>0</v>
      </c>
      <c r="H408" s="146">
        <f t="array" ref="H408">SUM(IF(ISERROR(H215:H407),“”,H215:H407))</f>
        <v>0</v>
      </c>
      <c r="I408" s="146">
        <f t="array" ref="I408">SUM(IF(ISERROR(I215:I407),“”,I215:I407))</f>
        <v>0</v>
      </c>
      <c r="J408" s="146">
        <f t="array" ref="J408">SUM(IF(ISERROR(J215:J407),“”,J215:J407))</f>
        <v>0</v>
      </c>
      <c r="K408" s="146">
        <f t="array" ref="K408">SUM(IF(ISERROR(K215:K407),“”,K215:K407))</f>
        <v>0</v>
      </c>
      <c r="L408" s="117">
        <f>SUM(L215:L399)</f>
        <v>0</v>
      </c>
      <c r="M408" s="146"/>
      <c r="N408" s="146"/>
      <c r="O408" s="146">
        <f t="array" ref="O408">SUM(IF(ISERROR(O215:O407),“”,O215:O407))</f>
        <v>0</v>
      </c>
      <c r="P408" s="56">
        <f>SUM((P215:P399),(W413:X418))</f>
        <v>0</v>
      </c>
      <c r="Q408" s="146"/>
      <c r="R408" s="56">
        <f>SUM((R215:R399),(Y413:Z418))</f>
        <v>0</v>
      </c>
      <c r="S408" s="146">
        <f t="array" ref="S408">SUM(IF(ISERROR(S215:S407),“”,S215:S407))</f>
        <v>0</v>
      </c>
      <c r="T408" s="146"/>
      <c r="U408" s="146"/>
      <c r="V408" s="143" t="str">
        <f t="array" ref="V408">IF(ISERROR(L408/K408),"",L408/K408)</f>
        <v/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0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44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44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44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9"/>
  <dimension ref="A1:AC454"/>
  <sheetViews>
    <sheetView workbookViewId="0">
      <pane xSplit="5" ySplit="24" topLeftCell="L399" activePane="bottomRight" state="frozen"/>
      <selection pane="topRight" activeCell="F1" sqref="F1"/>
      <selection pane="bottomLeft" activeCell="A25" sqref="A25"/>
      <selection pane="bottomRight" activeCell="U415" sqref="U415:V415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35" t="s">
        <v>25</v>
      </c>
      <c r="S5" s="249"/>
      <c r="T5" s="251"/>
      <c r="U5" s="251"/>
      <c r="V5" s="25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61" t="s">
        <v>34</v>
      </c>
      <c r="D6" s="26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61" t="s">
        <v>34</v>
      </c>
      <c r="D7" s="26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61" t="s">
        <v>34</v>
      </c>
      <c r="D8" s="26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61" t="s">
        <v>34</v>
      </c>
      <c r="D9" s="26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48" t="s">
        <v>34</v>
      </c>
      <c r="D10" s="24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48" t="s">
        <v>34</v>
      </c>
      <c r="D11" s="24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48" t="s">
        <v>34</v>
      </c>
      <c r="D12" s="24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48" t="s">
        <v>34</v>
      </c>
      <c r="D13" s="24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59" t="s">
        <v>313</v>
      </c>
      <c r="D14" s="26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59" t="s">
        <v>313</v>
      </c>
      <c r="D15" s="26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59" t="s">
        <v>44</v>
      </c>
      <c r="D16" s="26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59" t="s">
        <v>44</v>
      </c>
      <c r="D17" s="26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59" t="s">
        <v>44</v>
      </c>
      <c r="D18" s="26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48" t="s">
        <v>45</v>
      </c>
      <c r="D19" s="24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48" t="s">
        <v>46</v>
      </c>
      <c r="D20" s="24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48" t="s">
        <v>48</v>
      </c>
      <c r="D21" s="24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48" t="s">
        <v>50</v>
      </c>
      <c r="D22" s="24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48" t="s">
        <v>50</v>
      </c>
      <c r="D23" s="24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48" t="s">
        <v>50</v>
      </c>
      <c r="D24" s="24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42">
        <v>300011</v>
      </c>
      <c r="B25" s="135">
        <v>3004</v>
      </c>
      <c r="C25" s="248" t="s">
        <v>51</v>
      </c>
      <c r="D25" s="248"/>
      <c r="E25" s="148" t="s">
        <v>40</v>
      </c>
      <c r="F25" s="13"/>
      <c r="G25" s="133">
        <v>5</v>
      </c>
      <c r="H25" s="133"/>
      <c r="I25" s="133">
        <v>5</v>
      </c>
      <c r="J25" s="133"/>
      <c r="K25" s="146">
        <f t="shared" si="0"/>
        <v>2623</v>
      </c>
      <c r="L25" s="146">
        <f t="shared" si="1"/>
        <v>2623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17.211286089238843</v>
      </c>
      <c r="Q25" s="146">
        <v>6.5</v>
      </c>
      <c r="R25" s="19">
        <f t="shared" si="3"/>
        <v>13</v>
      </c>
      <c r="S25" s="146">
        <f t="shared" si="4"/>
        <v>-4.2112860892388433</v>
      </c>
      <c r="T25" s="20">
        <v>3</v>
      </c>
      <c r="U25" s="20">
        <v>2</v>
      </c>
      <c r="V25" s="143">
        <f t="array" ref="V25">IF(ISERROR(L25/K25),"",L25/K25)</f>
        <v>1</v>
      </c>
      <c r="W25" s="20"/>
      <c r="X25" s="20"/>
      <c r="Y25" s="20"/>
      <c r="Z25" s="20"/>
      <c r="AA25" s="20">
        <v>2</v>
      </c>
      <c r="AB25" s="20"/>
      <c r="AC25" s="20"/>
    </row>
    <row r="26" spans="1:29" ht="21.95" customHeight="1">
      <c r="A26" s="142">
        <v>300012</v>
      </c>
      <c r="B26" s="135">
        <v>3004</v>
      </c>
      <c r="C26" s="248" t="s">
        <v>51</v>
      </c>
      <c r="D26" s="248"/>
      <c r="E26" s="148" t="s">
        <v>41</v>
      </c>
      <c r="F26" s="13"/>
      <c r="G26" s="133">
        <v>4</v>
      </c>
      <c r="H26" s="133"/>
      <c r="I26" s="133">
        <v>4</v>
      </c>
      <c r="J26" s="133"/>
      <c r="K26" s="146">
        <f t="shared" si="0"/>
        <v>2098.4</v>
      </c>
      <c r="L26" s="146">
        <f t="shared" si="1"/>
        <v>2098.4</v>
      </c>
      <c r="M26" s="146">
        <v>524.6</v>
      </c>
      <c r="N26" s="146">
        <f>+M26*1000/(25.4*20*15*60)*T26</f>
        <v>3.4422572178477688</v>
      </c>
      <c r="O26" s="146">
        <v>0.5</v>
      </c>
      <c r="P26" s="146">
        <f t="shared" si="2"/>
        <v>14.769028871391075</v>
      </c>
      <c r="Q26" s="146">
        <v>5</v>
      </c>
      <c r="R26" s="19">
        <f t="shared" si="3"/>
        <v>10</v>
      </c>
      <c r="S26" s="146">
        <f t="shared" si="4"/>
        <v>-4.7690288713910753</v>
      </c>
      <c r="T26" s="20">
        <v>3</v>
      </c>
      <c r="U26" s="20">
        <v>2</v>
      </c>
      <c r="V26" s="143">
        <f t="array" ref="V26">IF(ISERROR(L26/K26),"",L26/K26)</f>
        <v>1</v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48" t="s">
        <v>51</v>
      </c>
      <c r="D27" s="248"/>
      <c r="E27" s="148" t="s">
        <v>42</v>
      </c>
      <c r="F27" s="13"/>
      <c r="G27" s="133"/>
      <c r="H27" s="133"/>
      <c r="I27" s="133"/>
      <c r="J27" s="133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48" t="s">
        <v>51</v>
      </c>
      <c r="D28" s="248"/>
      <c r="E28" s="148" t="s">
        <v>38</v>
      </c>
      <c r="F28" s="13"/>
      <c r="G28" s="133"/>
      <c r="H28" s="133"/>
      <c r="I28" s="133"/>
      <c r="J28" s="133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61" t="s">
        <v>51</v>
      </c>
      <c r="D29" s="26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43" t="str">
        <f t="array" ref="V29">IF(ISERROR(L29/K29),"",L29/K29)</f>
        <v/>
      </c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48" t="s">
        <v>53</v>
      </c>
      <c r="D30" s="248"/>
      <c r="E30" s="148" t="s">
        <v>41</v>
      </c>
      <c r="F30" s="13"/>
      <c r="G30" s="133"/>
      <c r="H30" s="133"/>
      <c r="I30" s="133"/>
      <c r="J30" s="133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48" t="s">
        <v>53</v>
      </c>
      <c r="D31" s="248"/>
      <c r="E31" s="148" t="s">
        <v>39</v>
      </c>
      <c r="F31" s="13"/>
      <c r="G31" s="133"/>
      <c r="H31" s="133"/>
      <c r="I31" s="133"/>
      <c r="J31" s="133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48" t="s">
        <v>53</v>
      </c>
      <c r="D32" s="248"/>
      <c r="E32" s="148" t="s">
        <v>54</v>
      </c>
      <c r="F32" s="13"/>
      <c r="G32" s="133"/>
      <c r="H32" s="133"/>
      <c r="I32" s="133"/>
      <c r="J32" s="133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48" t="s">
        <v>56</v>
      </c>
      <c r="D33" s="248"/>
      <c r="E33" s="148" t="s">
        <v>54</v>
      </c>
      <c r="F33" s="13"/>
      <c r="G33" s="133"/>
      <c r="H33" s="133"/>
      <c r="I33" s="133"/>
      <c r="J33" s="133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48" t="s">
        <v>56</v>
      </c>
      <c r="D34" s="248"/>
      <c r="E34" s="148" t="s">
        <v>35</v>
      </c>
      <c r="F34" s="13"/>
      <c r="G34" s="133"/>
      <c r="H34" s="133"/>
      <c r="I34" s="133"/>
      <c r="J34" s="133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48" t="s">
        <v>56</v>
      </c>
      <c r="D35" s="248"/>
      <c r="E35" s="148" t="s">
        <v>57</v>
      </c>
      <c r="F35" s="13"/>
      <c r="G35" s="133"/>
      <c r="H35" s="133"/>
      <c r="I35" s="133"/>
      <c r="J35" s="133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48" t="s">
        <v>56</v>
      </c>
      <c r="D36" s="248"/>
      <c r="E36" s="148" t="s">
        <v>37</v>
      </c>
      <c r="F36" s="13"/>
      <c r="G36" s="133"/>
      <c r="H36" s="133"/>
      <c r="I36" s="133"/>
      <c r="J36" s="133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48" t="s">
        <v>58</v>
      </c>
      <c r="D37" s="248" t="s">
        <v>59</v>
      </c>
      <c r="E37" s="148" t="s">
        <v>35</v>
      </c>
      <c r="F37" s="13"/>
      <c r="G37" s="133"/>
      <c r="H37" s="133"/>
      <c r="I37" s="133"/>
      <c r="J37" s="133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59" t="s">
        <v>304</v>
      </c>
      <c r="D38" s="260"/>
      <c r="E38" s="148" t="s">
        <v>302</v>
      </c>
      <c r="F38" s="13"/>
      <c r="G38" s="133"/>
      <c r="H38" s="133"/>
      <c r="I38" s="133"/>
      <c r="J38" s="133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 t="str">
        <f t="array" ref="V38">IF(ISERROR(L38/K38),"",L38/K38)</f>
        <v/>
      </c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59" t="s">
        <v>304</v>
      </c>
      <c r="D39" s="260"/>
      <c r="E39" s="148" t="s">
        <v>311</v>
      </c>
      <c r="F39" s="13"/>
      <c r="G39" s="133"/>
      <c r="H39" s="133"/>
      <c r="I39" s="133"/>
      <c r="J39" s="133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 t="str">
        <f t="array" ref="V39">IF(ISERROR(L39/K39),"",L39/K39)</f>
        <v/>
      </c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59" t="s">
        <v>304</v>
      </c>
      <c r="D40" s="260"/>
      <c r="E40" s="148" t="s">
        <v>303</v>
      </c>
      <c r="F40" s="13"/>
      <c r="G40" s="133"/>
      <c r="H40" s="133"/>
      <c r="I40" s="133"/>
      <c r="J40" s="133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 t="str">
        <f t="array" ref="V40">IF(ISERROR(L40/K40),"",L40/K40)</f>
        <v/>
      </c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48" t="s">
        <v>61</v>
      </c>
      <c r="D41" s="248" t="s">
        <v>62</v>
      </c>
      <c r="E41" s="148" t="s">
        <v>35</v>
      </c>
      <c r="F41" s="13"/>
      <c r="G41" s="133"/>
      <c r="H41" s="133"/>
      <c r="I41" s="133"/>
      <c r="J41" s="133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48" t="s">
        <v>61</v>
      </c>
      <c r="D42" s="248" t="s">
        <v>62</v>
      </c>
      <c r="E42" s="148" t="s">
        <v>63</v>
      </c>
      <c r="F42" s="13"/>
      <c r="G42" s="133"/>
      <c r="H42" s="133"/>
      <c r="I42" s="133"/>
      <c r="J42" s="133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48" t="s">
        <v>61</v>
      </c>
      <c r="D43" s="248" t="s">
        <v>62</v>
      </c>
      <c r="E43" s="148" t="s">
        <v>37</v>
      </c>
      <c r="F43" s="13"/>
      <c r="G43" s="133"/>
      <c r="H43" s="133"/>
      <c r="I43" s="133"/>
      <c r="J43" s="133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48" t="s">
        <v>64</v>
      </c>
      <c r="D44" s="248" t="s">
        <v>65</v>
      </c>
      <c r="E44" s="148" t="s">
        <v>35</v>
      </c>
      <c r="F44" s="13"/>
      <c r="G44" s="133"/>
      <c r="H44" s="133"/>
      <c r="I44" s="133"/>
      <c r="J44" s="133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48" t="s">
        <v>64</v>
      </c>
      <c r="D45" s="248" t="s">
        <v>65</v>
      </c>
      <c r="E45" s="148" t="s">
        <v>66</v>
      </c>
      <c r="F45" s="13"/>
      <c r="G45" s="133"/>
      <c r="H45" s="133"/>
      <c r="I45" s="133"/>
      <c r="J45" s="133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59" t="s">
        <v>68</v>
      </c>
      <c r="D46" s="260"/>
      <c r="E46" s="148" t="s">
        <v>69</v>
      </c>
      <c r="F46" s="147"/>
      <c r="G46" s="133"/>
      <c r="H46" s="133"/>
      <c r="I46" s="133"/>
      <c r="J46" s="133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 t="str">
        <f t="array" ref="V46">IF(ISERROR(L46/K46),"",L46/K46)</f>
        <v/>
      </c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59" t="s">
        <v>68</v>
      </c>
      <c r="D47" s="260"/>
      <c r="E47" s="148" t="s">
        <v>70</v>
      </c>
      <c r="F47" s="147"/>
      <c r="G47" s="133"/>
      <c r="H47" s="133"/>
      <c r="I47" s="133"/>
      <c r="J47" s="133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 t="str">
        <f t="array" ref="V47">IF(ISERROR(L47/K47),"",L47/K47)</f>
        <v/>
      </c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59" t="s">
        <v>68</v>
      </c>
      <c r="D48" s="260"/>
      <c r="E48" s="148" t="s">
        <v>71</v>
      </c>
      <c r="F48" s="147"/>
      <c r="G48" s="133"/>
      <c r="H48" s="133"/>
      <c r="I48" s="133"/>
      <c r="J48" s="133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 t="str">
        <f t="array" ref="V48">IF(ISERROR(L48/K48),"",L48/K48)</f>
        <v/>
      </c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59" t="s">
        <v>68</v>
      </c>
      <c r="D49" s="260"/>
      <c r="E49" s="148" t="s">
        <v>72</v>
      </c>
      <c r="F49" s="147"/>
      <c r="G49" s="133"/>
      <c r="H49" s="133"/>
      <c r="I49" s="133"/>
      <c r="J49" s="133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 t="str">
        <f t="array" ref="V49">IF(ISERROR(L49/K49),"",L49/K49)</f>
        <v/>
      </c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48" t="s">
        <v>73</v>
      </c>
      <c r="D50" s="248"/>
      <c r="E50" s="148" t="s">
        <v>74</v>
      </c>
      <c r="F50" s="13"/>
      <c r="G50" s="133"/>
      <c r="H50" s="133"/>
      <c r="I50" s="133"/>
      <c r="J50" s="133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48" t="s">
        <v>73</v>
      </c>
      <c r="D51" s="248"/>
      <c r="E51" s="148" t="s">
        <v>41</v>
      </c>
      <c r="F51" s="13"/>
      <c r="G51" s="133"/>
      <c r="H51" s="133"/>
      <c r="I51" s="133"/>
      <c r="J51" s="133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48" t="s">
        <v>73</v>
      </c>
      <c r="D52" s="248"/>
      <c r="E52" s="148" t="s">
        <v>39</v>
      </c>
      <c r="F52" s="13"/>
      <c r="G52" s="133"/>
      <c r="H52" s="133"/>
      <c r="I52" s="133"/>
      <c r="J52" s="133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48" t="s">
        <v>73</v>
      </c>
      <c r="D53" s="248"/>
      <c r="E53" s="148" t="s">
        <v>54</v>
      </c>
      <c r="F53" s="13"/>
      <c r="G53" s="133"/>
      <c r="H53" s="133"/>
      <c r="I53" s="133"/>
      <c r="J53" s="133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48" t="s">
        <v>75</v>
      </c>
      <c r="D54" s="248" t="s">
        <v>76</v>
      </c>
      <c r="E54" s="148" t="s">
        <v>40</v>
      </c>
      <c r="F54" s="13"/>
      <c r="G54" s="133"/>
      <c r="H54" s="133"/>
      <c r="I54" s="133"/>
      <c r="J54" s="133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48" t="s">
        <v>75</v>
      </c>
      <c r="D55" s="248" t="s">
        <v>76</v>
      </c>
      <c r="E55" s="148" t="s">
        <v>39</v>
      </c>
      <c r="F55" s="13"/>
      <c r="G55" s="133"/>
      <c r="H55" s="133"/>
      <c r="I55" s="133"/>
      <c r="J55" s="133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48" t="s">
        <v>75</v>
      </c>
      <c r="D56" s="248" t="s">
        <v>76</v>
      </c>
      <c r="E56" s="148" t="s">
        <v>38</v>
      </c>
      <c r="F56" s="13"/>
      <c r="G56" s="133"/>
      <c r="H56" s="133"/>
      <c r="I56" s="133"/>
      <c r="J56" s="133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61" t="s">
        <v>75</v>
      </c>
      <c r="D57" s="26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43" t="str">
        <f t="array" ref="V57">IF(ISERROR(L57/K57),"",L57/K57)</f>
        <v/>
      </c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48" t="s">
        <v>77</v>
      </c>
      <c r="D58" s="248" t="s">
        <v>78</v>
      </c>
      <c r="E58" s="148" t="s">
        <v>79</v>
      </c>
      <c r="F58" s="13"/>
      <c r="G58" s="133"/>
      <c r="H58" s="133"/>
      <c r="I58" s="133"/>
      <c r="J58" s="133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48" t="s">
        <v>77</v>
      </c>
      <c r="D59" s="248" t="s">
        <v>78</v>
      </c>
      <c r="E59" s="148" t="s">
        <v>35</v>
      </c>
      <c r="F59" s="13"/>
      <c r="G59" s="133"/>
      <c r="H59" s="133"/>
      <c r="I59" s="133"/>
      <c r="J59" s="133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59" t="s">
        <v>301</v>
      </c>
      <c r="D60" s="260"/>
      <c r="E60" s="148" t="s">
        <v>54</v>
      </c>
      <c r="F60" s="13"/>
      <c r="G60" s="133"/>
      <c r="H60" s="133"/>
      <c r="I60" s="133"/>
      <c r="J60" s="133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 t="str">
        <f t="array" ref="V60">IF(ISERROR(L60/K60),"",L60/K60)</f>
        <v/>
      </c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59" t="s">
        <v>301</v>
      </c>
      <c r="D61" s="260"/>
      <c r="E61" s="148" t="s">
        <v>80</v>
      </c>
      <c r="F61" s="13"/>
      <c r="G61" s="133"/>
      <c r="H61" s="133"/>
      <c r="I61" s="133"/>
      <c r="J61" s="133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 t="str">
        <f t="array" ref="V61">IF(ISERROR(L61/K61),"",L61/K61)</f>
        <v/>
      </c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48" t="s">
        <v>81</v>
      </c>
      <c r="D62" s="248" t="s">
        <v>82</v>
      </c>
      <c r="E62" s="148" t="s">
        <v>80</v>
      </c>
      <c r="F62" s="13"/>
      <c r="G62" s="133"/>
      <c r="H62" s="133"/>
      <c r="I62" s="133"/>
      <c r="J62" s="133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48" t="s">
        <v>81</v>
      </c>
      <c r="D63" s="248" t="s">
        <v>82</v>
      </c>
      <c r="E63" s="148" t="s">
        <v>54</v>
      </c>
      <c r="F63" s="13"/>
      <c r="G63" s="133"/>
      <c r="H63" s="133"/>
      <c r="I63" s="133"/>
      <c r="J63" s="133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59" t="s">
        <v>83</v>
      </c>
      <c r="D64" s="260"/>
      <c r="E64" s="148" t="s">
        <v>84</v>
      </c>
      <c r="F64" s="13"/>
      <c r="G64" s="133"/>
      <c r="H64" s="133"/>
      <c r="I64" s="133"/>
      <c r="J64" s="133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59" t="s">
        <v>83</v>
      </c>
      <c r="D65" s="260"/>
      <c r="E65" s="148" t="s">
        <v>49</v>
      </c>
      <c r="F65" s="13"/>
      <c r="G65" s="133"/>
      <c r="H65" s="133"/>
      <c r="I65" s="133"/>
      <c r="J65" s="133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 t="str">
        <f t="array" ref="V65">IF(ISERROR(L65/K65),"",L65/K65)</f>
        <v/>
      </c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59" t="s">
        <v>83</v>
      </c>
      <c r="D66" s="260"/>
      <c r="E66" s="148" t="s">
        <v>85</v>
      </c>
      <c r="F66" s="13"/>
      <c r="G66" s="133"/>
      <c r="H66" s="133"/>
      <c r="I66" s="133"/>
      <c r="J66" s="133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 t="str">
        <f t="array" ref="V66">IF(ISERROR(L66/K66),"",L66/K66)</f>
        <v/>
      </c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59" t="s">
        <v>86</v>
      </c>
      <c r="D67" s="260"/>
      <c r="E67" s="148" t="s">
        <v>84</v>
      </c>
      <c r="F67" s="13"/>
      <c r="G67" s="133"/>
      <c r="H67" s="133"/>
      <c r="I67" s="133"/>
      <c r="J67" s="133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 t="str">
        <f t="array" ref="V67">IF(ISERROR(L67/K67),"",L67/K67)</f>
        <v/>
      </c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59" t="s">
        <v>86</v>
      </c>
      <c r="D68" s="260"/>
      <c r="E68" s="148" t="s">
        <v>85</v>
      </c>
      <c r="F68" s="13"/>
      <c r="G68" s="133"/>
      <c r="H68" s="133"/>
      <c r="I68" s="133"/>
      <c r="J68" s="133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 t="str">
        <f t="array" ref="V68">IF(ISERROR(L68/K68),"",L68/K68)</f>
        <v/>
      </c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59" t="s">
        <v>86</v>
      </c>
      <c r="D69" s="260"/>
      <c r="E69" s="148" t="s">
        <v>49</v>
      </c>
      <c r="F69" s="13"/>
      <c r="G69" s="133"/>
      <c r="H69" s="133"/>
      <c r="I69" s="133"/>
      <c r="J69" s="133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 t="str">
        <f t="array" ref="V69">IF(ISERROR(L69/K69),"",L69/K69)</f>
        <v/>
      </c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48" t="s">
        <v>88</v>
      </c>
      <c r="D70" s="248" t="s">
        <v>89</v>
      </c>
      <c r="E70" s="148" t="s">
        <v>42</v>
      </c>
      <c r="F70" s="13"/>
      <c r="G70" s="133"/>
      <c r="H70" s="133"/>
      <c r="I70" s="133"/>
      <c r="J70" s="133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48" t="s">
        <v>88</v>
      </c>
      <c r="D71" s="248" t="s">
        <v>89</v>
      </c>
      <c r="E71" s="148" t="s">
        <v>41</v>
      </c>
      <c r="F71" s="13"/>
      <c r="G71" s="133"/>
      <c r="H71" s="133"/>
      <c r="I71" s="133"/>
      <c r="J71" s="133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48" t="s">
        <v>88</v>
      </c>
      <c r="D72" s="248" t="s">
        <v>89</v>
      </c>
      <c r="E72" s="148" t="s">
        <v>57</v>
      </c>
      <c r="F72" s="13"/>
      <c r="G72" s="133"/>
      <c r="H72" s="133"/>
      <c r="I72" s="133"/>
      <c r="J72" s="133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48" t="s">
        <v>88</v>
      </c>
      <c r="D73" s="248" t="s">
        <v>89</v>
      </c>
      <c r="E73" s="148" t="s">
        <v>35</v>
      </c>
      <c r="F73" s="13"/>
      <c r="G73" s="133"/>
      <c r="H73" s="133"/>
      <c r="I73" s="133"/>
      <c r="J73" s="133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43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48" t="s">
        <v>316</v>
      </c>
      <c r="D75" s="248" t="s">
        <v>89</v>
      </c>
      <c r="E75" s="148" t="s">
        <v>42</v>
      </c>
      <c r="F75" s="13"/>
      <c r="G75" s="133"/>
      <c r="H75" s="133"/>
      <c r="I75" s="133"/>
      <c r="J75" s="133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48" t="s">
        <v>317</v>
      </c>
      <c r="D76" s="248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48" t="s">
        <v>317</v>
      </c>
      <c r="D77" s="248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48" t="s">
        <v>317</v>
      </c>
      <c r="D78" s="248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48" t="s">
        <v>98</v>
      </c>
      <c r="D79" s="248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48" t="s">
        <v>98</v>
      </c>
      <c r="D80" s="248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48" t="s">
        <v>98</v>
      </c>
      <c r="D81" s="248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 t="str">
        <f t="array" ref="V81">IF(ISERROR(L81/K81),"",L81/K81)</f>
        <v/>
      </c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48" t="s">
        <v>98</v>
      </c>
      <c r="D82" s="248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43" t="str">
        <f t="array" ref="V83">IF(ISERROR(L83/K83),"",L83/K83)</f>
        <v/>
      </c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48" t="s">
        <v>100</v>
      </c>
      <c r="D84" s="248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48" t="s">
        <v>100</v>
      </c>
      <c r="D85" s="248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 t="str">
        <f t="array" ref="V85">IF(ISERROR(L85/K85),"",L85/K85)</f>
        <v/>
      </c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48" t="s">
        <v>100</v>
      </c>
      <c r="D86" s="248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 t="str">
        <f t="array" ref="V86">IF(ISERROR(L86/K86),"",L86/K86)</f>
        <v/>
      </c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48" t="s">
        <v>100</v>
      </c>
      <c r="D87" s="248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 t="str">
        <f t="array" ref="V87">IF(ISERROR(L87/K87),"",L87/K87)</f>
        <v/>
      </c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48" t="s">
        <v>106</v>
      </c>
      <c r="D88" s="248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48" t="s">
        <v>106</v>
      </c>
      <c r="D89" s="248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48" t="s">
        <v>106</v>
      </c>
      <c r="D90" s="248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48" t="s">
        <v>106</v>
      </c>
      <c r="D91" s="248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48" t="s">
        <v>107</v>
      </c>
      <c r="D92" s="248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48" t="s">
        <v>107</v>
      </c>
      <c r="D93" s="248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48" t="s">
        <v>107</v>
      </c>
      <c r="D94" s="248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48" t="s">
        <v>107</v>
      </c>
      <c r="D95" s="248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48" t="s">
        <v>107</v>
      </c>
      <c r="D96" s="248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43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48" t="s">
        <v>318</v>
      </c>
      <c r="D98" s="248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48" t="s">
        <v>318</v>
      </c>
      <c r="D99" s="248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48" t="s">
        <v>112</v>
      </c>
      <c r="D100" s="248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48" t="s">
        <v>112</v>
      </c>
      <c r="D101" s="248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48" t="s">
        <v>112</v>
      </c>
      <c r="D102" s="248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59" t="s">
        <v>296</v>
      </c>
      <c r="D103" s="260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 t="str">
        <f t="array" ref="V103">IF(ISERROR(L103/K103),"",L103/K103)</f>
        <v/>
      </c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59" t="s">
        <v>296</v>
      </c>
      <c r="D104" s="260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 t="str">
        <f t="array" ref="V104">IF(ISERROR(L104/K104),"",L104/K104)</f>
        <v/>
      </c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59" t="s">
        <v>296</v>
      </c>
      <c r="D105" s="260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 t="str">
        <f t="array" ref="V105">IF(ISERROR(L105/K105),"",L105/K105)</f>
        <v/>
      </c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62" t="s">
        <v>114</v>
      </c>
      <c r="D106" s="26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43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43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2" customFormat="1" ht="21.95" customHeight="1">
      <c r="A108" s="142">
        <v>300431</v>
      </c>
      <c r="B108" s="135" t="s">
        <v>319</v>
      </c>
      <c r="C108" s="259" t="s">
        <v>305</v>
      </c>
      <c r="D108" s="260"/>
      <c r="E108" s="148" t="s">
        <v>306</v>
      </c>
      <c r="F108" s="27"/>
      <c r="G108" s="133">
        <v>5</v>
      </c>
      <c r="H108" s="133"/>
      <c r="I108" s="133">
        <v>5</v>
      </c>
      <c r="J108" s="133"/>
      <c r="K108" s="146">
        <f t="shared" si="7"/>
        <v>3144</v>
      </c>
      <c r="L108" s="146">
        <f t="shared" si="8"/>
        <v>3144</v>
      </c>
      <c r="M108" s="146">
        <v>628.79999999999995</v>
      </c>
      <c r="N108" s="146">
        <f>+M108*1000/(87*1*80*60)*T108</f>
        <v>6.0229885057471266</v>
      </c>
      <c r="O108" s="146">
        <v>0.5</v>
      </c>
      <c r="P108" s="146">
        <f t="shared" si="9"/>
        <v>32.614942528735632</v>
      </c>
      <c r="Q108" s="146">
        <v>10</v>
      </c>
      <c r="R108" s="19">
        <f t="shared" si="10"/>
        <v>50</v>
      </c>
      <c r="S108" s="146">
        <f t="shared" si="11"/>
        <v>17.385057471264368</v>
      </c>
      <c r="T108" s="20">
        <v>4</v>
      </c>
      <c r="U108" s="20">
        <v>5</v>
      </c>
      <c r="V108" s="143">
        <f t="array" ref="V108">IF(ISERROR(L108/K108),"",L108/K108)</f>
        <v>1</v>
      </c>
      <c r="W108" s="20"/>
      <c r="X108" s="20"/>
      <c r="Y108" s="20"/>
      <c r="Z108" s="20"/>
      <c r="AA108" s="20">
        <v>2</v>
      </c>
      <c r="AB108" s="20"/>
      <c r="AC108" s="20"/>
    </row>
    <row r="109" spans="1:29" s="2" customFormat="1" ht="21" customHeight="1">
      <c r="A109" s="142">
        <v>300432</v>
      </c>
      <c r="B109" s="135" t="s">
        <v>319</v>
      </c>
      <c r="C109" s="259" t="s">
        <v>305</v>
      </c>
      <c r="D109" s="260"/>
      <c r="E109" s="148" t="s">
        <v>307</v>
      </c>
      <c r="F109" s="27"/>
      <c r="G109" s="133">
        <v>4</v>
      </c>
      <c r="H109" s="133"/>
      <c r="I109" s="133">
        <v>4</v>
      </c>
      <c r="J109" s="133"/>
      <c r="K109" s="146">
        <f t="shared" si="7"/>
        <v>2515.1999999999998</v>
      </c>
      <c r="L109" s="146">
        <f t="shared" si="8"/>
        <v>2515.1999999999998</v>
      </c>
      <c r="M109" s="146">
        <v>628.79999999999995</v>
      </c>
      <c r="N109" s="146">
        <f>+M109*1000/(87*1*80*60)*T109</f>
        <v>6.0229885057471266</v>
      </c>
      <c r="O109" s="146"/>
      <c r="P109" s="146">
        <f t="shared" si="9"/>
        <v>24.091954022988507</v>
      </c>
      <c r="Q109" s="146">
        <v>12</v>
      </c>
      <c r="R109" s="19">
        <f t="shared" si="10"/>
        <v>60</v>
      </c>
      <c r="S109" s="146">
        <f t="shared" si="11"/>
        <v>35.908045977011497</v>
      </c>
      <c r="T109" s="20">
        <v>4</v>
      </c>
      <c r="U109" s="20">
        <v>5</v>
      </c>
      <c r="V109" s="143">
        <f t="array" ref="V109">IF(ISERROR(L109/K109),"",L109/K109)</f>
        <v>1</v>
      </c>
      <c r="W109" s="20"/>
      <c r="X109" s="20"/>
      <c r="Y109" s="20"/>
      <c r="Z109" s="20"/>
      <c r="AA109" s="20">
        <v>2</v>
      </c>
      <c r="AB109" s="20"/>
      <c r="AC109" s="20"/>
    </row>
    <row r="110" spans="1:29" s="2" customFormat="1" ht="21" hidden="1" customHeight="1">
      <c r="A110" s="142">
        <v>300433</v>
      </c>
      <c r="B110" s="135" t="s">
        <v>300</v>
      </c>
      <c r="C110" s="259" t="s">
        <v>305</v>
      </c>
      <c r="D110" s="260"/>
      <c r="E110" s="134" t="s">
        <v>308</v>
      </c>
      <c r="F110" s="27"/>
      <c r="G110" s="133"/>
      <c r="H110" s="133"/>
      <c r="I110" s="133"/>
      <c r="J110" s="133"/>
      <c r="K110" s="146">
        <f t="shared" si="7"/>
        <v>0</v>
      </c>
      <c r="L110" s="146">
        <f t="shared" si="8"/>
        <v>0</v>
      </c>
      <c r="M110" s="146">
        <v>628.79999999999995</v>
      </c>
      <c r="N110" s="146">
        <f>+M110*1000/(87*1*80*60)*T110</f>
        <v>6.0229885057471266</v>
      </c>
      <c r="O110" s="146"/>
      <c r="P110" s="146">
        <f t="shared" si="9"/>
        <v>0</v>
      </c>
      <c r="Q110" s="146"/>
      <c r="R110" s="19">
        <f t="shared" si="10"/>
        <v>0</v>
      </c>
      <c r="S110" s="146">
        <f t="shared" si="11"/>
        <v>0</v>
      </c>
      <c r="T110" s="20">
        <v>4</v>
      </c>
      <c r="U110" s="20"/>
      <c r="V110" s="143" t="str">
        <f t="array" ref="V110">IF(ISERROR(L110/K110),"",L110/K110)</f>
        <v/>
      </c>
      <c r="W110" s="20"/>
      <c r="X110" s="20"/>
      <c r="Y110" s="20"/>
      <c r="Z110" s="20"/>
      <c r="AA110" s="20"/>
      <c r="AB110" s="20"/>
      <c r="AC110" s="20"/>
    </row>
    <row r="111" spans="1:29" ht="21" hidden="1" customHeight="1">
      <c r="A111" s="142">
        <v>300074</v>
      </c>
      <c r="B111" s="135" t="s">
        <v>118</v>
      </c>
      <c r="C111" s="248" t="s">
        <v>119</v>
      </c>
      <c r="D111" s="248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" hidden="1" customHeight="1">
      <c r="A112" s="142">
        <v>300076</v>
      </c>
      <c r="B112" s="135" t="s">
        <v>118</v>
      </c>
      <c r="C112" s="248" t="s">
        <v>119</v>
      </c>
      <c r="D112" s="248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" hidden="1" customHeight="1">
      <c r="A113" s="142">
        <v>300096</v>
      </c>
      <c r="B113" s="135" t="s">
        <v>118</v>
      </c>
      <c r="C113" s="248" t="s">
        <v>121</v>
      </c>
      <c r="D113" s="248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" hidden="1" customHeight="1">
      <c r="A114" s="142"/>
      <c r="B114" s="135" t="s">
        <v>118</v>
      </c>
      <c r="C114" s="248" t="s">
        <v>121</v>
      </c>
      <c r="D114" s="248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1" hidden="1" customHeight="1">
      <c r="A115" s="142">
        <v>300097</v>
      </c>
      <c r="B115" s="135" t="s">
        <v>118</v>
      </c>
      <c r="C115" s="248" t="s">
        <v>121</v>
      </c>
      <c r="D115" s="248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" hidden="1" customHeight="1">
      <c r="A116" s="135">
        <v>300294</v>
      </c>
      <c r="B116" s="135" t="s">
        <v>118</v>
      </c>
      <c r="C116" s="248" t="s">
        <v>123</v>
      </c>
      <c r="D116" s="248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" hidden="1" customHeight="1">
      <c r="A117" s="135">
        <v>300295</v>
      </c>
      <c r="B117" s="135" t="s">
        <v>124</v>
      </c>
      <c r="C117" s="248" t="s">
        <v>125</v>
      </c>
      <c r="D117" s="248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" hidden="1" customHeight="1">
      <c r="A118" s="135">
        <v>300258</v>
      </c>
      <c r="B118" s="135" t="s">
        <v>118</v>
      </c>
      <c r="C118" s="248" t="s">
        <v>123</v>
      </c>
      <c r="D118" s="248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" hidden="1" customHeight="1">
      <c r="A119" s="135">
        <v>300256</v>
      </c>
      <c r="B119" s="135" t="s">
        <v>118</v>
      </c>
      <c r="C119" s="248" t="s">
        <v>123</v>
      </c>
      <c r="D119" s="248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" hidden="1" customHeight="1">
      <c r="A120" s="135">
        <v>300259</v>
      </c>
      <c r="B120" s="135" t="s">
        <v>118</v>
      </c>
      <c r="C120" s="248" t="s">
        <v>123</v>
      </c>
      <c r="D120" s="248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" hidden="1" customHeight="1">
      <c r="A121" s="135">
        <v>300345</v>
      </c>
      <c r="B121" s="135" t="s">
        <v>118</v>
      </c>
      <c r="C121" s="248" t="s">
        <v>127</v>
      </c>
      <c r="D121" s="248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 t="str">
        <f t="array" ref="V121">IF(ISERROR(L121/K121),"",L121/K121)</f>
        <v/>
      </c>
      <c r="W121" s="41"/>
      <c r="X121" s="41"/>
      <c r="Y121" s="41"/>
      <c r="Z121" s="41"/>
      <c r="AA121" s="41"/>
      <c r="AB121" s="41"/>
      <c r="AC121" s="41"/>
    </row>
    <row r="122" spans="1:29" s="2" customFormat="1" ht="21" hidden="1" customHeight="1">
      <c r="A122" s="135">
        <v>300346</v>
      </c>
      <c r="B122" s="135" t="s">
        <v>118</v>
      </c>
      <c r="C122" s="248" t="s">
        <v>127</v>
      </c>
      <c r="D122" s="248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 t="str">
        <f t="array" ref="V122">IF(ISERROR(L122/K122),"",L122/K122)</f>
        <v/>
      </c>
      <c r="W122" s="41"/>
      <c r="X122" s="41"/>
      <c r="Y122" s="41"/>
      <c r="Z122" s="41"/>
      <c r="AA122" s="41"/>
      <c r="AB122" s="41"/>
      <c r="AC122" s="41"/>
    </row>
    <row r="123" spans="1:29" s="2" customFormat="1" ht="21" hidden="1" customHeight="1">
      <c r="A123" s="135">
        <v>300347</v>
      </c>
      <c r="B123" s="135" t="s">
        <v>118</v>
      </c>
      <c r="C123" s="248" t="s">
        <v>127</v>
      </c>
      <c r="D123" s="248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 t="str">
        <f t="array" ref="V123">IF(ISERROR(L123/K123),"",L123/K123)</f>
        <v/>
      </c>
      <c r="W123" s="41"/>
      <c r="X123" s="41"/>
      <c r="Y123" s="41"/>
      <c r="Z123" s="41"/>
      <c r="AA123" s="41"/>
      <c r="AB123" s="41"/>
      <c r="AC123" s="41"/>
    </row>
    <row r="124" spans="1:29" s="2" customFormat="1" ht="21" hidden="1" customHeight="1">
      <c r="A124" s="135">
        <v>300348</v>
      </c>
      <c r="B124" s="135" t="s">
        <v>118</v>
      </c>
      <c r="C124" s="248" t="s">
        <v>127</v>
      </c>
      <c r="D124" s="248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 t="str">
        <f t="array" ref="V124">IF(ISERROR(L124/K124),"",L124/K124)</f>
        <v/>
      </c>
      <c r="W124" s="41"/>
      <c r="X124" s="41"/>
      <c r="Y124" s="41"/>
      <c r="Z124" s="41"/>
      <c r="AA124" s="41"/>
      <c r="AB124" s="41"/>
      <c r="AC124" s="41"/>
    </row>
    <row r="125" spans="1:29" s="2" customFormat="1" ht="21" hidden="1" customHeight="1">
      <c r="A125" s="135">
        <v>300349</v>
      </c>
      <c r="B125" s="135" t="s">
        <v>118</v>
      </c>
      <c r="C125" s="248" t="s">
        <v>127</v>
      </c>
      <c r="D125" s="248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 t="str">
        <f t="array" ref="V125">IF(ISERROR(L125/K125),"",L125/K125)</f>
        <v/>
      </c>
      <c r="W125" s="41"/>
      <c r="X125" s="41"/>
      <c r="Y125" s="41"/>
      <c r="Z125" s="41"/>
      <c r="AA125" s="41"/>
      <c r="AB125" s="41"/>
      <c r="AC125" s="41"/>
    </row>
    <row r="126" spans="1:29" s="2" customFormat="1" ht="21" hidden="1" customHeight="1">
      <c r="A126" s="135">
        <v>300298</v>
      </c>
      <c r="B126" s="135" t="s">
        <v>118</v>
      </c>
      <c r="C126" s="248" t="s">
        <v>128</v>
      </c>
      <c r="D126" s="248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" hidden="1" customHeight="1">
      <c r="A127" s="135">
        <v>300299</v>
      </c>
      <c r="B127" s="135" t="s">
        <v>118</v>
      </c>
      <c r="C127" s="248" t="s">
        <v>128</v>
      </c>
      <c r="D127" s="248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" hidden="1" customHeight="1">
      <c r="A128" s="135">
        <v>300296</v>
      </c>
      <c r="B128" s="135" t="s">
        <v>118</v>
      </c>
      <c r="C128" s="248" t="s">
        <v>128</v>
      </c>
      <c r="D128" s="248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" hidden="1" customHeight="1">
      <c r="A129" s="135">
        <v>300297</v>
      </c>
      <c r="B129" s="135" t="s">
        <v>118</v>
      </c>
      <c r="C129" s="248" t="s">
        <v>128</v>
      </c>
      <c r="D129" s="248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" hidden="1" customHeight="1">
      <c r="A130" s="135">
        <v>300340</v>
      </c>
      <c r="B130" s="135" t="s">
        <v>118</v>
      </c>
      <c r="C130" s="259" t="s">
        <v>129</v>
      </c>
      <c r="D130" s="260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 t="str">
        <f t="array" ref="V130">IF(ISERROR(L130/K130),"",L130/K130)</f>
        <v/>
      </c>
      <c r="W130" s="20"/>
      <c r="X130" s="20"/>
      <c r="Y130" s="20"/>
      <c r="Z130" s="20"/>
      <c r="AA130" s="20"/>
      <c r="AB130" s="20"/>
      <c r="AC130" s="20"/>
    </row>
    <row r="131" spans="1:29" s="2" customFormat="1" ht="21" hidden="1" customHeight="1">
      <c r="A131" s="135">
        <v>300339</v>
      </c>
      <c r="B131" s="135" t="s">
        <v>118</v>
      </c>
      <c r="C131" s="259" t="s">
        <v>129</v>
      </c>
      <c r="D131" s="260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 t="str">
        <f t="array" ref="V131">IF(ISERROR(L131/K131),"",L131/K131)</f>
        <v/>
      </c>
      <c r="W131" s="20"/>
      <c r="X131" s="20"/>
      <c r="Y131" s="20"/>
      <c r="Z131" s="20"/>
      <c r="AA131" s="20"/>
      <c r="AB131" s="20"/>
      <c r="AC131" s="20"/>
    </row>
    <row r="132" spans="1:29" s="2" customFormat="1" ht="21" hidden="1" customHeight="1">
      <c r="A132" s="135">
        <v>300303</v>
      </c>
      <c r="B132" s="135" t="s">
        <v>118</v>
      </c>
      <c r="C132" s="248" t="s">
        <v>130</v>
      </c>
      <c r="D132" s="248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" hidden="1" customHeight="1">
      <c r="A133" s="135">
        <v>300302</v>
      </c>
      <c r="B133" s="135" t="s">
        <v>118</v>
      </c>
      <c r="C133" s="248" t="s">
        <v>130</v>
      </c>
      <c r="D133" s="248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" hidden="1" customHeight="1">
      <c r="A134" s="135">
        <v>300301</v>
      </c>
      <c r="B134" s="135" t="s">
        <v>118</v>
      </c>
      <c r="C134" s="248" t="s">
        <v>130</v>
      </c>
      <c r="D134" s="248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" hidden="1" customHeight="1">
      <c r="A135" s="142">
        <v>300304</v>
      </c>
      <c r="B135" s="135" t="s">
        <v>118</v>
      </c>
      <c r="C135" s="248" t="s">
        <v>130</v>
      </c>
      <c r="D135" s="248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" hidden="1" customHeight="1">
      <c r="A136" s="142">
        <v>300300</v>
      </c>
      <c r="B136" s="135" t="s">
        <v>118</v>
      </c>
      <c r="C136" s="248" t="s">
        <v>130</v>
      </c>
      <c r="D136" s="248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" hidden="1" customHeight="1">
      <c r="A137" s="142">
        <v>300085</v>
      </c>
      <c r="B137" s="135">
        <v>6503</v>
      </c>
      <c r="C137" s="248" t="s">
        <v>134</v>
      </c>
      <c r="D137" s="248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" hidden="1" customHeight="1">
      <c r="A138" s="142">
        <v>300087</v>
      </c>
      <c r="B138" s="135" t="s">
        <v>118</v>
      </c>
      <c r="C138" s="248" t="s">
        <v>134</v>
      </c>
      <c r="D138" s="248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59" t="s">
        <v>137</v>
      </c>
      <c r="D139" s="260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" hidden="1" customHeight="1">
      <c r="A140" s="142">
        <v>300388</v>
      </c>
      <c r="B140" s="135" t="s">
        <v>138</v>
      </c>
      <c r="C140" s="259" t="s">
        <v>137</v>
      </c>
      <c r="D140" s="260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" hidden="1" customHeight="1">
      <c r="A141" s="142">
        <v>300123</v>
      </c>
      <c r="B141" s="135" t="s">
        <v>118</v>
      </c>
      <c r="C141" s="248" t="s">
        <v>139</v>
      </c>
      <c r="D141" s="248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" hidden="1" customHeight="1">
      <c r="A142" s="142">
        <v>300270</v>
      </c>
      <c r="B142" s="135" t="s">
        <v>118</v>
      </c>
      <c r="C142" s="248" t="s">
        <v>141</v>
      </c>
      <c r="D142" s="248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" hidden="1" customHeight="1">
      <c r="A143" s="142">
        <v>300336</v>
      </c>
      <c r="B143" s="135" t="s">
        <v>136</v>
      </c>
      <c r="C143" s="248" t="s">
        <v>143</v>
      </c>
      <c r="D143" s="248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" hidden="1" customHeight="1">
      <c r="A144" s="142">
        <v>300337</v>
      </c>
      <c r="B144" s="135" t="s">
        <v>138</v>
      </c>
      <c r="C144" s="248" t="s">
        <v>143</v>
      </c>
      <c r="D144" s="248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 t="str">
        <f t="array" ref="V144">IF(ISERROR(L144/K144),"",L144/K144)</f>
        <v/>
      </c>
      <c r="W144" s="20"/>
      <c r="X144" s="20"/>
      <c r="Y144" s="20"/>
      <c r="Z144" s="20"/>
      <c r="AA144" s="20"/>
      <c r="AB144" s="20"/>
      <c r="AC144" s="20"/>
    </row>
    <row r="145" spans="1:29" s="2" customFormat="1" ht="21" hidden="1" customHeight="1">
      <c r="A145" s="142">
        <v>300338</v>
      </c>
      <c r="B145" s="135" t="s">
        <v>144</v>
      </c>
      <c r="C145" s="248" t="s">
        <v>143</v>
      </c>
      <c r="D145" s="248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 t="str">
        <f t="array" ref="V145">IF(ISERROR(L145/K145),"",L145/K145)</f>
        <v/>
      </c>
      <c r="W145" s="20"/>
      <c r="X145" s="20"/>
      <c r="Y145" s="20"/>
      <c r="Z145" s="20"/>
      <c r="AA145" s="20"/>
      <c r="AB145" s="20"/>
      <c r="AC145" s="20"/>
    </row>
    <row r="146" spans="1:29" s="2" customFormat="1" ht="21" hidden="1" customHeight="1">
      <c r="A146" s="142">
        <v>300309</v>
      </c>
      <c r="B146" s="135">
        <v>6504</v>
      </c>
      <c r="C146" s="248" t="s">
        <v>145</v>
      </c>
      <c r="D146" s="248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" hidden="1" customHeight="1">
      <c r="A147" s="142">
        <v>300310</v>
      </c>
      <c r="B147" s="135">
        <v>6504</v>
      </c>
      <c r="C147" s="248" t="s">
        <v>145</v>
      </c>
      <c r="D147" s="248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" hidden="1" customHeight="1">
      <c r="A148" s="142">
        <v>300312</v>
      </c>
      <c r="B148" s="135">
        <v>6504</v>
      </c>
      <c r="C148" s="248" t="s">
        <v>145</v>
      </c>
      <c r="D148" s="248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" hidden="1" customHeight="1">
      <c r="A149" s="142">
        <v>300311</v>
      </c>
      <c r="B149" s="135">
        <v>6504</v>
      </c>
      <c r="C149" s="259" t="s">
        <v>145</v>
      </c>
      <c r="D149" s="260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" hidden="1" customHeight="1">
      <c r="A150" s="142">
        <v>300399</v>
      </c>
      <c r="B150" s="135">
        <v>18501</v>
      </c>
      <c r="C150" s="264" t="s">
        <v>148</v>
      </c>
      <c r="D150" s="265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 t="str">
        <f t="array" ref="V150">IF(ISERROR(L150/K150),"",L150/K150)</f>
        <v/>
      </c>
      <c r="W150" s="20"/>
      <c r="X150" s="20"/>
      <c r="Y150" s="20"/>
      <c r="Z150" s="20"/>
      <c r="AA150" s="20"/>
      <c r="AB150" s="20"/>
      <c r="AC150" s="20"/>
    </row>
    <row r="151" spans="1:29" s="2" customFormat="1" ht="21" hidden="1" customHeight="1">
      <c r="A151" s="142">
        <v>300400</v>
      </c>
      <c r="B151" s="135">
        <v>18501</v>
      </c>
      <c r="C151" s="264" t="s">
        <v>148</v>
      </c>
      <c r="D151" s="265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 t="str">
        <f t="array" ref="V151">IF(ISERROR(L151/K151),"",L151/K151)</f>
        <v/>
      </c>
      <c r="W151" s="20"/>
      <c r="X151" s="20"/>
      <c r="Y151" s="20"/>
      <c r="Z151" s="20"/>
      <c r="AA151" s="20"/>
      <c r="AB151" s="20"/>
      <c r="AC151" s="20"/>
    </row>
    <row r="152" spans="1:29" s="2" customFormat="1" ht="21" hidden="1" customHeight="1">
      <c r="A152" s="142">
        <v>300401</v>
      </c>
      <c r="B152" s="135">
        <v>18501</v>
      </c>
      <c r="C152" s="264" t="s">
        <v>148</v>
      </c>
      <c r="D152" s="265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 t="str">
        <f t="array" ref="V152">IF(ISERROR(L152/K152),"",L152/K152)</f>
        <v/>
      </c>
      <c r="W152" s="20"/>
      <c r="X152" s="20"/>
      <c r="Y152" s="20"/>
      <c r="Z152" s="20"/>
      <c r="AA152" s="20"/>
      <c r="AB152" s="20"/>
      <c r="AC152" s="20"/>
    </row>
    <row r="153" spans="1:29" s="2" customFormat="1" ht="21" hidden="1" customHeight="1">
      <c r="A153" s="142">
        <v>300402</v>
      </c>
      <c r="B153" s="135">
        <v>18501</v>
      </c>
      <c r="C153" s="264" t="s">
        <v>150</v>
      </c>
      <c r="D153" s="265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 t="str">
        <f t="array" ref="V153">IF(ISERROR(L153/K153),"",L153/K153)</f>
        <v/>
      </c>
      <c r="W153" s="20"/>
      <c r="X153" s="20"/>
      <c r="Y153" s="20"/>
      <c r="Z153" s="20"/>
      <c r="AA153" s="20"/>
      <c r="AB153" s="20"/>
      <c r="AC153" s="20"/>
    </row>
    <row r="154" spans="1:29" s="2" customFormat="1" ht="21" hidden="1" customHeight="1">
      <c r="A154" s="142">
        <v>300403</v>
      </c>
      <c r="B154" s="135">
        <v>18501</v>
      </c>
      <c r="C154" s="264" t="s">
        <v>150</v>
      </c>
      <c r="D154" s="265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 t="str">
        <f t="array" ref="V154">IF(ISERROR(L154/K154),"",L154/K154)</f>
        <v/>
      </c>
      <c r="W154" s="20"/>
      <c r="X154" s="20"/>
      <c r="Y154" s="20"/>
      <c r="Z154" s="20"/>
      <c r="AA154" s="20"/>
      <c r="AB154" s="20"/>
      <c r="AC154" s="20"/>
    </row>
    <row r="155" spans="1:29" s="2" customFormat="1" ht="21" hidden="1" customHeight="1">
      <c r="A155" s="142">
        <v>300404</v>
      </c>
      <c r="B155" s="135">
        <v>18501</v>
      </c>
      <c r="C155" s="264" t="s">
        <v>150</v>
      </c>
      <c r="D155" s="265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 t="str">
        <f t="array" ref="V155">IF(ISERROR(L155/K155),"",L155/K155)</f>
        <v/>
      </c>
      <c r="W155" s="20"/>
      <c r="X155" s="20"/>
      <c r="Y155" s="20"/>
      <c r="Z155" s="20"/>
      <c r="AA155" s="20"/>
      <c r="AB155" s="20"/>
      <c r="AC155" s="20"/>
    </row>
    <row r="156" spans="1:29" s="2" customFormat="1" ht="21" hidden="1" customHeight="1">
      <c r="A156" s="142">
        <v>300405</v>
      </c>
      <c r="B156" s="135">
        <v>18501</v>
      </c>
      <c r="C156" s="264" t="s">
        <v>150</v>
      </c>
      <c r="D156" s="265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 t="str">
        <f t="array" ref="V156">IF(ISERROR(L156/K156),"",L156/K156)</f>
        <v/>
      </c>
      <c r="W156" s="20"/>
      <c r="X156" s="20"/>
      <c r="Y156" s="20"/>
      <c r="Z156" s="20"/>
      <c r="AA156" s="20"/>
      <c r="AB156" s="20"/>
      <c r="AC156" s="20"/>
    </row>
    <row r="157" spans="1:29" s="2" customFormat="1" ht="21" hidden="1" customHeight="1">
      <c r="A157" s="142">
        <v>300372</v>
      </c>
      <c r="B157" s="135">
        <v>18501</v>
      </c>
      <c r="C157" s="259" t="s">
        <v>153</v>
      </c>
      <c r="D157" s="260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 t="str">
        <f t="array" ref="V157">IF(ISERROR(L157/K157),"",L157/K157)</f>
        <v/>
      </c>
      <c r="W157" s="20"/>
      <c r="X157" s="20"/>
      <c r="Y157" s="20"/>
      <c r="Z157" s="20"/>
      <c r="AA157" s="20"/>
      <c r="AB157" s="20"/>
      <c r="AC157" s="20"/>
    </row>
    <row r="158" spans="1:29" s="2" customFormat="1" ht="21" hidden="1" customHeight="1">
      <c r="A158" s="142">
        <v>300373</v>
      </c>
      <c r="B158" s="135">
        <v>18501</v>
      </c>
      <c r="C158" s="259" t="s">
        <v>153</v>
      </c>
      <c r="D158" s="260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 t="str">
        <f t="array" ref="V158">IF(ISERROR(L158/K158),"",L158/K158)</f>
        <v/>
      </c>
      <c r="W158" s="20"/>
      <c r="X158" s="20"/>
      <c r="Y158" s="20"/>
      <c r="Z158" s="20"/>
      <c r="AA158" s="20"/>
      <c r="AB158" s="20"/>
      <c r="AC158" s="20"/>
    </row>
    <row r="159" spans="1:29" s="2" customFormat="1" ht="21" hidden="1" customHeight="1">
      <c r="A159" s="142">
        <v>300374</v>
      </c>
      <c r="B159" s="135">
        <v>18501</v>
      </c>
      <c r="C159" s="259" t="s">
        <v>153</v>
      </c>
      <c r="D159" s="260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 t="str">
        <f t="array" ref="V159">IF(ISERROR(L159/K159),"",L159/K159)</f>
        <v/>
      </c>
      <c r="W159" s="20"/>
      <c r="X159" s="20"/>
      <c r="Y159" s="20"/>
      <c r="Z159" s="20"/>
      <c r="AA159" s="20"/>
      <c r="AB159" s="20"/>
      <c r="AC159" s="20"/>
    </row>
    <row r="160" spans="1:29" s="2" customFormat="1" ht="21" hidden="1" customHeight="1">
      <c r="A160" s="142">
        <v>300375</v>
      </c>
      <c r="B160" s="135">
        <v>18501</v>
      </c>
      <c r="C160" s="259" t="s">
        <v>153</v>
      </c>
      <c r="D160" s="260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 t="str">
        <f t="array" ref="V160">IF(ISERROR(L160/K160),"",L160/K160)</f>
        <v/>
      </c>
      <c r="W160" s="20"/>
      <c r="X160" s="20"/>
      <c r="Y160" s="20"/>
      <c r="Z160" s="20"/>
      <c r="AA160" s="20"/>
      <c r="AB160" s="20"/>
      <c r="AC160" s="20"/>
    </row>
    <row r="161" spans="1:29" s="2" customFormat="1" ht="21" hidden="1" customHeight="1">
      <c r="A161" s="142">
        <v>300341</v>
      </c>
      <c r="B161" s="135">
        <v>18501</v>
      </c>
      <c r="C161" s="266" t="s">
        <v>154</v>
      </c>
      <c r="D161" s="267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 t="str">
        <f t="array" ref="V161">IF(ISERROR(L161/K161),"",L161/K161)</f>
        <v/>
      </c>
      <c r="W161" s="20"/>
      <c r="X161" s="20"/>
      <c r="Y161" s="20"/>
      <c r="Z161" s="20"/>
      <c r="AA161" s="20"/>
      <c r="AB161" s="20"/>
      <c r="AC161" s="20"/>
    </row>
    <row r="162" spans="1:29" s="2" customFormat="1" ht="21" hidden="1" customHeight="1">
      <c r="A162" s="142">
        <v>300342</v>
      </c>
      <c r="B162" s="135">
        <v>18501</v>
      </c>
      <c r="C162" s="266" t="s">
        <v>154</v>
      </c>
      <c r="D162" s="267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 t="str">
        <f t="array" ref="V162">IF(ISERROR(L162/K162),"",L162/K162)</f>
        <v/>
      </c>
      <c r="W162" s="20"/>
      <c r="X162" s="20"/>
      <c r="Y162" s="20"/>
      <c r="Z162" s="20"/>
      <c r="AA162" s="20"/>
      <c r="AB162" s="20"/>
      <c r="AC162" s="20"/>
    </row>
    <row r="163" spans="1:29" s="2" customFormat="1" ht="21" hidden="1" customHeight="1">
      <c r="A163" s="142">
        <v>300343</v>
      </c>
      <c r="B163" s="135">
        <v>18501</v>
      </c>
      <c r="C163" s="266" t="s">
        <v>154</v>
      </c>
      <c r="D163" s="267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 t="str">
        <f t="array" ref="V163">IF(ISERROR(L163/K163),"",L163/K163)</f>
        <v/>
      </c>
      <c r="W163" s="20"/>
      <c r="X163" s="20"/>
      <c r="Y163" s="20"/>
      <c r="Z163" s="20"/>
      <c r="AA163" s="20"/>
      <c r="AB163" s="20"/>
      <c r="AC163" s="20"/>
    </row>
    <row r="164" spans="1:29" s="2" customFormat="1" ht="21" hidden="1" customHeight="1">
      <c r="A164" s="142">
        <v>300344</v>
      </c>
      <c r="B164" s="135">
        <v>18501</v>
      </c>
      <c r="C164" s="266" t="s">
        <v>154</v>
      </c>
      <c r="D164" s="267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 t="str">
        <f t="array" ref="V164">IF(ISERROR(L164/K164),"",L164/K164)</f>
        <v/>
      </c>
      <c r="W164" s="20"/>
      <c r="X164" s="20"/>
      <c r="Y164" s="20"/>
      <c r="Z164" s="20"/>
      <c r="AA164" s="20"/>
      <c r="AB164" s="20"/>
      <c r="AC164" s="20"/>
    </row>
    <row r="165" spans="1:29" s="2" customFormat="1" ht="21" hidden="1" customHeight="1">
      <c r="A165" s="142">
        <v>300396</v>
      </c>
      <c r="B165" s="135">
        <v>18501</v>
      </c>
      <c r="C165" s="268" t="s">
        <v>155</v>
      </c>
      <c r="D165" s="269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 t="str">
        <f t="array" ref="V165">IF(ISERROR(L165/K165),"",L165/K165)</f>
        <v/>
      </c>
      <c r="W165" s="20"/>
      <c r="X165" s="20"/>
      <c r="Y165" s="20"/>
      <c r="Z165" s="20"/>
      <c r="AA165" s="20"/>
      <c r="AB165" s="20"/>
      <c r="AC165" s="20"/>
    </row>
    <row r="166" spans="1:29" s="2" customFormat="1" ht="21" hidden="1" customHeight="1">
      <c r="A166" s="142">
        <v>300397</v>
      </c>
      <c r="B166" s="135">
        <v>18501</v>
      </c>
      <c r="C166" s="268" t="s">
        <v>155</v>
      </c>
      <c r="D166" s="269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 t="str">
        <f t="array" ref="V166">IF(ISERROR(L166/K166),"",L166/K166)</f>
        <v/>
      </c>
      <c r="W166" s="20"/>
      <c r="X166" s="20"/>
      <c r="Y166" s="20"/>
      <c r="Z166" s="20"/>
      <c r="AA166" s="20"/>
      <c r="AB166" s="20"/>
      <c r="AC166" s="20"/>
    </row>
    <row r="167" spans="1:29" s="2" customFormat="1" ht="21" hidden="1" customHeight="1">
      <c r="A167" s="142">
        <v>300398</v>
      </c>
      <c r="B167" s="135">
        <v>18501</v>
      </c>
      <c r="C167" s="268" t="s">
        <v>155</v>
      </c>
      <c r="D167" s="269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 t="str">
        <f t="array" ref="V167">IF(ISERROR(L167/K167),"",L167/K167)</f>
        <v/>
      </c>
      <c r="W167" s="20"/>
      <c r="X167" s="20"/>
      <c r="Y167" s="20"/>
      <c r="Z167" s="20"/>
      <c r="AA167" s="20"/>
      <c r="AB167" s="20"/>
      <c r="AC167" s="20"/>
    </row>
    <row r="168" spans="1:29" s="2" customFormat="1" ht="21" hidden="1" customHeight="1">
      <c r="A168" s="142">
        <v>300271</v>
      </c>
      <c r="B168" s="135">
        <v>18501</v>
      </c>
      <c r="C168" s="248" t="s">
        <v>156</v>
      </c>
      <c r="D168" s="248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" hidden="1" customHeight="1">
      <c r="A169" s="142">
        <v>300009</v>
      </c>
      <c r="B169" s="135">
        <v>18501</v>
      </c>
      <c r="C169" s="248" t="s">
        <v>157</v>
      </c>
      <c r="D169" s="248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" hidden="1" customHeight="1">
      <c r="A170" s="142">
        <v>300010</v>
      </c>
      <c r="B170" s="135">
        <v>18501</v>
      </c>
      <c r="C170" s="248" t="s">
        <v>157</v>
      </c>
      <c r="D170" s="248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" hidden="1" customHeight="1">
      <c r="A171" s="142">
        <v>300305</v>
      </c>
      <c r="B171" s="135">
        <v>18501</v>
      </c>
      <c r="C171" s="248" t="s">
        <v>159</v>
      </c>
      <c r="D171" s="248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1" hidden="1" customHeight="1">
      <c r="A172" s="142">
        <v>300306</v>
      </c>
      <c r="B172" s="135">
        <v>18501</v>
      </c>
      <c r="C172" s="248" t="s">
        <v>159</v>
      </c>
      <c r="D172" s="248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" hidden="1" customHeight="1">
      <c r="A173" s="142">
        <v>300307</v>
      </c>
      <c r="B173" s="135">
        <v>18501</v>
      </c>
      <c r="C173" s="248" t="s">
        <v>159</v>
      </c>
      <c r="D173" s="248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" hidden="1" customHeight="1">
      <c r="A174" s="142">
        <v>300308</v>
      </c>
      <c r="B174" s="135">
        <v>18501</v>
      </c>
      <c r="C174" s="248" t="s">
        <v>159</v>
      </c>
      <c r="D174" s="248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" hidden="1" customHeight="1">
      <c r="A175" s="142">
        <v>300182</v>
      </c>
      <c r="B175" s="135">
        <v>18501</v>
      </c>
      <c r="C175" s="248" t="s">
        <v>161</v>
      </c>
      <c r="D175" s="248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" hidden="1" customHeight="1">
      <c r="A176" s="142">
        <v>300185</v>
      </c>
      <c r="B176" s="135">
        <v>18501</v>
      </c>
      <c r="C176" s="248" t="s">
        <v>161</v>
      </c>
      <c r="D176" s="248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" hidden="1" customHeight="1">
      <c r="A177" s="142">
        <v>300272</v>
      </c>
      <c r="B177" s="135">
        <v>18502</v>
      </c>
      <c r="C177" s="248" t="s">
        <v>162</v>
      </c>
      <c r="D177" s="248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" hidden="1" customHeight="1">
      <c r="A178" s="142">
        <v>300273</v>
      </c>
      <c r="B178" s="135">
        <v>18502</v>
      </c>
      <c r="C178" s="248" t="s">
        <v>162</v>
      </c>
      <c r="D178" s="248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" hidden="1" customHeight="1">
      <c r="A179" s="142">
        <v>300274</v>
      </c>
      <c r="B179" s="135">
        <v>18502</v>
      </c>
      <c r="C179" s="248" t="s">
        <v>162</v>
      </c>
      <c r="D179" s="248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" hidden="1" customHeight="1">
      <c r="A180" s="142">
        <v>300275</v>
      </c>
      <c r="B180" s="135">
        <v>18502</v>
      </c>
      <c r="C180" s="248" t="s">
        <v>162</v>
      </c>
      <c r="D180" s="248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" hidden="1" customHeight="1">
      <c r="A181" s="142">
        <v>300285</v>
      </c>
      <c r="B181" s="135">
        <v>13001</v>
      </c>
      <c r="C181" s="248" t="s">
        <v>165</v>
      </c>
      <c r="D181" s="248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" hidden="1" customHeight="1">
      <c r="A182" s="142">
        <v>300287</v>
      </c>
      <c r="B182" s="135">
        <v>13001</v>
      </c>
      <c r="C182" s="248" t="s">
        <v>165</v>
      </c>
      <c r="D182" s="248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" hidden="1" customHeight="1">
      <c r="A183" s="142">
        <v>300284</v>
      </c>
      <c r="B183" s="135">
        <v>13001</v>
      </c>
      <c r="C183" s="248" t="s">
        <v>165</v>
      </c>
      <c r="D183" s="248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" hidden="1" customHeight="1">
      <c r="A184" s="142">
        <v>300283</v>
      </c>
      <c r="B184" s="135">
        <v>13001</v>
      </c>
      <c r="C184" s="248" t="s">
        <v>165</v>
      </c>
      <c r="D184" s="248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" hidden="1" customHeight="1">
      <c r="A185" s="142">
        <v>300289</v>
      </c>
      <c r="B185" s="135">
        <v>13001</v>
      </c>
      <c r="C185" s="248" t="s">
        <v>165</v>
      </c>
      <c r="D185" s="248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" hidden="1" customHeight="1">
      <c r="A186" s="142">
        <v>300288</v>
      </c>
      <c r="B186" s="135">
        <v>13001</v>
      </c>
      <c r="C186" s="248" t="s">
        <v>165</v>
      </c>
      <c r="D186" s="248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" customHeight="1">
      <c r="A187" s="139">
        <v>300355</v>
      </c>
      <c r="B187" s="135">
        <v>13002</v>
      </c>
      <c r="C187" s="259" t="s">
        <v>168</v>
      </c>
      <c r="D187" s="260"/>
      <c r="E187" s="33" t="s">
        <v>35</v>
      </c>
      <c r="F187" s="27"/>
      <c r="G187" s="133">
        <v>5</v>
      </c>
      <c r="H187" s="133"/>
      <c r="I187" s="133">
        <f>5-J187/400</f>
        <v>4.8</v>
      </c>
      <c r="J187" s="133"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22.121212121212118</v>
      </c>
      <c r="Q187" s="146">
        <v>3.5</v>
      </c>
      <c r="R187" s="19">
        <f t="shared" si="18"/>
        <v>17.5</v>
      </c>
      <c r="S187" s="146">
        <f t="shared" si="19"/>
        <v>-4.6212121212121176</v>
      </c>
      <c r="T187" s="20">
        <v>5</v>
      </c>
      <c r="U187" s="20">
        <v>5</v>
      </c>
      <c r="V187" s="143">
        <f t="array" ref="V187">IF(ISERROR(L187/K187),"",L187/K187)</f>
        <v>0.96000000000000008</v>
      </c>
      <c r="W187" s="20"/>
      <c r="X187" s="20"/>
      <c r="Y187" s="20"/>
      <c r="Z187" s="20"/>
      <c r="AA187" s="20">
        <v>2</v>
      </c>
      <c r="AB187" s="20"/>
      <c r="AC187" s="20"/>
    </row>
    <row r="188" spans="1:29" s="2" customFormat="1" ht="21" hidden="1" customHeight="1">
      <c r="A188" s="139">
        <v>300356</v>
      </c>
      <c r="B188" s="135" t="s">
        <v>169</v>
      </c>
      <c r="C188" s="259" t="s">
        <v>168</v>
      </c>
      <c r="D188" s="260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" hidden="1" customHeight="1">
      <c r="A189" s="139">
        <v>300357</v>
      </c>
      <c r="B189" s="135" t="s">
        <v>170</v>
      </c>
      <c r="C189" s="259" t="s">
        <v>168</v>
      </c>
      <c r="D189" s="260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" hidden="1" customHeight="1">
      <c r="A190" s="139">
        <v>300358</v>
      </c>
      <c r="B190" s="135">
        <v>13002</v>
      </c>
      <c r="C190" s="259" t="s">
        <v>168</v>
      </c>
      <c r="D190" s="260"/>
      <c r="E190" s="150" t="s">
        <v>66</v>
      </c>
      <c r="F190" s="27"/>
      <c r="G190" s="133"/>
      <c r="H190" s="133"/>
      <c r="I190" s="133"/>
      <c r="J190" s="133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" hidden="1" customHeight="1">
      <c r="A191" s="142">
        <v>300438</v>
      </c>
      <c r="B191" s="135" t="s">
        <v>87</v>
      </c>
      <c r="C191" s="248" t="s">
        <v>312</v>
      </c>
      <c r="D191" s="248" t="s">
        <v>89</v>
      </c>
      <c r="E191" s="148" t="s">
        <v>35</v>
      </c>
      <c r="F191" s="13"/>
      <c r="G191" s="133"/>
      <c r="H191" s="133"/>
      <c r="I191" s="133"/>
      <c r="J191" s="133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 t="str">
        <f t="array" ref="V191">IF(ISERROR(L191/K191),"",L191/K191)</f>
        <v/>
      </c>
      <c r="W191" s="20"/>
      <c r="X191" s="20"/>
      <c r="Y191" s="20"/>
      <c r="Z191" s="20"/>
      <c r="AA191" s="20"/>
      <c r="AB191" s="20"/>
      <c r="AC191" s="20"/>
    </row>
    <row r="192" spans="1:29" ht="21" hidden="1" customHeight="1">
      <c r="A192" s="142">
        <v>300439</v>
      </c>
      <c r="B192" s="135" t="s">
        <v>87</v>
      </c>
      <c r="C192" s="248" t="s">
        <v>312</v>
      </c>
      <c r="D192" s="248" t="s">
        <v>89</v>
      </c>
      <c r="E192" s="148" t="s">
        <v>66</v>
      </c>
      <c r="F192" s="13"/>
      <c r="G192" s="133"/>
      <c r="H192" s="133"/>
      <c r="I192" s="133"/>
      <c r="J192" s="133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 t="str">
        <f t="array" ref="V192">IF(ISERROR(L192/K192),"",L192/K192)</f>
        <v/>
      </c>
      <c r="W192" s="20"/>
      <c r="X192" s="20"/>
      <c r="Y192" s="20"/>
      <c r="Z192" s="20"/>
      <c r="AA192" s="20"/>
      <c r="AB192" s="20"/>
      <c r="AC192" s="20"/>
    </row>
    <row r="193" spans="1:29" ht="21" hidden="1" customHeight="1">
      <c r="A193" s="142">
        <v>300440</v>
      </c>
      <c r="B193" s="135" t="s">
        <v>87</v>
      </c>
      <c r="C193" s="248" t="s">
        <v>312</v>
      </c>
      <c r="D193" s="248" t="s">
        <v>89</v>
      </c>
      <c r="E193" s="148" t="s">
        <v>41</v>
      </c>
      <c r="F193" s="13"/>
      <c r="G193" s="133"/>
      <c r="H193" s="133"/>
      <c r="I193" s="133"/>
      <c r="J193" s="133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 t="str">
        <f t="array" ref="V193">IF(ISERROR(L193/K193),"",L193/K193)</f>
        <v/>
      </c>
      <c r="W193" s="20"/>
      <c r="X193" s="20"/>
      <c r="Y193" s="20"/>
      <c r="Z193" s="20"/>
      <c r="AA193" s="20"/>
      <c r="AB193" s="20"/>
      <c r="AC193" s="20"/>
    </row>
    <row r="194" spans="1:29" ht="21" hidden="1" customHeight="1">
      <c r="A194" s="142">
        <v>300441</v>
      </c>
      <c r="B194" s="135" t="s">
        <v>87</v>
      </c>
      <c r="C194" s="248" t="s">
        <v>312</v>
      </c>
      <c r="D194" s="248" t="s">
        <v>89</v>
      </c>
      <c r="E194" s="148" t="s">
        <v>37</v>
      </c>
      <c r="F194" s="13"/>
      <c r="G194" s="133"/>
      <c r="H194" s="133"/>
      <c r="I194" s="133"/>
      <c r="J194" s="133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 t="str">
        <f t="array" ref="V194">IF(ISERROR(L194/K194),"",L194/K194)</f>
        <v/>
      </c>
      <c r="W194" s="20"/>
      <c r="X194" s="20"/>
      <c r="Y194" s="20"/>
      <c r="Z194" s="20"/>
      <c r="AA194" s="20"/>
      <c r="AB194" s="20"/>
      <c r="AC194" s="20"/>
    </row>
    <row r="195" spans="1:29" s="2" customFormat="1" ht="21" hidden="1" customHeight="1">
      <c r="A195" s="139">
        <v>300406</v>
      </c>
      <c r="B195" s="135" t="s">
        <v>171</v>
      </c>
      <c r="C195" s="259" t="s">
        <v>172</v>
      </c>
      <c r="D195" s="260"/>
      <c r="E195" s="150" t="s">
        <v>149</v>
      </c>
      <c r="F195" s="27"/>
      <c r="G195" s="133"/>
      <c r="H195" s="133"/>
      <c r="I195" s="133"/>
      <c r="J195" s="133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" hidden="1" customHeight="1">
      <c r="A196" s="139">
        <v>300407</v>
      </c>
      <c r="B196" s="135" t="s">
        <v>171</v>
      </c>
      <c r="C196" s="259" t="s">
        <v>172</v>
      </c>
      <c r="D196" s="260"/>
      <c r="E196" s="150" t="s">
        <v>173</v>
      </c>
      <c r="F196" s="27"/>
      <c r="G196" s="133"/>
      <c r="H196" s="133"/>
      <c r="I196" s="133"/>
      <c r="J196" s="133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" hidden="1" customHeight="1">
      <c r="A197" s="139">
        <v>300408</v>
      </c>
      <c r="B197" s="135" t="s">
        <v>171</v>
      </c>
      <c r="C197" s="259" t="s">
        <v>172</v>
      </c>
      <c r="D197" s="260"/>
      <c r="E197" s="150" t="s">
        <v>41</v>
      </c>
      <c r="F197" s="27"/>
      <c r="G197" s="133"/>
      <c r="H197" s="133"/>
      <c r="I197" s="133"/>
      <c r="J197" s="133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" hidden="1" customHeight="1">
      <c r="A198" s="139">
        <v>300409</v>
      </c>
      <c r="B198" s="135" t="s">
        <v>171</v>
      </c>
      <c r="C198" s="259" t="s">
        <v>172</v>
      </c>
      <c r="D198" s="260"/>
      <c r="E198" s="150" t="s">
        <v>174</v>
      </c>
      <c r="F198" s="27"/>
      <c r="G198" s="133"/>
      <c r="H198" s="133"/>
      <c r="I198" s="133"/>
      <c r="J198" s="133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" customHeight="1">
      <c r="A199" s="249" t="s">
        <v>175</v>
      </c>
      <c r="B199" s="249"/>
      <c r="C199" s="249"/>
      <c r="D199" s="249"/>
      <c r="E199" s="249"/>
      <c r="F199" s="249"/>
      <c r="G199" s="146">
        <f t="array" ref="G199">SUM(IF(ISERROR(G6:G198),“”,G6:G198))</f>
        <v>23</v>
      </c>
      <c r="H199" s="146">
        <f t="array" ref="H199">SUM(IF(ISERROR(H6:H198),“”,H6:H198))</f>
        <v>0</v>
      </c>
      <c r="I199" s="146">
        <f t="array" ref="I199">SUM(IF(ISERROR(I6:I198),“”,I6:I198))</f>
        <v>22.8</v>
      </c>
      <c r="J199" s="146">
        <f t="array" ref="J199">SUM(IF(ISERROR(J6:J198),“”,J6:J198))</f>
        <v>80</v>
      </c>
      <c r="K199" s="146">
        <f t="array" ref="K199">SUM(IF(ISERROR(K6:K198),“”,K6:K198))</f>
        <v>12570.599999999999</v>
      </c>
      <c r="L199" s="56">
        <f>SUM(L6:L198)</f>
        <v>12482.999999999998</v>
      </c>
      <c r="M199" s="146"/>
      <c r="N199" s="146"/>
      <c r="O199" s="146">
        <f>SUM(O6:O190)</f>
        <v>1</v>
      </c>
      <c r="P199" s="56">
        <f>SUM((P6:P190),(W204:X209))</f>
        <v>182.80842363356618</v>
      </c>
      <c r="Q199" s="146"/>
      <c r="R199" s="56">
        <f>SUM((R6:R190),(Y204:Z209))</f>
        <v>262.5</v>
      </c>
      <c r="S199" s="146">
        <f t="array" ref="S199">SUM(IF(ISERROR(S6:S198),“”,S6:S198))</f>
        <v>39.691576366433829</v>
      </c>
      <c r="T199" s="146"/>
      <c r="U199" s="146"/>
      <c r="V199" s="143">
        <f t="array" ref="V199">IF(ISERROR(L199/K199),"",L199/K199)</f>
        <v>0.99303135888501737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8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0.69641304241358548</v>
      </c>
      <c r="P200" s="274"/>
      <c r="Q200" s="274"/>
      <c r="R200" s="275"/>
      <c r="S200" s="44"/>
      <c r="T200" s="45"/>
      <c r="U200" s="45"/>
      <c r="V200" s="45"/>
      <c r="W200" s="276">
        <f>SUM(W199:AC199)</f>
        <v>8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0</v>
      </c>
      <c r="F202" s="279"/>
      <c r="G202" s="279">
        <v>0</v>
      </c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3269.8</v>
      </c>
      <c r="F203" s="279"/>
      <c r="G203" s="279">
        <v>3341.8</v>
      </c>
      <c r="H203" s="279"/>
      <c r="I203" s="279">
        <f>G203-E203</f>
        <v>72</v>
      </c>
      <c r="J203" s="279"/>
      <c r="K203" s="281">
        <f t="array" ref="K203">IF(ISERROR(I203/E203),"",I203/E203)</f>
        <v>2.2019695394213713E-2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16</v>
      </c>
      <c r="T203" s="284"/>
      <c r="U203" s="284">
        <v>17</v>
      </c>
      <c r="V203" s="284"/>
      <c r="W203" s="283">
        <f>S203*8</f>
        <v>128</v>
      </c>
      <c r="X203" s="283"/>
      <c r="Y203" s="283">
        <f>U203*8</f>
        <v>136</v>
      </c>
      <c r="Z203" s="283"/>
      <c r="AA203" s="283">
        <f t="shared" ref="AA203:AA210" si="28">Y203-W203</f>
        <v>8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2</v>
      </c>
      <c r="T204" s="284"/>
      <c r="U204" s="284">
        <v>7</v>
      </c>
      <c r="V204" s="284"/>
      <c r="W204" s="283">
        <f t="shared" ref="W204:W210" si="29">S204*8</f>
        <v>16</v>
      </c>
      <c r="X204" s="283"/>
      <c r="Y204" s="283">
        <f t="shared" ref="Y204:Y210" si="30">U204*8</f>
        <v>56</v>
      </c>
      <c r="Z204" s="283"/>
      <c r="AA204" s="283">
        <f t="shared" si="28"/>
        <v>40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9"/>
        <v>6</v>
      </c>
      <c r="X205" s="283"/>
      <c r="Y205" s="283">
        <f t="shared" si="30"/>
        <v>0</v>
      </c>
      <c r="Z205" s="283"/>
      <c r="AA205" s="283">
        <f t="shared" si="28"/>
        <v>-6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44">
        <v>5</v>
      </c>
      <c r="G206" s="285">
        <v>148803</v>
      </c>
      <c r="H206" s="286"/>
      <c r="I206" s="325">
        <v>148744</v>
      </c>
      <c r="J206" s="326"/>
      <c r="K206" s="289">
        <f>G206-I206</f>
        <v>59</v>
      </c>
      <c r="L206" s="289"/>
      <c r="M206" s="290">
        <f t="array" ref="M206">IF(ISERROR(K206/L199),"",K206/(L199/1000))</f>
        <v>4.7264279420011217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0</v>
      </c>
      <c r="V206" s="284"/>
      <c r="W206" s="283">
        <f t="shared" si="29"/>
        <v>6</v>
      </c>
      <c r="X206" s="283"/>
      <c r="Y206" s="283">
        <f t="shared" si="30"/>
        <v>0</v>
      </c>
      <c r="Z206" s="283"/>
      <c r="AA206" s="283">
        <f t="shared" si="28"/>
        <v>-6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44">
        <v>105</v>
      </c>
      <c r="G207" s="285">
        <f>28512.4*120+44796.4*60</f>
        <v>6109272</v>
      </c>
      <c r="H207" s="286"/>
      <c r="I207" s="325">
        <f>28507.1*120+44790.5*60</f>
        <v>6108282</v>
      </c>
      <c r="J207" s="326"/>
      <c r="K207" s="289">
        <f>G207-I207</f>
        <v>990</v>
      </c>
      <c r="L207" s="289"/>
      <c r="M207" s="290">
        <f t="array" ref="M207">IF(ISERROR(K207/L199),"",K207/(L199/1000))</f>
        <v>79.30785868781544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0</v>
      </c>
      <c r="V207" s="284"/>
      <c r="W207" s="283">
        <f t="shared" si="29"/>
        <v>12</v>
      </c>
      <c r="X207" s="283"/>
      <c r="Y207" s="283">
        <f t="shared" si="30"/>
        <v>0</v>
      </c>
      <c r="Z207" s="283"/>
      <c r="AA207" s="283">
        <f t="shared" si="28"/>
        <v>-12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44">
        <v>0.55000000000000004</v>
      </c>
      <c r="G208" s="285">
        <f>+I208+12</f>
        <v>27736</v>
      </c>
      <c r="H208" s="286"/>
      <c r="I208" s="285">
        <v>27724</v>
      </c>
      <c r="J208" s="286"/>
      <c r="K208" s="289">
        <f>G208-I208</f>
        <v>12</v>
      </c>
      <c r="L208" s="289"/>
      <c r="M208" s="293">
        <f t="array" ref="M208">IF(ISERROR(K208/L199),"",K208/(L199/1000))</f>
        <v>0.96130737803412647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9"/>
        <v>8</v>
      </c>
      <c r="X208" s="283"/>
      <c r="Y208" s="283">
        <f t="shared" si="30"/>
        <v>8</v>
      </c>
      <c r="Z208" s="283"/>
      <c r="AA208" s="283">
        <f t="shared" si="28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2.56+1.6/2</f>
        <v>3.3600000000000003</v>
      </c>
      <c r="L209" s="292"/>
      <c r="M209" s="294">
        <f t="array" ref="M209">IF(ISERROR((K209+K210)/L199),"",((K209+K210)*1000)/(L199/1000))</f>
        <v>269.16606584955548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6</v>
      </c>
      <c r="V209" s="284"/>
      <c r="W209" s="283">
        <f t="shared" si="29"/>
        <v>24</v>
      </c>
      <c r="X209" s="283"/>
      <c r="Y209" s="283">
        <f t="shared" si="30"/>
        <v>48</v>
      </c>
      <c r="Z209" s="283"/>
      <c r="AA209" s="283">
        <f t="shared" si="28"/>
        <v>24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25</v>
      </c>
      <c r="T210" s="284"/>
      <c r="U210" s="284">
        <f>SUM(U203:V209)</f>
        <v>31</v>
      </c>
      <c r="V210" s="284"/>
      <c r="W210" s="283">
        <f t="shared" si="29"/>
        <v>200</v>
      </c>
      <c r="X210" s="283"/>
      <c r="Y210" s="283">
        <f t="shared" si="30"/>
        <v>248</v>
      </c>
      <c r="Z210" s="283"/>
      <c r="AA210" s="283">
        <f t="shared" si="28"/>
        <v>48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3.5714285714285712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50.334677419354833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35" t="s">
        <v>25</v>
      </c>
      <c r="S214" s="249"/>
      <c r="T214" s="251"/>
      <c r="U214" s="251"/>
      <c r="V214" s="25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61" t="s">
        <v>34</v>
      </c>
      <c r="D215" s="26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14" t="s">
        <v>34</v>
      </c>
      <c r="D216" s="31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14" t="s">
        <v>34</v>
      </c>
      <c r="D217" s="31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14" t="s">
        <v>34</v>
      </c>
      <c r="D218" s="31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14" t="s">
        <v>34</v>
      </c>
      <c r="D219" s="31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14" t="s">
        <v>34</v>
      </c>
      <c r="D220" s="31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14" t="s">
        <v>34</v>
      </c>
      <c r="D221" s="31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14" t="s">
        <v>34</v>
      </c>
      <c r="D222" s="31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59" t="s">
        <v>313</v>
      </c>
      <c r="D223" s="26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59" t="s">
        <v>313</v>
      </c>
      <c r="D224" s="26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59" t="s">
        <v>44</v>
      </c>
      <c r="D225" s="26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59" t="s">
        <v>44</v>
      </c>
      <c r="D226" s="26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59" t="s">
        <v>44</v>
      </c>
      <c r="D227" s="26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48" t="s">
        <v>45</v>
      </c>
      <c r="D228" s="24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48" t="s">
        <v>46</v>
      </c>
      <c r="D229" s="24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48" t="s">
        <v>48</v>
      </c>
      <c r="D230" s="24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48" t="s">
        <v>50</v>
      </c>
      <c r="D231" s="24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48" t="s">
        <v>50</v>
      </c>
      <c r="D232" s="24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48" t="s">
        <v>50</v>
      </c>
      <c r="D233" s="24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48" t="s">
        <v>51</v>
      </c>
      <c r="D234" s="24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42">
        <v>300012</v>
      </c>
      <c r="B235" s="135">
        <v>3004</v>
      </c>
      <c r="C235" s="248" t="s">
        <v>51</v>
      </c>
      <c r="D235" s="248"/>
      <c r="E235" s="148" t="s">
        <v>41</v>
      </c>
      <c r="F235" s="147"/>
      <c r="G235" s="146">
        <v>1</v>
      </c>
      <c r="H235" s="146"/>
      <c r="I235" s="146">
        <v>1</v>
      </c>
      <c r="J235" s="146"/>
      <c r="K235" s="146">
        <f t="shared" si="31"/>
        <v>524.6</v>
      </c>
      <c r="L235" s="146">
        <f t="shared" si="32"/>
        <v>524.6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3.4422572178477688</v>
      </c>
      <c r="Q235" s="146">
        <v>1.5</v>
      </c>
      <c r="R235" s="19">
        <f t="shared" si="35"/>
        <v>4.5</v>
      </c>
      <c r="S235" s="146">
        <f t="shared" si="36"/>
        <v>1.0577427821522312</v>
      </c>
      <c r="T235" s="20">
        <v>3</v>
      </c>
      <c r="U235" s="20">
        <v>3</v>
      </c>
      <c r="V235" s="143">
        <f t="array" ref="V235">IF(ISERROR(L235/K235),"",L235/K235)</f>
        <v>1</v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42">
        <v>300013</v>
      </c>
      <c r="B236" s="135">
        <v>3004</v>
      </c>
      <c r="C236" s="248" t="s">
        <v>51</v>
      </c>
      <c r="D236" s="248"/>
      <c r="E236" s="148" t="s">
        <v>42</v>
      </c>
      <c r="F236" s="147"/>
      <c r="G236" s="146">
        <v>2</v>
      </c>
      <c r="H236" s="146"/>
      <c r="I236" s="146">
        <v>2</v>
      </c>
      <c r="J236" s="146"/>
      <c r="K236" s="146">
        <f t="shared" si="31"/>
        <v>1049.2</v>
      </c>
      <c r="L236" s="146">
        <f t="shared" si="32"/>
        <v>1049.2</v>
      </c>
      <c r="M236" s="146">
        <v>524.6</v>
      </c>
      <c r="N236" s="146">
        <f>+M236*1000/(25.4*20*15*60)*T236</f>
        <v>3.4422572178477688</v>
      </c>
      <c r="O236" s="146">
        <v>0.5</v>
      </c>
      <c r="P236" s="146">
        <f t="shared" si="34"/>
        <v>8.3845144356955377</v>
      </c>
      <c r="Q236" s="146">
        <v>5</v>
      </c>
      <c r="R236" s="19">
        <f t="shared" si="35"/>
        <v>15</v>
      </c>
      <c r="S236" s="146">
        <f t="shared" si="36"/>
        <v>6.6154855643044623</v>
      </c>
      <c r="T236" s="20">
        <v>3</v>
      </c>
      <c r="U236" s="20">
        <v>3</v>
      </c>
      <c r="V236" s="143">
        <f t="array" ref="V236">IF(ISERROR(L236/K236),"",L236/K236)</f>
        <v>1</v>
      </c>
      <c r="W236" s="20"/>
      <c r="X236" s="20"/>
      <c r="Y236" s="20"/>
      <c r="Z236" s="20"/>
      <c r="AA236" s="20">
        <v>3</v>
      </c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48" t="s">
        <v>51</v>
      </c>
      <c r="D237" s="24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48" t="s">
        <v>53</v>
      </c>
      <c r="D239" s="24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48" t="s">
        <v>53</v>
      </c>
      <c r="D240" s="24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48" t="s">
        <v>53</v>
      </c>
      <c r="D241" s="24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48" t="s">
        <v>56</v>
      </c>
      <c r="D242" s="24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48" t="s">
        <v>56</v>
      </c>
      <c r="D243" s="24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48" t="s">
        <v>56</v>
      </c>
      <c r="D244" s="24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48" t="s">
        <v>56</v>
      </c>
      <c r="D245" s="24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48" t="s">
        <v>58</v>
      </c>
      <c r="D246" s="248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59" t="s">
        <v>304</v>
      </c>
      <c r="D247" s="26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59" t="s">
        <v>304</v>
      </c>
      <c r="D248" s="26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59" t="s">
        <v>304</v>
      </c>
      <c r="D249" s="26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48" t="s">
        <v>61</v>
      </c>
      <c r="D250" s="24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48" t="s">
        <v>61</v>
      </c>
      <c r="D251" s="24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48" t="s">
        <v>61</v>
      </c>
      <c r="D252" s="24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48" t="s">
        <v>64</v>
      </c>
      <c r="D253" s="24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48" t="s">
        <v>64</v>
      </c>
      <c r="D254" s="24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59" t="s">
        <v>68</v>
      </c>
      <c r="D255" s="26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59" t="s">
        <v>68</v>
      </c>
      <c r="D256" s="26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59" t="s">
        <v>68</v>
      </c>
      <c r="D257" s="26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59" t="s">
        <v>68</v>
      </c>
      <c r="D258" s="26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48" t="s">
        <v>73</v>
      </c>
      <c r="D259" s="24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48" t="s">
        <v>73</v>
      </c>
      <c r="D260" s="24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48" t="s">
        <v>73</v>
      </c>
      <c r="D261" s="24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48" t="s">
        <v>73</v>
      </c>
      <c r="D262" s="24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48" t="s">
        <v>75</v>
      </c>
      <c r="D263" s="24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48" t="s">
        <v>75</v>
      </c>
      <c r="D264" s="24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48" t="s">
        <v>75</v>
      </c>
      <c r="D265" s="24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48" t="s">
        <v>77</v>
      </c>
      <c r="D267" s="248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48" t="s">
        <v>77</v>
      </c>
      <c r="D268" s="24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59" t="s">
        <v>301</v>
      </c>
      <c r="D269" s="26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59" t="s">
        <v>301</v>
      </c>
      <c r="D270" s="26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48" t="s">
        <v>81</v>
      </c>
      <c r="D271" s="24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48" t="s">
        <v>81</v>
      </c>
      <c r="D272" s="24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59" t="s">
        <v>83</v>
      </c>
      <c r="D273" s="26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59" t="s">
        <v>83</v>
      </c>
      <c r="D274" s="26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59" t="s">
        <v>83</v>
      </c>
      <c r="D275" s="26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59" t="s">
        <v>86</v>
      </c>
      <c r="D276" s="26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59" t="s">
        <v>86</v>
      </c>
      <c r="D277" s="26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59" t="s">
        <v>86</v>
      </c>
      <c r="D278" s="26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48" t="s">
        <v>88</v>
      </c>
      <c r="D279" s="24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48" t="s">
        <v>88</v>
      </c>
      <c r="D280" s="24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48" t="s">
        <v>88</v>
      </c>
      <c r="D281" s="24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48" t="s">
        <v>88</v>
      </c>
      <c r="D282" s="24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59" t="s">
        <v>90</v>
      </c>
      <c r="D283" s="260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48" t="s">
        <v>91</v>
      </c>
      <c r="D284" s="24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48" t="s">
        <v>93</v>
      </c>
      <c r="D285" s="248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48" t="s">
        <v>95</v>
      </c>
      <c r="D286" s="248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48" t="s">
        <v>93</v>
      </c>
      <c r="D287" s="248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48" t="s">
        <v>98</v>
      </c>
      <c r="D288" s="24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48" t="s">
        <v>98</v>
      </c>
      <c r="D289" s="24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48" t="s">
        <v>98</v>
      </c>
      <c r="D290" s="24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48" t="s">
        <v>98</v>
      </c>
      <c r="D291" s="24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48" t="s">
        <v>100</v>
      </c>
      <c r="D293" s="24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48" t="s">
        <v>100</v>
      </c>
      <c r="D294" s="24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48" t="s">
        <v>100</v>
      </c>
      <c r="D295" s="24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48" t="s">
        <v>100</v>
      </c>
      <c r="D296" s="24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48" t="s">
        <v>106</v>
      </c>
      <c r="D297" s="24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48" t="s">
        <v>106</v>
      </c>
      <c r="D298" s="24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48" t="s">
        <v>106</v>
      </c>
      <c r="D299" s="24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48" t="s">
        <v>106</v>
      </c>
      <c r="D300" s="24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48" t="s">
        <v>107</v>
      </c>
      <c r="D301" s="24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48" t="s">
        <v>107</v>
      </c>
      <c r="D302" s="24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48" t="s">
        <v>107</v>
      </c>
      <c r="D303" s="24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48" t="s">
        <v>107</v>
      </c>
      <c r="D304" s="24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48" t="s">
        <v>107</v>
      </c>
      <c r="D305" s="24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59" t="s">
        <v>109</v>
      </c>
      <c r="D306" s="26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42">
        <v>300088</v>
      </c>
      <c r="B307" s="135" t="s">
        <v>319</v>
      </c>
      <c r="C307" s="248" t="s">
        <v>318</v>
      </c>
      <c r="D307" s="248" t="s">
        <v>96</v>
      </c>
      <c r="E307" s="148" t="s">
        <v>39</v>
      </c>
      <c r="F307" s="147"/>
      <c r="G307" s="146">
        <v>5</v>
      </c>
      <c r="H307" s="146"/>
      <c r="I307" s="146">
        <v>5</v>
      </c>
      <c r="J307" s="146"/>
      <c r="K307" s="146">
        <f t="shared" si="38"/>
        <v>3089</v>
      </c>
      <c r="L307" s="146">
        <f t="shared" si="39"/>
        <v>3089</v>
      </c>
      <c r="M307" s="146">
        <v>617.79999999999995</v>
      </c>
      <c r="N307" s="146">
        <f>+M307*1000/(123*1*80*60)*T307</f>
        <v>3.1392276422764223</v>
      </c>
      <c r="O307" s="146">
        <v>0.5</v>
      </c>
      <c r="P307" s="146">
        <f t="shared" si="40"/>
        <v>18.196138211382113</v>
      </c>
      <c r="Q307" s="146">
        <v>3</v>
      </c>
      <c r="R307" s="19">
        <f t="shared" si="41"/>
        <v>15</v>
      </c>
      <c r="S307" s="146">
        <f t="shared" si="42"/>
        <v>-3.1961382113821131</v>
      </c>
      <c r="T307" s="20">
        <v>3</v>
      </c>
      <c r="U307" s="20">
        <v>5</v>
      </c>
      <c r="V307" s="143">
        <f t="array" ref="V307">IF(ISERROR(L307/K307),"",L307/K307)</f>
        <v>1</v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42">
        <v>300089</v>
      </c>
      <c r="B308" s="135" t="s">
        <v>319</v>
      </c>
      <c r="C308" s="248" t="s">
        <v>318</v>
      </c>
      <c r="D308" s="248" t="s">
        <v>96</v>
      </c>
      <c r="E308" s="148" t="s">
        <v>42</v>
      </c>
      <c r="F308" s="147"/>
      <c r="G308" s="146">
        <v>2</v>
      </c>
      <c r="H308" s="146"/>
      <c r="I308" s="146">
        <f>2-J308/500</f>
        <v>1.3</v>
      </c>
      <c r="J308" s="146">
        <v>350</v>
      </c>
      <c r="K308" s="146">
        <f t="shared" si="38"/>
        <v>1237.2</v>
      </c>
      <c r="L308" s="146">
        <f t="shared" si="39"/>
        <v>804.18000000000006</v>
      </c>
      <c r="M308" s="146">
        <v>618.6</v>
      </c>
      <c r="N308" s="146">
        <f>+M308*1000/(124*1*80*60)*T308</f>
        <v>3.117943548387097</v>
      </c>
      <c r="O308" s="146">
        <v>0.5</v>
      </c>
      <c r="P308" s="146">
        <f t="shared" si="40"/>
        <v>6.5533266129032262</v>
      </c>
      <c r="Q308" s="146">
        <v>2</v>
      </c>
      <c r="R308" s="19">
        <f t="shared" si="41"/>
        <v>10</v>
      </c>
      <c r="S308" s="146">
        <f t="shared" si="42"/>
        <v>3.4466733870967738</v>
      </c>
      <c r="T308" s="20">
        <v>3</v>
      </c>
      <c r="U308" s="20">
        <v>5</v>
      </c>
      <c r="V308" s="143">
        <f t="array" ref="V308">IF(ISERROR(L308/K308),"",L308/K308)</f>
        <v>0.65</v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48" t="s">
        <v>112</v>
      </c>
      <c r="D309" s="248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48" t="s">
        <v>112</v>
      </c>
      <c r="D310" s="248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48" t="s">
        <v>112</v>
      </c>
      <c r="D311" s="24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59" t="s">
        <v>296</v>
      </c>
      <c r="D312" s="26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 t="str">
        <f t="array" ref="V312">IF(ISERROR(L312/K312),"",L312/K312)</f>
        <v/>
      </c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59" t="s">
        <v>296</v>
      </c>
      <c r="D313" s="26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 t="str">
        <f t="array" ref="V313">IF(ISERROR(L313/K313),"",L313/K313)</f>
        <v/>
      </c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59" t="s">
        <v>296</v>
      </c>
      <c r="D314" s="26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 t="str">
        <f t="array" ref="V314">IF(ISERROR(L314/K314),"",L314/K314)</f>
        <v/>
      </c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59" t="s">
        <v>114</v>
      </c>
      <c r="D315" s="26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59" t="s">
        <v>114</v>
      </c>
      <c r="D316" s="26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2" customFormat="1" ht="21.95" customHeight="1">
      <c r="A317" s="142">
        <v>300431</v>
      </c>
      <c r="B317" s="135" t="s">
        <v>319</v>
      </c>
      <c r="C317" s="259" t="s">
        <v>305</v>
      </c>
      <c r="D317" s="260"/>
      <c r="E317" s="148" t="s">
        <v>306</v>
      </c>
      <c r="F317" s="27"/>
      <c r="G317" s="133">
        <v>1.25</v>
      </c>
      <c r="H317" s="133">
        <v>0.25</v>
      </c>
      <c r="I317" s="133">
        <f>1+H317</f>
        <v>1.25</v>
      </c>
      <c r="J317" s="133"/>
      <c r="K317" s="146">
        <f t="shared" si="38"/>
        <v>786</v>
      </c>
      <c r="L317" s="146">
        <f t="shared" si="39"/>
        <v>786</v>
      </c>
      <c r="M317" s="146">
        <v>628.79999999999995</v>
      </c>
      <c r="N317" s="146">
        <f>+M317*1000/(87*1*80*60)*T317</f>
        <v>6.0229885057471266</v>
      </c>
      <c r="O317" s="146"/>
      <c r="P317" s="146">
        <f t="shared" si="40"/>
        <v>7.5287356321839081</v>
      </c>
      <c r="Q317" s="146">
        <v>3</v>
      </c>
      <c r="R317" s="19">
        <f t="shared" si="41"/>
        <v>15</v>
      </c>
      <c r="S317" s="146">
        <f t="shared" si="42"/>
        <v>7.4712643678160919</v>
      </c>
      <c r="T317" s="20">
        <v>4</v>
      </c>
      <c r="U317" s="20">
        <v>5</v>
      </c>
      <c r="V317" s="143">
        <f t="array" ref="V317">IF(ISERROR(L317/K317),"",L317/K317)</f>
        <v>1</v>
      </c>
      <c r="W317" s="20"/>
      <c r="X317" s="20"/>
      <c r="Y317" s="20"/>
      <c r="Z317" s="20"/>
      <c r="AA317" s="20"/>
      <c r="AB317" s="20"/>
      <c r="AC317" s="20"/>
    </row>
    <row r="318" spans="1:29" s="2" customFormat="1" ht="21.95" hidden="1" customHeight="1">
      <c r="A318" s="142">
        <v>300432</v>
      </c>
      <c r="B318" s="135">
        <v>5001</v>
      </c>
      <c r="C318" s="259" t="s">
        <v>305</v>
      </c>
      <c r="D318" s="260"/>
      <c r="E318" s="148" t="s">
        <v>307</v>
      </c>
      <c r="F318" s="27"/>
      <c r="G318" s="133"/>
      <c r="H318" s="133"/>
      <c r="I318" s="133"/>
      <c r="J318" s="133"/>
      <c r="K318" s="146">
        <f t="shared" si="38"/>
        <v>0</v>
      </c>
      <c r="L318" s="146">
        <f t="shared" si="39"/>
        <v>0</v>
      </c>
      <c r="M318" s="146">
        <v>628.79999999999995</v>
      </c>
      <c r="N318" s="146">
        <f>+M318*1000/(87*1*80*60)*T318</f>
        <v>6.0229885057471266</v>
      </c>
      <c r="O318" s="146"/>
      <c r="P318" s="146">
        <f t="shared" si="40"/>
        <v>0</v>
      </c>
      <c r="Q318" s="146"/>
      <c r="R318" s="19">
        <f t="shared" si="41"/>
        <v>0</v>
      </c>
      <c r="S318" s="146">
        <f t="shared" si="42"/>
        <v>0</v>
      </c>
      <c r="T318" s="20">
        <v>4</v>
      </c>
      <c r="U318" s="20"/>
      <c r="V318" s="143" t="str">
        <f t="array" ref="V318">IF(ISERROR(L318/K318),"",L318/K318)</f>
        <v/>
      </c>
      <c r="W318" s="20"/>
      <c r="X318" s="20"/>
      <c r="Y318" s="20"/>
      <c r="Z318" s="20"/>
      <c r="AA318" s="20"/>
      <c r="AB318" s="20"/>
      <c r="AC318" s="20"/>
    </row>
    <row r="319" spans="1:29" s="2" customFormat="1" ht="21.95" customHeight="1">
      <c r="A319" s="142">
        <v>300433</v>
      </c>
      <c r="B319" s="135" t="s">
        <v>319</v>
      </c>
      <c r="C319" s="259" t="s">
        <v>305</v>
      </c>
      <c r="D319" s="260"/>
      <c r="E319" s="134" t="s">
        <v>308</v>
      </c>
      <c r="F319" s="27"/>
      <c r="G319" s="133">
        <v>8</v>
      </c>
      <c r="H319" s="133"/>
      <c r="I319" s="133">
        <v>8</v>
      </c>
      <c r="J319" s="133"/>
      <c r="K319" s="146">
        <f t="shared" si="38"/>
        <v>5030.3999999999996</v>
      </c>
      <c r="L319" s="146">
        <f t="shared" si="39"/>
        <v>5030.3999999999996</v>
      </c>
      <c r="M319" s="146">
        <v>628.79999999999995</v>
      </c>
      <c r="N319" s="146">
        <f>+M319*1000/(87*1*80*60)*T319</f>
        <v>6.0229885057471266</v>
      </c>
      <c r="O319" s="146">
        <v>0.5</v>
      </c>
      <c r="P319" s="146">
        <f t="shared" si="40"/>
        <v>50.683908045977013</v>
      </c>
      <c r="Q319" s="146">
        <v>15</v>
      </c>
      <c r="R319" s="19">
        <f t="shared" si="41"/>
        <v>75</v>
      </c>
      <c r="S319" s="146">
        <f t="shared" si="42"/>
        <v>24.316091954022987</v>
      </c>
      <c r="T319" s="20">
        <v>4</v>
      </c>
      <c r="U319" s="20">
        <v>5</v>
      </c>
      <c r="V319" s="143">
        <f t="array" ref="V319">IF(ISERROR(L319/K319),"",L319/K319)</f>
        <v>1</v>
      </c>
      <c r="W319" s="20"/>
      <c r="X319" s="20"/>
      <c r="Y319" s="20"/>
      <c r="Z319" s="20"/>
      <c r="AA319" s="20"/>
      <c r="AB319" s="20"/>
      <c r="AC319" s="20"/>
    </row>
    <row r="320" spans="1:29" s="2" customFormat="1" ht="21.95" hidden="1" customHeight="1">
      <c r="A320" s="142">
        <v>300074</v>
      </c>
      <c r="B320" s="135" t="s">
        <v>118</v>
      </c>
      <c r="C320" s="248" t="s">
        <v>119</v>
      </c>
      <c r="D320" s="248" t="s">
        <v>120</v>
      </c>
      <c r="E320" s="148" t="s">
        <v>54</v>
      </c>
      <c r="F320" s="147"/>
      <c r="G320" s="133"/>
      <c r="H320" s="133"/>
      <c r="I320" s="133"/>
      <c r="J320" s="133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48" t="s">
        <v>119</v>
      </c>
      <c r="D321" s="248" t="s">
        <v>120</v>
      </c>
      <c r="E321" s="148" t="s">
        <v>35</v>
      </c>
      <c r="F321" s="147"/>
      <c r="G321" s="133"/>
      <c r="H321" s="133"/>
      <c r="I321" s="133"/>
      <c r="J321" s="133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5">
        <v>6502</v>
      </c>
      <c r="C322" s="248" t="s">
        <v>121</v>
      </c>
      <c r="D322" s="248" t="s">
        <v>122</v>
      </c>
      <c r="E322" s="148" t="s">
        <v>37</v>
      </c>
      <c r="F322" s="147"/>
      <c r="G322" s="133"/>
      <c r="H322" s="133"/>
      <c r="I322" s="133"/>
      <c r="J322" s="133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5" t="s">
        <v>118</v>
      </c>
      <c r="C323" s="248" t="s">
        <v>121</v>
      </c>
      <c r="D323" s="248" t="s">
        <v>122</v>
      </c>
      <c r="E323" s="148" t="s">
        <v>35</v>
      </c>
      <c r="F323" s="147"/>
      <c r="G323" s="133"/>
      <c r="H323" s="133"/>
      <c r="I323" s="133"/>
      <c r="J323" s="133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5">
        <v>6502</v>
      </c>
      <c r="C324" s="248" t="s">
        <v>121</v>
      </c>
      <c r="D324" s="248" t="s">
        <v>122</v>
      </c>
      <c r="E324" s="148" t="s">
        <v>63</v>
      </c>
      <c r="F324" s="147"/>
      <c r="G324" s="133"/>
      <c r="H324" s="133"/>
      <c r="I324" s="133"/>
      <c r="J324" s="133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48" t="s">
        <v>123</v>
      </c>
      <c r="D325" s="248"/>
      <c r="E325" s="148" t="s">
        <v>41</v>
      </c>
      <c r="F325" s="147"/>
      <c r="G325" s="133"/>
      <c r="H325" s="133"/>
      <c r="I325" s="133"/>
      <c r="J325" s="133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48" t="s">
        <v>125</v>
      </c>
      <c r="D326" s="248"/>
      <c r="E326" s="148" t="s">
        <v>126</v>
      </c>
      <c r="F326" s="147"/>
      <c r="G326" s="133"/>
      <c r="H326" s="133"/>
      <c r="I326" s="133"/>
      <c r="J326" s="133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48" t="s">
        <v>123</v>
      </c>
      <c r="D327" s="248"/>
      <c r="E327" s="148" t="s">
        <v>42</v>
      </c>
      <c r="F327" s="147"/>
      <c r="G327" s="133"/>
      <c r="H327" s="133"/>
      <c r="I327" s="133"/>
      <c r="J327" s="133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48" t="s">
        <v>123</v>
      </c>
      <c r="D328" s="248"/>
      <c r="E328" s="148" t="s">
        <v>74</v>
      </c>
      <c r="F328" s="147"/>
      <c r="G328" s="133"/>
      <c r="H328" s="133"/>
      <c r="I328" s="133"/>
      <c r="J328" s="133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48" t="s">
        <v>123</v>
      </c>
      <c r="D329" s="248"/>
      <c r="E329" s="148" t="s">
        <v>40</v>
      </c>
      <c r="F329" s="147"/>
      <c r="G329" s="133"/>
      <c r="H329" s="133"/>
      <c r="I329" s="133"/>
      <c r="J329" s="133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48" t="s">
        <v>127</v>
      </c>
      <c r="D330" s="248"/>
      <c r="E330" s="148" t="s">
        <v>74</v>
      </c>
      <c r="F330" s="147"/>
      <c r="G330" s="133"/>
      <c r="H330" s="133"/>
      <c r="I330" s="133"/>
      <c r="J330" s="133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 t="str">
        <f t="array" ref="V330">IF(ISERROR(L330/K330),"",L330/K330)</f>
        <v/>
      </c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48" t="s">
        <v>127</v>
      </c>
      <c r="D331" s="248"/>
      <c r="E331" s="148" t="s">
        <v>42</v>
      </c>
      <c r="F331" s="147"/>
      <c r="G331" s="133"/>
      <c r="H331" s="133"/>
      <c r="I331" s="133"/>
      <c r="J331" s="133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 t="str">
        <f t="array" ref="V331">IF(ISERROR(L331/K331),"",L331/K331)</f>
        <v/>
      </c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48" t="s">
        <v>127</v>
      </c>
      <c r="D332" s="248"/>
      <c r="E332" s="148" t="s">
        <v>41</v>
      </c>
      <c r="F332" s="147"/>
      <c r="G332" s="133"/>
      <c r="H332" s="133"/>
      <c r="I332" s="133"/>
      <c r="J332" s="133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 t="str">
        <f t="array" ref="V332">IF(ISERROR(L332/K332),"",L332/K332)</f>
        <v/>
      </c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48" t="s">
        <v>127</v>
      </c>
      <c r="D333" s="248"/>
      <c r="E333" s="148" t="s">
        <v>126</v>
      </c>
      <c r="F333" s="147"/>
      <c r="G333" s="133"/>
      <c r="H333" s="133"/>
      <c r="I333" s="133"/>
      <c r="J333" s="133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 t="str">
        <f t="array" ref="V333">IF(ISERROR(L333/K333),"",L333/K333)</f>
        <v/>
      </c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48" t="s">
        <v>127</v>
      </c>
      <c r="D334" s="248"/>
      <c r="E334" s="148" t="s">
        <v>40</v>
      </c>
      <c r="F334" s="147"/>
      <c r="G334" s="133"/>
      <c r="H334" s="133"/>
      <c r="I334" s="133"/>
      <c r="J334" s="133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 t="str">
        <f t="array" ref="V334">IF(ISERROR(L334/K334),"",L334/K334)</f>
        <v/>
      </c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48" t="s">
        <v>128</v>
      </c>
      <c r="D335" s="248"/>
      <c r="E335" s="148" t="s">
        <v>54</v>
      </c>
      <c r="F335" s="147"/>
      <c r="G335" s="133"/>
      <c r="H335" s="133"/>
      <c r="I335" s="133"/>
      <c r="J335" s="133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48" t="s">
        <v>128</v>
      </c>
      <c r="D336" s="248"/>
      <c r="E336" s="148" t="s">
        <v>39</v>
      </c>
      <c r="F336" s="147"/>
      <c r="G336" s="133"/>
      <c r="H336" s="133"/>
      <c r="I336" s="133"/>
      <c r="J336" s="133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48" t="s">
        <v>128</v>
      </c>
      <c r="D337" s="248"/>
      <c r="E337" s="148" t="s">
        <v>41</v>
      </c>
      <c r="F337" s="147"/>
      <c r="G337" s="133"/>
      <c r="H337" s="133"/>
      <c r="I337" s="133"/>
      <c r="J337" s="133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48" t="s">
        <v>128</v>
      </c>
      <c r="D338" s="248"/>
      <c r="E338" s="148" t="s">
        <v>37</v>
      </c>
      <c r="F338" s="147"/>
      <c r="G338" s="133"/>
      <c r="H338" s="133"/>
      <c r="I338" s="133"/>
      <c r="J338" s="133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59" t="s">
        <v>129</v>
      </c>
      <c r="D339" s="260"/>
      <c r="E339" s="148" t="s">
        <v>41</v>
      </c>
      <c r="F339" s="147"/>
      <c r="G339" s="133"/>
      <c r="H339" s="133"/>
      <c r="I339" s="133"/>
      <c r="J339" s="133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 t="str">
        <f t="array" ref="V339">IF(ISERROR(L339/K339),"",L339/K339)</f>
        <v/>
      </c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59" t="s">
        <v>129</v>
      </c>
      <c r="D340" s="260"/>
      <c r="E340" s="148" t="s">
        <v>39</v>
      </c>
      <c r="F340" s="147"/>
      <c r="G340" s="133"/>
      <c r="H340" s="133"/>
      <c r="I340" s="133"/>
      <c r="J340" s="133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 t="str">
        <f t="array" ref="V340">IF(ISERROR(L340/K340),"",L340/K340)</f>
        <v/>
      </c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48" t="s">
        <v>130</v>
      </c>
      <c r="D341" s="248" t="s">
        <v>131</v>
      </c>
      <c r="E341" s="148" t="s">
        <v>57</v>
      </c>
      <c r="F341" s="147"/>
      <c r="G341" s="133"/>
      <c r="H341" s="133"/>
      <c r="I341" s="133"/>
      <c r="J341" s="133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48" t="s">
        <v>130</v>
      </c>
      <c r="D342" s="248" t="s">
        <v>131</v>
      </c>
      <c r="E342" s="148" t="s">
        <v>117</v>
      </c>
      <c r="F342" s="147"/>
      <c r="G342" s="133"/>
      <c r="H342" s="133"/>
      <c r="I342" s="133"/>
      <c r="J342" s="133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48" t="s">
        <v>130</v>
      </c>
      <c r="D343" s="248" t="s">
        <v>131</v>
      </c>
      <c r="E343" s="148" t="s">
        <v>132</v>
      </c>
      <c r="F343" s="147"/>
      <c r="G343" s="133"/>
      <c r="H343" s="133"/>
      <c r="I343" s="133"/>
      <c r="J343" s="133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48" t="s">
        <v>130</v>
      </c>
      <c r="D344" s="248"/>
      <c r="E344" s="148" t="s">
        <v>133</v>
      </c>
      <c r="F344" s="147"/>
      <c r="G344" s="133"/>
      <c r="H344" s="133"/>
      <c r="I344" s="133"/>
      <c r="J344" s="133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48" t="s">
        <v>130</v>
      </c>
      <c r="D345" s="248" t="s">
        <v>131</v>
      </c>
      <c r="E345" s="148" t="s">
        <v>54</v>
      </c>
      <c r="F345" s="147"/>
      <c r="G345" s="133"/>
      <c r="H345" s="133"/>
      <c r="I345" s="133"/>
      <c r="J345" s="133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48" t="s">
        <v>134</v>
      </c>
      <c r="D346" s="248" t="s">
        <v>131</v>
      </c>
      <c r="E346" s="148" t="s">
        <v>135</v>
      </c>
      <c r="F346" s="147"/>
      <c r="G346" s="133"/>
      <c r="H346" s="133"/>
      <c r="I346" s="133"/>
      <c r="J346" s="133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48" t="s">
        <v>134</v>
      </c>
      <c r="D347" s="248" t="s">
        <v>131</v>
      </c>
      <c r="E347" s="148" t="s">
        <v>80</v>
      </c>
      <c r="F347" s="147"/>
      <c r="G347" s="133"/>
      <c r="H347" s="133"/>
      <c r="I347" s="133"/>
      <c r="J347" s="133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59" t="s">
        <v>137</v>
      </c>
      <c r="D348" s="260"/>
      <c r="E348" s="148" t="s">
        <v>57</v>
      </c>
      <c r="F348" s="147"/>
      <c r="G348" s="133"/>
      <c r="H348" s="133"/>
      <c r="I348" s="133"/>
      <c r="J348" s="133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59" t="s">
        <v>137</v>
      </c>
      <c r="D349" s="260"/>
      <c r="E349" s="148" t="s">
        <v>117</v>
      </c>
      <c r="F349" s="147"/>
      <c r="G349" s="133"/>
      <c r="H349" s="133"/>
      <c r="I349" s="133"/>
      <c r="J349" s="133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48" t="s">
        <v>139</v>
      </c>
      <c r="D350" s="248" t="s">
        <v>140</v>
      </c>
      <c r="E350" s="148" t="s">
        <v>135</v>
      </c>
      <c r="F350" s="147"/>
      <c r="G350" s="133"/>
      <c r="H350" s="133"/>
      <c r="I350" s="133"/>
      <c r="J350" s="133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48" t="s">
        <v>141</v>
      </c>
      <c r="D351" s="248"/>
      <c r="E351" s="148" t="s">
        <v>142</v>
      </c>
      <c r="F351" s="147"/>
      <c r="G351" s="133"/>
      <c r="H351" s="133"/>
      <c r="I351" s="133"/>
      <c r="J351" s="133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48" t="s">
        <v>143</v>
      </c>
      <c r="D352" s="248"/>
      <c r="E352" s="148" t="s">
        <v>84</v>
      </c>
      <c r="F352" s="147"/>
      <c r="G352" s="133"/>
      <c r="H352" s="133"/>
      <c r="I352" s="133"/>
      <c r="J352" s="133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48" t="s">
        <v>143</v>
      </c>
      <c r="D353" s="248"/>
      <c r="E353" s="148" t="s">
        <v>49</v>
      </c>
      <c r="F353" s="147"/>
      <c r="G353" s="133"/>
      <c r="H353" s="133"/>
      <c r="I353" s="133"/>
      <c r="J353" s="133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 t="str">
        <f t="array" ref="V353">IF(ISERROR(L353/K353),"",L353/K353)</f>
        <v/>
      </c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48" t="s">
        <v>143</v>
      </c>
      <c r="D354" s="248"/>
      <c r="E354" s="148" t="s">
        <v>85</v>
      </c>
      <c r="F354" s="147"/>
      <c r="G354" s="133"/>
      <c r="H354" s="133"/>
      <c r="I354" s="133"/>
      <c r="J354" s="133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 t="str">
        <f t="array" ref="V354">IF(ISERROR(L354/K354),"",L354/K354)</f>
        <v/>
      </c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48" t="s">
        <v>145</v>
      </c>
      <c r="D355" s="248"/>
      <c r="E355" s="148" t="s">
        <v>47</v>
      </c>
      <c r="F355" s="147"/>
      <c r="G355" s="133"/>
      <c r="H355" s="133"/>
      <c r="I355" s="133"/>
      <c r="J355" s="133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48" t="s">
        <v>145</v>
      </c>
      <c r="D356" s="248"/>
      <c r="E356" s="148" t="s">
        <v>146</v>
      </c>
      <c r="F356" s="147"/>
      <c r="G356" s="133"/>
      <c r="H356" s="133"/>
      <c r="I356" s="133"/>
      <c r="J356" s="133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48" t="s">
        <v>145</v>
      </c>
      <c r="D357" s="248"/>
      <c r="E357" s="148" t="s">
        <v>147</v>
      </c>
      <c r="F357" s="147"/>
      <c r="G357" s="133"/>
      <c r="H357" s="133"/>
      <c r="I357" s="133"/>
      <c r="J357" s="133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48" t="s">
        <v>145</v>
      </c>
      <c r="D358" s="248"/>
      <c r="E358" s="148" t="s">
        <v>74</v>
      </c>
      <c r="F358" s="147"/>
      <c r="G358" s="133"/>
      <c r="H358" s="133"/>
      <c r="I358" s="133"/>
      <c r="J358" s="133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59" t="s">
        <v>148</v>
      </c>
      <c r="D359" s="260"/>
      <c r="E359" s="148" t="s">
        <v>41</v>
      </c>
      <c r="F359" s="147"/>
      <c r="G359" s="133"/>
      <c r="H359" s="133"/>
      <c r="I359" s="133"/>
      <c r="J359" s="133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 t="str">
        <f t="array" ref="V359">IF(ISERROR(L359/K359),"",L359/K359)</f>
        <v/>
      </c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59" t="s">
        <v>148</v>
      </c>
      <c r="D360" s="260"/>
      <c r="E360" s="148" t="s">
        <v>66</v>
      </c>
      <c r="F360" s="147"/>
      <c r="G360" s="133"/>
      <c r="H360" s="133"/>
      <c r="I360" s="133"/>
      <c r="J360" s="133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 t="str">
        <f t="array" ref="V360">IF(ISERROR(L360/K360),"",L360/K360)</f>
        <v/>
      </c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59" t="s">
        <v>148</v>
      </c>
      <c r="D361" s="260"/>
      <c r="E361" s="148" t="s">
        <v>149</v>
      </c>
      <c r="F361" s="147"/>
      <c r="G361" s="133"/>
      <c r="H361" s="133"/>
      <c r="I361" s="133"/>
      <c r="J361" s="133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 t="str">
        <f t="array" ref="V361">IF(ISERROR(L361/K361),"",L361/K361)</f>
        <v/>
      </c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59" t="s">
        <v>150</v>
      </c>
      <c r="D362" s="260"/>
      <c r="E362" s="148" t="s">
        <v>151</v>
      </c>
      <c r="F362" s="147"/>
      <c r="G362" s="133"/>
      <c r="H362" s="133"/>
      <c r="I362" s="133"/>
      <c r="J362" s="133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 t="str">
        <f t="array" ref="V362">IF(ISERROR(L362/K362),"",L362/K362)</f>
        <v/>
      </c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59" t="s">
        <v>150</v>
      </c>
      <c r="D363" s="260"/>
      <c r="E363" s="148" t="s">
        <v>152</v>
      </c>
      <c r="F363" s="147"/>
      <c r="G363" s="133"/>
      <c r="H363" s="133"/>
      <c r="I363" s="133"/>
      <c r="J363" s="133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8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 t="str">
        <f t="array" ref="V363">IF(ISERROR(L363/K363),"",L363/K363)</f>
        <v/>
      </c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59" t="s">
        <v>150</v>
      </c>
      <c r="D364" s="260"/>
      <c r="E364" s="148" t="s">
        <v>70</v>
      </c>
      <c r="F364" s="147"/>
      <c r="G364" s="133"/>
      <c r="H364" s="133"/>
      <c r="I364" s="133"/>
      <c r="J364" s="133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 t="str">
        <f t="array" ref="V364">IF(ISERROR(L364/K364),"",L364/K364)</f>
        <v/>
      </c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59" t="s">
        <v>150</v>
      </c>
      <c r="D365" s="260"/>
      <c r="E365" s="148" t="s">
        <v>35</v>
      </c>
      <c r="F365" s="147"/>
      <c r="G365" s="133"/>
      <c r="H365" s="133"/>
      <c r="I365" s="133"/>
      <c r="J365" s="133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 t="str">
        <f t="array" ref="V365">IF(ISERROR(L365/K365),"",L365/K365)</f>
        <v/>
      </c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59" t="s">
        <v>153</v>
      </c>
      <c r="D366" s="260"/>
      <c r="E366" s="148" t="s">
        <v>47</v>
      </c>
      <c r="F366" s="147"/>
      <c r="G366" s="133"/>
      <c r="H366" s="133"/>
      <c r="I366" s="133"/>
      <c r="J366" s="133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 t="str">
        <f t="array" ref="V366">IF(ISERROR(L366/K366),"",L366/K366)</f>
        <v/>
      </c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59" t="s">
        <v>153</v>
      </c>
      <c r="D367" s="260"/>
      <c r="E367" s="148" t="s">
        <v>146</v>
      </c>
      <c r="F367" s="147"/>
      <c r="G367" s="133"/>
      <c r="H367" s="133"/>
      <c r="I367" s="133"/>
      <c r="J367" s="133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 t="str">
        <f t="array" ref="V367">IF(ISERROR(L367/K367),"",L367/K367)</f>
        <v/>
      </c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59" t="s">
        <v>153</v>
      </c>
      <c r="D368" s="260"/>
      <c r="E368" s="148" t="s">
        <v>147</v>
      </c>
      <c r="F368" s="147"/>
      <c r="G368" s="133"/>
      <c r="H368" s="133"/>
      <c r="I368" s="133"/>
      <c r="J368" s="133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 t="str">
        <f t="array" ref="V368">IF(ISERROR(L368/K368),"",L368/K368)</f>
        <v/>
      </c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59" t="s">
        <v>153</v>
      </c>
      <c r="D369" s="260"/>
      <c r="E369" s="148" t="s">
        <v>74</v>
      </c>
      <c r="F369" s="147"/>
      <c r="G369" s="133"/>
      <c r="H369" s="133"/>
      <c r="I369" s="133"/>
      <c r="J369" s="133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 t="str">
        <f t="array" ref="V369">IF(ISERROR(L369/K369),"",L369/K369)</f>
        <v/>
      </c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66" t="s">
        <v>154</v>
      </c>
      <c r="D370" s="267"/>
      <c r="E370" s="148" t="s">
        <v>39</v>
      </c>
      <c r="F370" s="147"/>
      <c r="G370" s="133"/>
      <c r="H370" s="133"/>
      <c r="I370" s="133"/>
      <c r="J370" s="133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 t="str">
        <f t="array" ref="V370">IF(ISERROR(L370/K370),"",L370/K370)</f>
        <v/>
      </c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66" t="s">
        <v>154</v>
      </c>
      <c r="D371" s="267"/>
      <c r="E371" s="148" t="s">
        <v>80</v>
      </c>
      <c r="F371" s="147"/>
      <c r="G371" s="133"/>
      <c r="H371" s="133"/>
      <c r="I371" s="133"/>
      <c r="J371" s="133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 t="str">
        <f t="array" ref="V371">IF(ISERROR(L371/K371),"",L371/K371)</f>
        <v/>
      </c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66" t="s">
        <v>154</v>
      </c>
      <c r="D372" s="267"/>
      <c r="E372" s="148" t="s">
        <v>35</v>
      </c>
      <c r="F372" s="147"/>
      <c r="G372" s="133"/>
      <c r="H372" s="133"/>
      <c r="I372" s="133"/>
      <c r="J372" s="133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 t="str">
        <f t="array" ref="V372">IF(ISERROR(L372/K372),"",L372/K372)</f>
        <v/>
      </c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66" t="s">
        <v>154</v>
      </c>
      <c r="D373" s="267"/>
      <c r="E373" s="148" t="s">
        <v>40</v>
      </c>
      <c r="F373" s="147"/>
      <c r="G373" s="133"/>
      <c r="H373" s="133"/>
      <c r="I373" s="133"/>
      <c r="J373" s="133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 t="str">
        <f t="array" ref="V373">IF(ISERROR(L373/K373),"",L373/K373)</f>
        <v/>
      </c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66" t="s">
        <v>155</v>
      </c>
      <c r="D374" s="267"/>
      <c r="E374" s="148" t="s">
        <v>41</v>
      </c>
      <c r="F374" s="147"/>
      <c r="G374" s="133"/>
      <c r="H374" s="133"/>
      <c r="I374" s="133"/>
      <c r="J374" s="133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 t="str">
        <f t="array" ref="V374">IF(ISERROR(L374/K374),"",L374/K374)</f>
        <v/>
      </c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66" t="s">
        <v>155</v>
      </c>
      <c r="D375" s="267"/>
      <c r="E375" s="148" t="s">
        <v>66</v>
      </c>
      <c r="F375" s="147"/>
      <c r="G375" s="133"/>
      <c r="H375" s="133"/>
      <c r="I375" s="133"/>
      <c r="J375" s="133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 t="str">
        <f t="array" ref="V375">IF(ISERROR(L375/K375),"",L375/K375)</f>
        <v/>
      </c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66" t="s">
        <v>155</v>
      </c>
      <c r="D376" s="267"/>
      <c r="E376" s="148" t="s">
        <v>149</v>
      </c>
      <c r="F376" s="147"/>
      <c r="G376" s="133"/>
      <c r="H376" s="133"/>
      <c r="I376" s="133"/>
      <c r="J376" s="133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 t="str">
        <f t="array" ref="V376">IF(ISERROR(L376/K376),"",L376/K376)</f>
        <v/>
      </c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48" t="s">
        <v>156</v>
      </c>
      <c r="D377" s="248"/>
      <c r="E377" s="148" t="s">
        <v>142</v>
      </c>
      <c r="F377" s="147"/>
      <c r="G377" s="133"/>
      <c r="H377" s="133"/>
      <c r="I377" s="133"/>
      <c r="J377" s="133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48" t="s">
        <v>157</v>
      </c>
      <c r="D378" s="248" t="s">
        <v>158</v>
      </c>
      <c r="E378" s="148" t="s">
        <v>135</v>
      </c>
      <c r="F378" s="147"/>
      <c r="G378" s="133"/>
      <c r="H378" s="133"/>
      <c r="I378" s="133"/>
      <c r="J378" s="133"/>
      <c r="K378" s="146">
        <f t="shared" si="46"/>
        <v>0</v>
      </c>
      <c r="L378" s="146">
        <f t="shared" si="47"/>
        <v>0</v>
      </c>
      <c r="M378" s="146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48" t="s">
        <v>157</v>
      </c>
      <c r="D379" s="248" t="s">
        <v>158</v>
      </c>
      <c r="E379" s="148" t="s">
        <v>80</v>
      </c>
      <c r="F379" s="147"/>
      <c r="G379" s="133"/>
      <c r="H379" s="133"/>
      <c r="I379" s="133"/>
      <c r="J379" s="133"/>
      <c r="K379" s="146">
        <f t="shared" si="46"/>
        <v>0</v>
      </c>
      <c r="L379" s="146">
        <f t="shared" si="47"/>
        <v>0</v>
      </c>
      <c r="M379" s="146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48" t="s">
        <v>159</v>
      </c>
      <c r="D380" s="248" t="s">
        <v>160</v>
      </c>
      <c r="E380" s="148" t="s">
        <v>57</v>
      </c>
      <c r="F380" s="147"/>
      <c r="G380" s="133"/>
      <c r="H380" s="133"/>
      <c r="I380" s="133"/>
      <c r="J380" s="133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48" t="s">
        <v>159</v>
      </c>
      <c r="D381" s="248" t="s">
        <v>160</v>
      </c>
      <c r="E381" s="148" t="s">
        <v>117</v>
      </c>
      <c r="F381" s="147"/>
      <c r="G381" s="133"/>
      <c r="H381" s="133"/>
      <c r="I381" s="133"/>
      <c r="J381" s="133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48" t="s">
        <v>159</v>
      </c>
      <c r="D382" s="248" t="s">
        <v>160</v>
      </c>
      <c r="E382" s="148" t="s">
        <v>133</v>
      </c>
      <c r="F382" s="147"/>
      <c r="G382" s="133"/>
      <c r="H382" s="133"/>
      <c r="I382" s="133"/>
      <c r="J382" s="133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48" t="s">
        <v>159</v>
      </c>
      <c r="D383" s="248" t="s">
        <v>160</v>
      </c>
      <c r="E383" s="148" t="s">
        <v>132</v>
      </c>
      <c r="F383" s="147"/>
      <c r="G383" s="133"/>
      <c r="H383" s="133"/>
      <c r="I383" s="133"/>
      <c r="J383" s="133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48" t="s">
        <v>161</v>
      </c>
      <c r="D384" s="248" t="s">
        <v>160</v>
      </c>
      <c r="E384" s="148" t="s">
        <v>80</v>
      </c>
      <c r="F384" s="147"/>
      <c r="G384" s="133"/>
      <c r="H384" s="133"/>
      <c r="I384" s="133"/>
      <c r="J384" s="133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48" t="s">
        <v>161</v>
      </c>
      <c r="D385" s="248" t="s">
        <v>160</v>
      </c>
      <c r="E385" s="148" t="s">
        <v>135</v>
      </c>
      <c r="F385" s="147"/>
      <c r="G385" s="133"/>
      <c r="H385" s="133"/>
      <c r="I385" s="133"/>
      <c r="J385" s="133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48" t="s">
        <v>162</v>
      </c>
      <c r="D386" s="248"/>
      <c r="E386" s="148" t="s">
        <v>42</v>
      </c>
      <c r="F386" s="147"/>
      <c r="G386" s="133"/>
      <c r="H386" s="133"/>
      <c r="I386" s="133"/>
      <c r="J386" s="133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48" t="s">
        <v>162</v>
      </c>
      <c r="D387" s="248"/>
      <c r="E387" s="148" t="s">
        <v>163</v>
      </c>
      <c r="F387" s="147"/>
      <c r="G387" s="133"/>
      <c r="H387" s="133"/>
      <c r="I387" s="133"/>
      <c r="J387" s="133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48" t="s">
        <v>162</v>
      </c>
      <c r="D388" s="248"/>
      <c r="E388" s="148" t="s">
        <v>146</v>
      </c>
      <c r="F388" s="147"/>
      <c r="G388" s="133"/>
      <c r="H388" s="133"/>
      <c r="I388" s="133"/>
      <c r="J388" s="133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48" t="s">
        <v>162</v>
      </c>
      <c r="D389" s="248"/>
      <c r="E389" s="148" t="s">
        <v>164</v>
      </c>
      <c r="F389" s="147"/>
      <c r="G389" s="133"/>
      <c r="H389" s="133"/>
      <c r="I389" s="133"/>
      <c r="J389" s="133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48" t="s">
        <v>165</v>
      </c>
      <c r="D390" s="248"/>
      <c r="E390" s="148" t="s">
        <v>37</v>
      </c>
      <c r="F390" s="147"/>
      <c r="G390" s="133"/>
      <c r="H390" s="133"/>
      <c r="I390" s="133"/>
      <c r="J390" s="133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48" t="s">
        <v>165</v>
      </c>
      <c r="D391" s="248"/>
      <c r="E391" s="148" t="s">
        <v>57</v>
      </c>
      <c r="F391" s="147"/>
      <c r="G391" s="133"/>
      <c r="H391" s="133"/>
      <c r="I391" s="133"/>
      <c r="J391" s="133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48" t="s">
        <v>165</v>
      </c>
      <c r="D392" s="248"/>
      <c r="E392" s="148" t="s">
        <v>41</v>
      </c>
      <c r="F392" s="147"/>
      <c r="G392" s="133"/>
      <c r="H392" s="133"/>
      <c r="I392" s="133"/>
      <c r="J392" s="133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48" t="s">
        <v>165</v>
      </c>
      <c r="D393" s="248"/>
      <c r="E393" s="148" t="s">
        <v>35</v>
      </c>
      <c r="F393" s="147"/>
      <c r="G393" s="133"/>
      <c r="H393" s="133"/>
      <c r="I393" s="133"/>
      <c r="J393" s="133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48" t="s">
        <v>165</v>
      </c>
      <c r="D394" s="248"/>
      <c r="E394" s="148" t="s">
        <v>66</v>
      </c>
      <c r="F394" s="147"/>
      <c r="G394" s="133"/>
      <c r="H394" s="133"/>
      <c r="I394" s="133"/>
      <c r="J394" s="133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48" t="s">
        <v>165</v>
      </c>
      <c r="D395" s="248"/>
      <c r="E395" s="148" t="s">
        <v>166</v>
      </c>
      <c r="F395" s="147"/>
      <c r="G395" s="133"/>
      <c r="H395" s="133"/>
      <c r="I395" s="133"/>
      <c r="J395" s="133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39">
        <v>300355</v>
      </c>
      <c r="B396" s="135">
        <v>13002</v>
      </c>
      <c r="C396" s="259" t="s">
        <v>168</v>
      </c>
      <c r="D396" s="260"/>
      <c r="E396" s="33" t="s">
        <v>35</v>
      </c>
      <c r="F396" s="147"/>
      <c r="G396" s="133">
        <v>5.2</v>
      </c>
      <c r="H396" s="133">
        <v>0.2</v>
      </c>
      <c r="I396" s="133">
        <f>5+H396</f>
        <v>5.2</v>
      </c>
      <c r="J396" s="133"/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23.964646464646464</v>
      </c>
      <c r="Q396" s="146"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20">
        <v>6</v>
      </c>
      <c r="V396" s="143">
        <f t="array" ref="V396">IF(ISERROR(L396/K396),"",L396/K396)</f>
        <v>1</v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35">
        <v>13002</v>
      </c>
      <c r="C397" s="259" t="s">
        <v>168</v>
      </c>
      <c r="D397" s="260"/>
      <c r="E397" s="150" t="s">
        <v>41</v>
      </c>
      <c r="F397" s="147"/>
      <c r="G397" s="133"/>
      <c r="H397" s="133"/>
      <c r="I397" s="133"/>
      <c r="J397" s="133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39">
        <v>300357</v>
      </c>
      <c r="B398" s="135">
        <v>13002</v>
      </c>
      <c r="C398" s="259" t="s">
        <v>168</v>
      </c>
      <c r="D398" s="260"/>
      <c r="E398" s="150" t="s">
        <v>37</v>
      </c>
      <c r="F398" s="13"/>
      <c r="G398" s="133">
        <v>5</v>
      </c>
      <c r="H398" s="133"/>
      <c r="I398" s="133">
        <v>5</v>
      </c>
      <c r="J398" s="133"/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6">
        <v>0.5</v>
      </c>
      <c r="P398" s="146">
        <f t="shared" si="48"/>
        <v>26.042929292929291</v>
      </c>
      <c r="Q398" s="146"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20">
        <v>6</v>
      </c>
      <c r="V398" s="143">
        <f t="array" ref="V398">IF(ISERROR(L398/K398),"",L398/K398)</f>
        <v>1</v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59" t="s">
        <v>168</v>
      </c>
      <c r="D399" s="260"/>
      <c r="E399" s="150" t="s">
        <v>66</v>
      </c>
      <c r="F399" s="13"/>
      <c r="G399" s="133">
        <v>1</v>
      </c>
      <c r="H399" s="133"/>
      <c r="I399" s="133">
        <v>1</v>
      </c>
      <c r="J399" s="133"/>
      <c r="K399" s="136">
        <f t="shared" si="46"/>
        <v>438</v>
      </c>
      <c r="L399" s="146">
        <f t="shared" si="47"/>
        <v>438</v>
      </c>
      <c r="M399" s="146">
        <v>438</v>
      </c>
      <c r="N399" s="15">
        <f>+M399*1000/(110*4*18*60)*T399</f>
        <v>4.6085858585858581</v>
      </c>
      <c r="O399" s="146">
        <v>0.5</v>
      </c>
      <c r="P399" s="146">
        <f>N399*I399+O399*U399</f>
        <v>7.6085858585858581</v>
      </c>
      <c r="Q399" s="146">
        <v>1</v>
      </c>
      <c r="R399" s="19">
        <f t="shared" si="49"/>
        <v>6</v>
      </c>
      <c r="S399" s="146">
        <f t="shared" si="50"/>
        <v>-1.6085858585858581</v>
      </c>
      <c r="T399" s="20">
        <v>5</v>
      </c>
      <c r="U399" s="20">
        <v>6</v>
      </c>
      <c r="V399" s="143">
        <f t="array" ref="V399">IF(ISERROR(L399/K399),"",L399/K399)</f>
        <v>1</v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48" t="s">
        <v>312</v>
      </c>
      <c r="D400" s="24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48" t="s">
        <v>312</v>
      </c>
      <c r="D401" s="24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48" t="s">
        <v>312</v>
      </c>
      <c r="D402" s="24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48" t="s">
        <v>312</v>
      </c>
      <c r="D403" s="24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59" t="s">
        <v>172</v>
      </c>
      <c r="D404" s="26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59" t="s">
        <v>172</v>
      </c>
      <c r="D405" s="26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59" t="s">
        <v>172</v>
      </c>
      <c r="D406" s="26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59" t="s">
        <v>172</v>
      </c>
      <c r="D407" s="26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46">
        <f t="array" ref="G408">SUM(IF(ISERROR(G215:G407),“”,G215:G407))</f>
        <v>30.45</v>
      </c>
      <c r="H408" s="146">
        <f t="array" ref="H408">SUM(IF(ISERROR(H215:H407),“”,H215:H407))</f>
        <v>0.45</v>
      </c>
      <c r="I408" s="146">
        <f t="array" ref="I408">SUM(IF(ISERROR(I215:I407),“”,I215:I407))</f>
        <v>29.75</v>
      </c>
      <c r="J408" s="146">
        <f t="array" ref="J408">SUM(IF(ISERROR(J215:J407),“”,J215:J407))</f>
        <v>350</v>
      </c>
      <c r="K408" s="146">
        <f t="array" ref="K408">SUM(IF(ISERROR(K215:K407),“”,K215:K407))</f>
        <v>16622</v>
      </c>
      <c r="L408" s="117">
        <f>SUM(L215:L399)</f>
        <v>16188.980000000001</v>
      </c>
      <c r="M408" s="146"/>
      <c r="N408" s="146"/>
      <c r="O408" s="146">
        <f t="array" ref="O408">SUM(IF(ISERROR(O215:O407),“”,O215:O407))</f>
        <v>3</v>
      </c>
      <c r="P408" s="56">
        <f>SUM((P215:P399),(W413:X418))</f>
        <v>242.40504177215118</v>
      </c>
      <c r="Q408" s="146"/>
      <c r="R408" s="56">
        <f>SUM((R215:R399),(Y413:Z418))</f>
        <v>284.5</v>
      </c>
      <c r="S408" s="146">
        <f t="array" ref="S408">SUM(IF(ISERROR(S215:S407),“”,S215:S407))</f>
        <v>51.094958227848821</v>
      </c>
      <c r="T408" s="146"/>
      <c r="U408" s="146"/>
      <c r="V408" s="143">
        <f t="array" ref="V408">IF(ISERROR(L408/K408),"",L408/K408)</f>
        <v>0.97394898327517754</v>
      </c>
      <c r="W408" s="146">
        <f t="array" ref="W408">SUM(IF(ISERROR(W215:W407),“”,W215:W407))</f>
        <v>0</v>
      </c>
      <c r="X408" s="146">
        <f t="array" ref="X408">SUM(IF(ISERROR(X215:X407),“”,X215:X407))</f>
        <v>0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>IF(ISERROR(P408/R408),"",P408/R408)</f>
        <v>0.85203881114991631</v>
      </c>
      <c r="P409" s="274"/>
      <c r="Q409" s="274"/>
      <c r="R409" s="275"/>
      <c r="S409" s="44"/>
      <c r="T409" s="45"/>
      <c r="U409" s="45"/>
      <c r="V409" s="45"/>
      <c r="W409" s="276">
        <f>SUM(W408:AC408)</f>
        <v>3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0</v>
      </c>
      <c r="F411" s="279"/>
      <c r="G411" s="279">
        <v>0</v>
      </c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3264.7</v>
      </c>
      <c r="F412" s="279"/>
      <c r="G412" s="279">
        <v>3314.7</v>
      </c>
      <c r="H412" s="279"/>
      <c r="I412" s="279">
        <f>G412-E412</f>
        <v>50</v>
      </c>
      <c r="J412" s="279"/>
      <c r="K412" s="281">
        <f t="array" ref="K412">IF(ISERROR(I412/E412),"",I412/E412)</f>
        <v>1.5315342910527767E-2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16</v>
      </c>
      <c r="T412" s="284"/>
      <c r="U412" s="284">
        <v>19</v>
      </c>
      <c r="V412" s="284"/>
      <c r="W412" s="283">
        <f>S412*9</f>
        <v>144</v>
      </c>
      <c r="X412" s="283"/>
      <c r="Y412" s="283">
        <f>U412*9</f>
        <v>171</v>
      </c>
      <c r="Z412" s="283"/>
      <c r="AA412" s="283">
        <f t="shared" ref="AA412:AA419" si="59">Y412-W412</f>
        <v>27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3</v>
      </c>
      <c r="T413" s="284"/>
      <c r="U413" s="284">
        <v>6</v>
      </c>
      <c r="V413" s="284"/>
      <c r="W413" s="283">
        <f t="shared" ref="W413:W419" si="60">S413*9</f>
        <v>27</v>
      </c>
      <c r="X413" s="283"/>
      <c r="Y413" s="283">
        <f t="shared" ref="Y413:Y419" si="61">U413*9</f>
        <v>54</v>
      </c>
      <c r="Z413" s="283"/>
      <c r="AA413" s="283">
        <f t="shared" si="59"/>
        <v>27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0</v>
      </c>
      <c r="V414" s="284"/>
      <c r="W414" s="283">
        <f t="shared" si="60"/>
        <v>6.75</v>
      </c>
      <c r="X414" s="283"/>
      <c r="Y414" s="283">
        <f t="shared" si="61"/>
        <v>0</v>
      </c>
      <c r="Z414" s="283"/>
      <c r="AA414" s="283">
        <f t="shared" si="59"/>
        <v>-6.75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44">
        <v>5</v>
      </c>
      <c r="G415" s="324">
        <v>148863</v>
      </c>
      <c r="H415" s="324"/>
      <c r="I415" s="325">
        <v>148803</v>
      </c>
      <c r="J415" s="326"/>
      <c r="K415" s="289">
        <f>G415-I415</f>
        <v>60</v>
      </c>
      <c r="L415" s="289"/>
      <c r="M415" s="290">
        <f t="array" ref="M415">IF(ISERROR(K415/L408),"",K415/(L408/1000))</f>
        <v>3.7062248517201204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0</v>
      </c>
      <c r="V415" s="284"/>
      <c r="W415" s="283">
        <f t="shared" si="60"/>
        <v>6.75</v>
      </c>
      <c r="X415" s="283"/>
      <c r="Y415" s="283">
        <f t="shared" si="61"/>
        <v>0</v>
      </c>
      <c r="Z415" s="283"/>
      <c r="AA415" s="283">
        <f t="shared" si="59"/>
        <v>-6.75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44">
        <v>105</v>
      </c>
      <c r="G416" s="322">
        <f>28518.5*120+44802.9*60</f>
        <v>6110394</v>
      </c>
      <c r="H416" s="323"/>
      <c r="I416" s="322">
        <v>6109272</v>
      </c>
      <c r="J416" s="323"/>
      <c r="K416" s="289">
        <f>G416-I416</f>
        <v>1122</v>
      </c>
      <c r="L416" s="289"/>
      <c r="M416" s="290">
        <f t="array" ref="M416">IF(ISERROR(K416/L408),"",K416/(L408/1000))</f>
        <v>69.306404727166253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0</v>
      </c>
      <c r="V416" s="284"/>
      <c r="W416" s="283">
        <f t="shared" si="60"/>
        <v>13.5</v>
      </c>
      <c r="X416" s="283"/>
      <c r="Y416" s="283">
        <f t="shared" si="61"/>
        <v>0</v>
      </c>
      <c r="Z416" s="283"/>
      <c r="AA416" s="283">
        <f t="shared" si="59"/>
        <v>-13.5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44">
        <v>0.55000000000000004</v>
      </c>
      <c r="G417" s="324">
        <f>+I417+11</f>
        <v>27747</v>
      </c>
      <c r="H417" s="324"/>
      <c r="I417" s="327">
        <v>27736</v>
      </c>
      <c r="J417" s="328"/>
      <c r="K417" s="289">
        <f>G417-I417</f>
        <v>11</v>
      </c>
      <c r="L417" s="289"/>
      <c r="M417" s="293">
        <f t="array" ref="M417">IF(ISERROR(K417/L408),"",K417/(L408/1000))</f>
        <v>0.67947455614868879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9</v>
      </c>
      <c r="X417" s="283"/>
      <c r="Y417" s="283">
        <f t="shared" si="61"/>
        <v>9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1.6+1.6/2</f>
        <v>2.4000000000000004</v>
      </c>
      <c r="L418" s="301"/>
      <c r="M418" s="294">
        <f t="array" ref="M418">IF(ISERROR((K418+K419)/L408),"",((K418+K419)*1000)/(L408/1000))</f>
        <v>148.24899406880485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2</v>
      </c>
      <c r="V418" s="284"/>
      <c r="W418" s="283">
        <f t="shared" si="60"/>
        <v>27</v>
      </c>
      <c r="X418" s="283"/>
      <c r="Y418" s="283">
        <f t="shared" si="61"/>
        <v>18</v>
      </c>
      <c r="Z418" s="283"/>
      <c r="AA418" s="283">
        <f t="shared" si="59"/>
        <v>-9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26</v>
      </c>
      <c r="T419" s="284"/>
      <c r="U419" s="284">
        <f>SUM(U412:V418)</f>
        <v>28</v>
      </c>
      <c r="V419" s="284"/>
      <c r="W419" s="283">
        <f t="shared" si="60"/>
        <v>234</v>
      </c>
      <c r="X419" s="283"/>
      <c r="Y419" s="283">
        <f t="shared" si="61"/>
        <v>252</v>
      </c>
      <c r="Z419" s="283"/>
      <c r="AA419" s="283">
        <f t="shared" si="59"/>
        <v>18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4.583333333333333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64.241984126984136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29192.6</v>
      </c>
      <c r="D423" s="337"/>
      <c r="E423" s="333" t="s">
        <v>226</v>
      </c>
      <c r="F423" s="333"/>
      <c r="G423" s="333">
        <f>L199+L408</f>
        <v>28671.98</v>
      </c>
      <c r="H423" s="333"/>
      <c r="I423" s="340" t="s">
        <v>227</v>
      </c>
      <c r="J423" s="340"/>
      <c r="K423" s="339">
        <f>IF(ISERROR(G423/C423),"",G423/C423)</f>
        <v>0.98216602837705447</v>
      </c>
      <c r="L423" s="339"/>
      <c r="M423" s="333" t="s">
        <v>228</v>
      </c>
      <c r="N423" s="333"/>
      <c r="O423" s="334">
        <f>IF(ISERROR(G423/G424),"",G423/G424)</f>
        <v>52.41678244972578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425.21346540571733</v>
      </c>
      <c r="D424" s="337"/>
      <c r="E424" s="338" t="s">
        <v>18</v>
      </c>
      <c r="F424" s="338"/>
      <c r="G424" s="333">
        <f>R199+R408</f>
        <v>547</v>
      </c>
      <c r="H424" s="333"/>
      <c r="I424" s="313" t="s">
        <v>176</v>
      </c>
      <c r="J424" s="313"/>
      <c r="K424" s="339">
        <f>IF(ISERROR(C424/G424),"",C424/G424)</f>
        <v>0.77735551262471181</v>
      </c>
      <c r="L424" s="339"/>
      <c r="M424" s="279" t="s">
        <v>230</v>
      </c>
      <c r="N424" s="279"/>
      <c r="O424" s="333">
        <f>W200+W409</f>
        <v>11</v>
      </c>
      <c r="P424" s="279"/>
      <c r="Q424" s="279" t="s">
        <v>231</v>
      </c>
      <c r="R424" s="279"/>
      <c r="S424" s="339">
        <f t="array" ref="S424">IF(ISERROR(O424/G424),"",O424/G424)</f>
        <v>2.0109689213893969E-2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119</v>
      </c>
      <c r="D426" s="337"/>
      <c r="E426" s="333" t="s">
        <v>234</v>
      </c>
      <c r="F426" s="333"/>
      <c r="G426" s="293">
        <f t="array" ref="G426">IF(ISERROR(C426/G423),"",C426/(G423/1000))</f>
        <v>4.1503935200847657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2112</v>
      </c>
      <c r="D427" s="337"/>
      <c r="E427" s="333" t="s">
        <v>236</v>
      </c>
      <c r="F427" s="333"/>
      <c r="G427" s="293">
        <f>IF(ISERROR(C427/G423),"",C427/(G423/1000))</f>
        <v>73.660765667386769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23</v>
      </c>
      <c r="D428" s="337"/>
      <c r="E428" s="333" t="s">
        <v>238</v>
      </c>
      <c r="F428" s="333"/>
      <c r="G428" s="293">
        <f>IF(ISERROR(C428/G423),"",C428/(G423/1000))</f>
        <v>0.80217689883991272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5.7600000000000007</v>
      </c>
      <c r="D429" s="337"/>
      <c r="E429" s="333" t="s">
        <v>240</v>
      </c>
      <c r="F429" s="333"/>
      <c r="G429" s="341">
        <f>IF(ISERROR(C429/G423),"",C429/(G423/1000))</f>
        <v>0.20089299727469123</v>
      </c>
      <c r="H429" s="341"/>
      <c r="I429" s="333" t="s">
        <v>241</v>
      </c>
      <c r="J429" s="333"/>
      <c r="K429" s="342">
        <f>IF(ISERROR(C428/C429),"",C428/C429)</f>
        <v>3.9930555555555549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6534.5</v>
      </c>
      <c r="D433" s="346"/>
      <c r="E433" s="333" t="s">
        <v>251</v>
      </c>
      <c r="F433" s="333"/>
      <c r="G433" s="347">
        <f>+G412+G203</f>
        <v>6656.5</v>
      </c>
      <c r="H433" s="348"/>
      <c r="I433" s="333" t="s">
        <v>252</v>
      </c>
      <c r="J433" s="333"/>
      <c r="K433" s="315">
        <f>G433-C433</f>
        <v>122</v>
      </c>
      <c r="L433" s="317"/>
      <c r="M433" s="349" t="s">
        <v>253</v>
      </c>
      <c r="N433" s="350"/>
      <c r="O433" s="343">
        <f t="array" ref="O433">IF(ISERROR(K433/C433),"",K433/C433)</f>
        <v>1.8670135434998854E-2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23</v>
      </c>
      <c r="D440" s="67">
        <v>23</v>
      </c>
      <c r="E440" s="135"/>
      <c r="F440" s="135"/>
      <c r="G440" s="135"/>
      <c r="H440" s="136">
        <v>10</v>
      </c>
      <c r="I440" s="136"/>
      <c r="J440" s="83">
        <f t="shared" si="63"/>
        <v>13</v>
      </c>
      <c r="K440" s="67">
        <v>1</v>
      </c>
      <c r="L440" s="67"/>
      <c r="M440" s="67"/>
      <c r="N440" s="67"/>
      <c r="O440" s="67"/>
      <c r="P440" s="118"/>
      <c r="Q440" s="83">
        <f t="shared" si="64"/>
        <v>12</v>
      </c>
      <c r="R440" s="140">
        <f t="shared" si="65"/>
        <v>132</v>
      </c>
      <c r="S440" s="101">
        <f t="array" ref="S440">IF(ISERROR(Q440/J440),"",Q440/J440)</f>
        <v>0.92307692307692313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42</v>
      </c>
      <c r="D443" s="68">
        <f>SUM(D437:D442)</f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10</v>
      </c>
      <c r="I443" s="68">
        <f t="shared" si="67"/>
        <v>0</v>
      </c>
      <c r="J443" s="84">
        <f t="shared" si="63"/>
        <v>32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31</v>
      </c>
      <c r="R443" s="140">
        <f t="shared" si="65"/>
        <v>341</v>
      </c>
      <c r="S443" s="120">
        <f t="array" ref="S443">IF(ISERROR(Q443/J443),"",Q443/J443)</f>
        <v>0.96875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12</v>
      </c>
      <c r="J447" s="83">
        <f t="shared" si="63"/>
        <v>12</v>
      </c>
      <c r="K447" s="67"/>
      <c r="L447" s="67"/>
      <c r="M447" s="67"/>
      <c r="N447" s="67"/>
      <c r="O447" s="67"/>
      <c r="P447" s="67"/>
      <c r="Q447" s="83">
        <f t="shared" si="64"/>
        <v>12</v>
      </c>
      <c r="R447" s="140">
        <f t="shared" si="68"/>
        <v>138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f>SUM(D444:D449)</f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12</v>
      </c>
      <c r="J450" s="85">
        <f t="shared" si="63"/>
        <v>28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28</v>
      </c>
      <c r="R450" s="140">
        <f t="shared" si="68"/>
        <v>322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10</v>
      </c>
      <c r="I452" s="69">
        <f>+I443+I450+I451</f>
        <v>12</v>
      </c>
      <c r="J452" s="85">
        <f t="shared" si="63"/>
        <v>32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31</v>
      </c>
      <c r="R452" s="67">
        <f>R443+R450+R451</f>
        <v>685</v>
      </c>
      <c r="S452" s="123">
        <f t="array" ref="S452">IF(ISERROR(Q452/J452),"",Q452/J452)</f>
        <v>0.96875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C454"/>
  <sheetViews>
    <sheetView topLeftCell="A295" workbookViewId="0">
      <selection activeCell="E306" sqref="E306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6"/>
  <dimension ref="A1:AC454"/>
  <sheetViews>
    <sheetView topLeftCell="A216" workbookViewId="0">
      <selection activeCell="K199" sqref="K199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35" t="s">
        <v>25</v>
      </c>
      <c r="S5" s="249"/>
      <c r="T5" s="251"/>
      <c r="U5" s="251"/>
      <c r="V5" s="25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customHeight="1">
      <c r="A6" s="142">
        <v>300320</v>
      </c>
      <c r="B6" s="135" t="s">
        <v>33</v>
      </c>
      <c r="C6" s="261" t="s">
        <v>34</v>
      </c>
      <c r="D6" s="261"/>
      <c r="E6" s="148" t="s">
        <v>35</v>
      </c>
      <c r="F6" s="13"/>
      <c r="G6" s="14">
        <f>+SUM('1:30'!G6)</f>
        <v>3</v>
      </c>
      <c r="H6" s="14">
        <f>+SUM('1:30'!H6)</f>
        <v>0</v>
      </c>
      <c r="I6" s="14">
        <f>+SUM('1:30'!I6)</f>
        <v>3</v>
      </c>
      <c r="J6" s="14">
        <f>+SUM('1:30'!J6)</f>
        <v>0</v>
      </c>
      <c r="K6" s="146">
        <f t="shared" ref="K6:K76" si="0">G6*M6</f>
        <v>1900.8000000000002</v>
      </c>
      <c r="L6" s="146">
        <f t="shared" ref="L6:L76" si="1">I6*M6</f>
        <v>1900.8000000000002</v>
      </c>
      <c r="M6" s="146">
        <v>633.6</v>
      </c>
      <c r="N6" s="146">
        <f>+M6*1000/(28.3*10*40*60)*T6</f>
        <v>4.6643109540636036</v>
      </c>
      <c r="O6" s="14">
        <f>+SUM('1:30'!O6)</f>
        <v>0</v>
      </c>
      <c r="P6" s="146">
        <f t="shared" ref="P6:P76" si="2">N6*I6+O6*U6</f>
        <v>13.992932862190811</v>
      </c>
      <c r="Q6" s="14">
        <f>+SUM('1:30'!Q6)</f>
        <v>3</v>
      </c>
      <c r="R6" s="19">
        <f t="shared" ref="R6:R76" si="3">Q6*U6</f>
        <v>0</v>
      </c>
      <c r="S6" s="146">
        <f t="shared" ref="S6:S76" si="4">R6-P6</f>
        <v>-13.992932862190811</v>
      </c>
      <c r="T6" s="20">
        <v>5</v>
      </c>
      <c r="U6" s="20"/>
      <c r="V6" s="143">
        <f t="array" ref="V6">IF(ISERROR(L6/K6),"",L6/K6)</f>
        <v>1</v>
      </c>
      <c r="W6" s="14">
        <f>+SUM('1:30'!W6)</f>
        <v>0</v>
      </c>
      <c r="X6" s="14">
        <f>+SUM('1:30'!X6)</f>
        <v>0</v>
      </c>
      <c r="Y6" s="14">
        <f>+SUM('1:30'!Y6)</f>
        <v>0</v>
      </c>
      <c r="Z6" s="14">
        <f>+SUM('1:30'!Z6)</f>
        <v>0</v>
      </c>
      <c r="AA6" s="14">
        <f>+SUM('1:30'!AA6)</f>
        <v>3</v>
      </c>
      <c r="AB6" s="14">
        <f>+SUM('1:30'!AB6)</f>
        <v>0</v>
      </c>
      <c r="AC6" s="14">
        <f>+SUM('1:30'!AC6)</f>
        <v>0</v>
      </c>
    </row>
    <row r="7" spans="1:29" ht="21.95" customHeight="1">
      <c r="A7" s="142">
        <v>300318</v>
      </c>
      <c r="B7" s="135" t="s">
        <v>33</v>
      </c>
      <c r="C7" s="261" t="s">
        <v>34</v>
      </c>
      <c r="D7" s="261"/>
      <c r="E7" s="148" t="s">
        <v>36</v>
      </c>
      <c r="F7" s="13"/>
      <c r="G7" s="14">
        <f>+SUM('1:30'!G7)</f>
        <v>0</v>
      </c>
      <c r="H7" s="14">
        <f>+SUM('1:30'!H7)</f>
        <v>0</v>
      </c>
      <c r="I7" s="14">
        <f>+SUM('1:30'!I7)</f>
        <v>0</v>
      </c>
      <c r="J7" s="14">
        <f>+SUM('1:30'!J7)</f>
        <v>0</v>
      </c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">
        <f>+SUM('1:30'!O7)</f>
        <v>0</v>
      </c>
      <c r="P7" s="146">
        <f t="shared" si="2"/>
        <v>0</v>
      </c>
      <c r="Q7" s="14">
        <f>+SUM('1:30'!Q7)</f>
        <v>0</v>
      </c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14">
        <f>+SUM('1:30'!W7)</f>
        <v>0</v>
      </c>
      <c r="X7" s="14">
        <f>+SUM('1:30'!X7)</f>
        <v>0</v>
      </c>
      <c r="Y7" s="14">
        <f>+SUM('1:30'!Y7)</f>
        <v>0</v>
      </c>
      <c r="Z7" s="14">
        <f>+SUM('1:30'!Z7)</f>
        <v>0</v>
      </c>
      <c r="AA7" s="14">
        <f>+SUM('1:30'!AA7)</f>
        <v>0</v>
      </c>
      <c r="AB7" s="14">
        <f>+SUM('1:30'!AB7)</f>
        <v>0</v>
      </c>
      <c r="AC7" s="14">
        <f>+SUM('1:30'!AC7)</f>
        <v>0</v>
      </c>
    </row>
    <row r="8" spans="1:29" ht="21.95" customHeight="1">
      <c r="A8" s="142">
        <v>300319</v>
      </c>
      <c r="B8" s="135" t="s">
        <v>33</v>
      </c>
      <c r="C8" s="261" t="s">
        <v>34</v>
      </c>
      <c r="D8" s="261"/>
      <c r="E8" s="148" t="s">
        <v>37</v>
      </c>
      <c r="F8" s="13"/>
      <c r="G8" s="14">
        <f>+SUM('1:30'!G8)</f>
        <v>0</v>
      </c>
      <c r="H8" s="14">
        <f>+SUM('1:30'!H8)</f>
        <v>0</v>
      </c>
      <c r="I8" s="14">
        <f>+SUM('1:30'!I8)</f>
        <v>0</v>
      </c>
      <c r="J8" s="14">
        <f>+SUM('1:30'!J8)</f>
        <v>0</v>
      </c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">
        <f>+SUM('1:30'!O8)</f>
        <v>0</v>
      </c>
      <c r="P8" s="146">
        <f t="shared" si="2"/>
        <v>0</v>
      </c>
      <c r="Q8" s="14">
        <f>+SUM('1:30'!Q8)</f>
        <v>0</v>
      </c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14">
        <f>+SUM('1:30'!W8)</f>
        <v>0</v>
      </c>
      <c r="X8" s="14">
        <f>+SUM('1:30'!X8)</f>
        <v>0</v>
      </c>
      <c r="Y8" s="14">
        <f>+SUM('1:30'!Y8)</f>
        <v>0</v>
      </c>
      <c r="Z8" s="14">
        <f>+SUM('1:30'!Z8)</f>
        <v>0</v>
      </c>
      <c r="AA8" s="14">
        <f>+SUM('1:30'!AA8)</f>
        <v>0</v>
      </c>
      <c r="AB8" s="14">
        <f>+SUM('1:30'!AB8)</f>
        <v>0</v>
      </c>
      <c r="AC8" s="14">
        <f>+SUM('1:30'!AC8)</f>
        <v>0</v>
      </c>
    </row>
    <row r="9" spans="1:29" ht="21.95" customHeight="1">
      <c r="A9" s="142">
        <v>300316</v>
      </c>
      <c r="B9" s="135" t="s">
        <v>33</v>
      </c>
      <c r="C9" s="261" t="s">
        <v>34</v>
      </c>
      <c r="D9" s="261"/>
      <c r="E9" s="148" t="s">
        <v>38</v>
      </c>
      <c r="F9" s="13"/>
      <c r="G9" s="14">
        <f>+SUM('1:30'!G9)</f>
        <v>0.33</v>
      </c>
      <c r="H9" s="14">
        <f>+SUM('1:30'!H9)</f>
        <v>0.33333333333333331</v>
      </c>
      <c r="I9" s="14">
        <f>+SUM('1:30'!I9)</f>
        <v>0.33333333333333331</v>
      </c>
      <c r="J9" s="14">
        <f>+SUM('1:30'!J9)</f>
        <v>0</v>
      </c>
      <c r="K9" s="146">
        <f t="shared" si="0"/>
        <v>203.28</v>
      </c>
      <c r="L9" s="146">
        <f t="shared" si="1"/>
        <v>205.33333333333331</v>
      </c>
      <c r="M9" s="146">
        <v>616</v>
      </c>
      <c r="N9" s="146">
        <f t="shared" si="5"/>
        <v>4.534746760895171</v>
      </c>
      <c r="O9" s="14">
        <f>+SUM('1:30'!O9)</f>
        <v>0</v>
      </c>
      <c r="P9" s="146">
        <f t="shared" si="2"/>
        <v>1.5115822536317236</v>
      </c>
      <c r="Q9" s="14">
        <f>+SUM('1:30'!Q9)</f>
        <v>1</v>
      </c>
      <c r="R9" s="19">
        <f t="shared" si="3"/>
        <v>0</v>
      </c>
      <c r="S9" s="146">
        <f t="shared" si="4"/>
        <v>-1.5115822536317236</v>
      </c>
      <c r="T9" s="20">
        <v>5</v>
      </c>
      <c r="U9" s="20"/>
      <c r="V9" s="143"/>
      <c r="W9" s="14">
        <f>+SUM('1:30'!W9)</f>
        <v>0</v>
      </c>
      <c r="X9" s="14">
        <f>+SUM('1:30'!X9)</f>
        <v>0</v>
      </c>
      <c r="Y9" s="14">
        <f>+SUM('1:30'!Y9)</f>
        <v>0</v>
      </c>
      <c r="Z9" s="14">
        <f>+SUM('1:30'!Z9)</f>
        <v>0</v>
      </c>
      <c r="AA9" s="14">
        <f>+SUM('1:30'!AA9)</f>
        <v>2</v>
      </c>
      <c r="AB9" s="14">
        <f>+SUM('1:30'!AB9)</f>
        <v>0</v>
      </c>
      <c r="AC9" s="14">
        <f>+SUM('1:30'!AC9)</f>
        <v>0</v>
      </c>
    </row>
    <row r="10" spans="1:29" ht="21.95" customHeight="1">
      <c r="A10" s="142">
        <v>300317</v>
      </c>
      <c r="B10" s="135" t="s">
        <v>33</v>
      </c>
      <c r="C10" s="248" t="s">
        <v>34</v>
      </c>
      <c r="D10" s="248"/>
      <c r="E10" s="148" t="s">
        <v>39</v>
      </c>
      <c r="F10" s="13"/>
      <c r="G10" s="14">
        <f>+SUM('1:30'!G10)</f>
        <v>0</v>
      </c>
      <c r="H10" s="14">
        <f>+SUM('1:30'!H10)</f>
        <v>0</v>
      </c>
      <c r="I10" s="14">
        <f>+SUM('1:30'!I10)</f>
        <v>0</v>
      </c>
      <c r="J10" s="14">
        <f>+SUM('1:30'!J10)</f>
        <v>0</v>
      </c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">
        <f>+SUM('1:30'!O10)</f>
        <v>0</v>
      </c>
      <c r="P10" s="146">
        <f t="shared" si="2"/>
        <v>0</v>
      </c>
      <c r="Q10" s="14">
        <f>+SUM('1:30'!Q10)</f>
        <v>0</v>
      </c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14">
        <f>+SUM('1:30'!W10)</f>
        <v>0</v>
      </c>
      <c r="X10" s="14">
        <f>+SUM('1:30'!X10)</f>
        <v>0</v>
      </c>
      <c r="Y10" s="14">
        <f>+SUM('1:30'!Y10)</f>
        <v>0</v>
      </c>
      <c r="Z10" s="14">
        <f>+SUM('1:30'!Z10)</f>
        <v>0</v>
      </c>
      <c r="AA10" s="14">
        <f>+SUM('1:30'!AA10)</f>
        <v>0</v>
      </c>
      <c r="AB10" s="14">
        <f>+SUM('1:30'!AB10)</f>
        <v>0</v>
      </c>
      <c r="AC10" s="14">
        <f>+SUM('1:30'!AC10)</f>
        <v>0</v>
      </c>
    </row>
    <row r="11" spans="1:29" ht="21.95" customHeight="1">
      <c r="A11" s="142">
        <v>300315</v>
      </c>
      <c r="B11" s="135" t="s">
        <v>33</v>
      </c>
      <c r="C11" s="248" t="s">
        <v>34</v>
      </c>
      <c r="D11" s="248"/>
      <c r="E11" s="148" t="s">
        <v>40</v>
      </c>
      <c r="F11" s="13"/>
      <c r="G11" s="14">
        <f>+SUM('1:30'!G11)</f>
        <v>1</v>
      </c>
      <c r="H11" s="14">
        <f>+SUM('1:30'!H11)</f>
        <v>0</v>
      </c>
      <c r="I11" s="14">
        <f>+SUM('1:30'!I11)</f>
        <v>8.333333333333337E-2</v>
      </c>
      <c r="J11" s="14">
        <f>+SUM('1:30'!J11)</f>
        <v>550</v>
      </c>
      <c r="K11" s="146">
        <f t="shared" si="0"/>
        <v>616</v>
      </c>
      <c r="L11" s="146">
        <f t="shared" si="1"/>
        <v>51.333333333333357</v>
      </c>
      <c r="M11" s="146">
        <v>616</v>
      </c>
      <c r="N11" s="146">
        <f t="shared" si="5"/>
        <v>4.534746760895171</v>
      </c>
      <c r="O11" s="14">
        <f>+SUM('1:30'!O11)</f>
        <v>0.5</v>
      </c>
      <c r="P11" s="146">
        <f t="shared" si="2"/>
        <v>0.37789556340793107</v>
      </c>
      <c r="Q11" s="14">
        <f>+SUM('1:30'!Q11)</f>
        <v>0.5</v>
      </c>
      <c r="R11" s="19">
        <f t="shared" si="3"/>
        <v>0</v>
      </c>
      <c r="S11" s="146">
        <f t="shared" si="4"/>
        <v>-0.37789556340793107</v>
      </c>
      <c r="T11" s="20">
        <v>5</v>
      </c>
      <c r="U11" s="20"/>
      <c r="V11" s="143">
        <f t="array" ref="V11">IF(ISERROR(L11/K11),"",L11/K11)</f>
        <v>8.333333333333337E-2</v>
      </c>
      <c r="W11" s="14">
        <f>+SUM('1:30'!W11)</f>
        <v>0</v>
      </c>
      <c r="X11" s="14">
        <f>+SUM('1:30'!X11)</f>
        <v>0</v>
      </c>
      <c r="Y11" s="14">
        <f>+SUM('1:30'!Y11)</f>
        <v>0</v>
      </c>
      <c r="Z11" s="14">
        <f>+SUM('1:30'!Z11)</f>
        <v>0</v>
      </c>
      <c r="AA11" s="14">
        <f>+SUM('1:30'!AA11)</f>
        <v>0</v>
      </c>
      <c r="AB11" s="14">
        <f>+SUM('1:30'!AB11)</f>
        <v>0</v>
      </c>
      <c r="AC11" s="14">
        <f>+SUM('1:30'!AC11)</f>
        <v>0</v>
      </c>
    </row>
    <row r="12" spans="1:29" ht="21.95" customHeight="1">
      <c r="A12" s="142">
        <v>300314</v>
      </c>
      <c r="B12" s="135" t="s">
        <v>33</v>
      </c>
      <c r="C12" s="248" t="s">
        <v>34</v>
      </c>
      <c r="D12" s="248"/>
      <c r="E12" s="148" t="s">
        <v>41</v>
      </c>
      <c r="F12" s="13"/>
      <c r="G12" s="14">
        <f>+SUM('1:30'!G12)</f>
        <v>2</v>
      </c>
      <c r="H12" s="14">
        <f>+SUM('1:30'!H12)</f>
        <v>0</v>
      </c>
      <c r="I12" s="14">
        <f>+SUM('1:30'!I12)</f>
        <v>2</v>
      </c>
      <c r="J12" s="14">
        <f>+SUM('1:30'!J12)</f>
        <v>0</v>
      </c>
      <c r="K12" s="146">
        <f t="shared" si="0"/>
        <v>1232</v>
      </c>
      <c r="L12" s="146">
        <f t="shared" si="1"/>
        <v>1232</v>
      </c>
      <c r="M12" s="146">
        <v>616</v>
      </c>
      <c r="N12" s="146">
        <f t="shared" si="5"/>
        <v>4.534746760895171</v>
      </c>
      <c r="O12" s="14">
        <f>+SUM('1:30'!O12)</f>
        <v>0.5</v>
      </c>
      <c r="P12" s="146">
        <f t="shared" si="2"/>
        <v>9.0694935217903421</v>
      </c>
      <c r="Q12" s="14">
        <f>+SUM('1:30'!Q12)</f>
        <v>4</v>
      </c>
      <c r="R12" s="19">
        <f t="shared" si="3"/>
        <v>0</v>
      </c>
      <c r="S12" s="146">
        <f t="shared" si="4"/>
        <v>-9.0694935217903421</v>
      </c>
      <c r="T12" s="20">
        <v>5</v>
      </c>
      <c r="U12" s="20"/>
      <c r="V12" s="143">
        <f t="array" ref="V12">IF(ISERROR(L12/K12),"",L12/K12)</f>
        <v>1</v>
      </c>
      <c r="W12" s="14">
        <f>+SUM('1:30'!W12)</f>
        <v>0</v>
      </c>
      <c r="X12" s="14">
        <f>+SUM('1:30'!X12)</f>
        <v>0</v>
      </c>
      <c r="Y12" s="14">
        <f>+SUM('1:30'!Y12)</f>
        <v>0</v>
      </c>
      <c r="Z12" s="14">
        <f>+SUM('1:30'!Z12)</f>
        <v>0</v>
      </c>
      <c r="AA12" s="14">
        <f>+SUM('1:30'!AA12)</f>
        <v>0</v>
      </c>
      <c r="AB12" s="14">
        <f>+SUM('1:30'!AB12)</f>
        <v>0</v>
      </c>
      <c r="AC12" s="14">
        <f>+SUM('1:30'!AC12)</f>
        <v>0</v>
      </c>
    </row>
    <row r="13" spans="1:29" ht="21.95" customHeight="1">
      <c r="A13" s="142">
        <v>300313</v>
      </c>
      <c r="B13" s="135" t="s">
        <v>33</v>
      </c>
      <c r="C13" s="248" t="s">
        <v>34</v>
      </c>
      <c r="D13" s="248"/>
      <c r="E13" s="148" t="s">
        <v>42</v>
      </c>
      <c r="F13" s="13"/>
      <c r="G13" s="14">
        <f>+SUM('1:30'!G13)</f>
        <v>3</v>
      </c>
      <c r="H13" s="14">
        <f>+SUM('1:30'!H13)</f>
        <v>0</v>
      </c>
      <c r="I13" s="14">
        <f>+SUM('1:30'!I13)</f>
        <v>3</v>
      </c>
      <c r="J13" s="14">
        <f>+SUM('1:30'!J13)</f>
        <v>0</v>
      </c>
      <c r="K13" s="146">
        <f t="shared" si="0"/>
        <v>1848</v>
      </c>
      <c r="L13" s="146">
        <f t="shared" si="1"/>
        <v>1848</v>
      </c>
      <c r="M13" s="146">
        <v>616</v>
      </c>
      <c r="N13" s="146">
        <f t="shared" si="5"/>
        <v>4.534746760895171</v>
      </c>
      <c r="O13" s="14">
        <f>+SUM('1:30'!O13)</f>
        <v>0.5</v>
      </c>
      <c r="P13" s="146">
        <f t="shared" si="2"/>
        <v>13.604240282685513</v>
      </c>
      <c r="Q13" s="14">
        <f>+SUM('1:30'!Q13)</f>
        <v>3</v>
      </c>
      <c r="R13" s="19">
        <f t="shared" si="3"/>
        <v>0</v>
      </c>
      <c r="S13" s="146">
        <f t="shared" si="4"/>
        <v>-13.604240282685513</v>
      </c>
      <c r="T13" s="20">
        <v>5</v>
      </c>
      <c r="U13" s="20"/>
      <c r="V13" s="143">
        <f t="array" ref="V13">IF(ISERROR(L13/K13),"",L13/K13)</f>
        <v>1</v>
      </c>
      <c r="W13" s="14">
        <f>+SUM('1:30'!W13)</f>
        <v>0</v>
      </c>
      <c r="X13" s="14">
        <f>+SUM('1:30'!X13)</f>
        <v>0</v>
      </c>
      <c r="Y13" s="14">
        <f>+SUM('1:30'!Y13)</f>
        <v>0</v>
      </c>
      <c r="Z13" s="14">
        <f>+SUM('1:30'!Z13)</f>
        <v>0</v>
      </c>
      <c r="AA13" s="14">
        <f>+SUM('1:30'!AA13)</f>
        <v>0</v>
      </c>
      <c r="AB13" s="14">
        <f>+SUM('1:30'!AB13)</f>
        <v>0</v>
      </c>
      <c r="AC13" s="14">
        <f>+SUM('1:30'!AC13)</f>
        <v>0</v>
      </c>
    </row>
    <row r="14" spans="1:29" ht="21.95" customHeight="1">
      <c r="A14" s="142"/>
      <c r="B14" s="135" t="s">
        <v>43</v>
      </c>
      <c r="C14" s="259" t="s">
        <v>313</v>
      </c>
      <c r="D14" s="260"/>
      <c r="E14" s="148" t="s">
        <v>314</v>
      </c>
      <c r="F14" s="13"/>
      <c r="G14" s="14">
        <f>+SUM('1:30'!G14)</f>
        <v>22</v>
      </c>
      <c r="H14" s="14">
        <f>+SUM('1:30'!H14)</f>
        <v>0</v>
      </c>
      <c r="I14" s="14">
        <f>+SUM('1:30'!I14)</f>
        <v>8.6</v>
      </c>
      <c r="J14" s="14">
        <f>+SUM('1:30'!J14)</f>
        <v>80</v>
      </c>
      <c r="K14" s="146">
        <f t="shared" si="0"/>
        <v>4694.8</v>
      </c>
      <c r="L14" s="146">
        <f t="shared" si="1"/>
        <v>1835.24</v>
      </c>
      <c r="M14" s="146">
        <v>213.4</v>
      </c>
      <c r="N14" s="146">
        <f>+M14*1000/(15.4*10*17*60)*T14</f>
        <v>4.0756302521008401</v>
      </c>
      <c r="O14" s="14">
        <f>+SUM('1:30'!O14)</f>
        <v>0</v>
      </c>
      <c r="P14" s="146">
        <f t="shared" si="2"/>
        <v>35.05042016806722</v>
      </c>
      <c r="Q14" s="14">
        <f>+SUM('1:30'!Q14)</f>
        <v>10</v>
      </c>
      <c r="R14" s="19">
        <f t="shared" si="3"/>
        <v>0</v>
      </c>
      <c r="S14" s="146">
        <f t="shared" si="4"/>
        <v>-35.05042016806722</v>
      </c>
      <c r="T14" s="20">
        <v>3</v>
      </c>
      <c r="U14" s="20"/>
      <c r="V14" s="143"/>
      <c r="W14" s="14">
        <f>+SUM('1:30'!W14)</f>
        <v>0</v>
      </c>
      <c r="X14" s="14">
        <f>+SUM('1:30'!X14)</f>
        <v>0</v>
      </c>
      <c r="Y14" s="14">
        <f>+SUM('1:30'!Y14)</f>
        <v>0</v>
      </c>
      <c r="Z14" s="14">
        <f>+SUM('1:30'!Z14)</f>
        <v>0</v>
      </c>
      <c r="AA14" s="14">
        <f>+SUM('1:30'!AA14)</f>
        <v>4</v>
      </c>
      <c r="AB14" s="14">
        <f>+SUM('1:30'!AB14)</f>
        <v>0</v>
      </c>
      <c r="AC14" s="14">
        <f>+SUM('1:30'!AC14)</f>
        <v>0</v>
      </c>
    </row>
    <row r="15" spans="1:29" ht="21.95" customHeight="1">
      <c r="A15" s="142"/>
      <c r="B15" s="135" t="s">
        <v>43</v>
      </c>
      <c r="C15" s="259" t="s">
        <v>313</v>
      </c>
      <c r="D15" s="260"/>
      <c r="E15" s="148" t="s">
        <v>315</v>
      </c>
      <c r="F15" s="13"/>
      <c r="G15" s="14">
        <f>+SUM('1:30'!G15)</f>
        <v>8</v>
      </c>
      <c r="H15" s="14">
        <f>+SUM('1:30'!H15)</f>
        <v>0.15</v>
      </c>
      <c r="I15" s="14">
        <f>+SUM('1:30'!I15)</f>
        <v>8</v>
      </c>
      <c r="J15" s="14">
        <f>+SUM('1:30'!J15)</f>
        <v>30</v>
      </c>
      <c r="K15" s="146">
        <f t="shared" si="0"/>
        <v>1707.2</v>
      </c>
      <c r="L15" s="146">
        <f t="shared" si="1"/>
        <v>1707.2</v>
      </c>
      <c r="M15" s="146">
        <v>213.4</v>
      </c>
      <c r="N15" s="146">
        <f>+M15*1000/(15.4*10*17*60)*T15</f>
        <v>4.0756302521008401</v>
      </c>
      <c r="O15" s="14">
        <f>+SUM('1:30'!O15)</f>
        <v>0</v>
      </c>
      <c r="P15" s="146">
        <f t="shared" si="2"/>
        <v>32.605042016806721</v>
      </c>
      <c r="Q15" s="14">
        <f>+SUM('1:30'!Q15)</f>
        <v>11</v>
      </c>
      <c r="R15" s="19">
        <f t="shared" si="3"/>
        <v>0</v>
      </c>
      <c r="S15" s="146">
        <f t="shared" si="4"/>
        <v>-32.605042016806721</v>
      </c>
      <c r="T15" s="20">
        <v>3</v>
      </c>
      <c r="U15" s="20"/>
      <c r="V15" s="143"/>
      <c r="W15" s="14">
        <f>+SUM('1:30'!W15)</f>
        <v>0</v>
      </c>
      <c r="X15" s="14">
        <f>+SUM('1:30'!X15)</f>
        <v>0</v>
      </c>
      <c r="Y15" s="14">
        <f>+SUM('1:30'!Y15)</f>
        <v>0</v>
      </c>
      <c r="Z15" s="14">
        <f>+SUM('1:30'!Z15)</f>
        <v>0</v>
      </c>
      <c r="AA15" s="14">
        <f>+SUM('1:30'!AA15)</f>
        <v>0</v>
      </c>
      <c r="AB15" s="14">
        <f>+SUM('1:30'!AB15)</f>
        <v>0</v>
      </c>
      <c r="AC15" s="14">
        <f>+SUM('1:30'!AC15)</f>
        <v>0</v>
      </c>
    </row>
    <row r="16" spans="1:29" ht="21" customHeight="1">
      <c r="A16" s="135">
        <v>300202</v>
      </c>
      <c r="B16" s="135" t="s">
        <v>43</v>
      </c>
      <c r="C16" s="259" t="s">
        <v>44</v>
      </c>
      <c r="D16" s="260"/>
      <c r="E16" s="135" t="s">
        <v>35</v>
      </c>
      <c r="F16" s="13"/>
      <c r="G16" s="14">
        <f>+SUM('1:30'!G16)</f>
        <v>0</v>
      </c>
      <c r="H16" s="14">
        <f>+SUM('1:30'!H16)</f>
        <v>0</v>
      </c>
      <c r="I16" s="14">
        <f>+SUM('1:30'!I16)</f>
        <v>0</v>
      </c>
      <c r="J16" s="14">
        <f>+SUM('1:30'!J16)</f>
        <v>0</v>
      </c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">
        <f>+SUM('1:30'!O16)</f>
        <v>0</v>
      </c>
      <c r="P16" s="146">
        <f t="shared" si="2"/>
        <v>0</v>
      </c>
      <c r="Q16" s="14">
        <f>+SUM('1:30'!Q16)</f>
        <v>0</v>
      </c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14">
        <f>+SUM('1:30'!W16)</f>
        <v>0</v>
      </c>
      <c r="X16" s="14">
        <f>+SUM('1:30'!X16)</f>
        <v>0</v>
      </c>
      <c r="Y16" s="14">
        <f>+SUM('1:30'!Y16)</f>
        <v>0</v>
      </c>
      <c r="Z16" s="14">
        <f>+SUM('1:30'!Z16)</f>
        <v>0</v>
      </c>
      <c r="AA16" s="14">
        <f>+SUM('1:30'!AA16)</f>
        <v>0</v>
      </c>
      <c r="AB16" s="14">
        <f>+SUM('1:30'!AB16)</f>
        <v>0</v>
      </c>
      <c r="AC16" s="14">
        <f>+SUM('1:30'!AC16)</f>
        <v>0</v>
      </c>
    </row>
    <row r="17" spans="1:29" ht="21.95" customHeight="1">
      <c r="A17" s="135">
        <v>300203</v>
      </c>
      <c r="B17" s="135" t="s">
        <v>43</v>
      </c>
      <c r="C17" s="259" t="s">
        <v>44</v>
      </c>
      <c r="D17" s="260"/>
      <c r="E17" s="135" t="s">
        <v>41</v>
      </c>
      <c r="F17" s="13"/>
      <c r="G17" s="14">
        <f>+SUM('1:30'!G17)</f>
        <v>0</v>
      </c>
      <c r="H17" s="14">
        <f>+SUM('1:30'!H17)</f>
        <v>0</v>
      </c>
      <c r="I17" s="14">
        <f>+SUM('1:30'!I17)</f>
        <v>0</v>
      </c>
      <c r="J17" s="14">
        <f>+SUM('1:30'!J17)</f>
        <v>0</v>
      </c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">
        <f>+SUM('1:30'!O17)</f>
        <v>0</v>
      </c>
      <c r="P17" s="146">
        <f t="shared" si="2"/>
        <v>0</v>
      </c>
      <c r="Q17" s="14">
        <f>+SUM('1:30'!Q17)</f>
        <v>0</v>
      </c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14">
        <f>+SUM('1:30'!W17)</f>
        <v>0</v>
      </c>
      <c r="X17" s="14">
        <f>+SUM('1:30'!X17)</f>
        <v>0</v>
      </c>
      <c r="Y17" s="14">
        <f>+SUM('1:30'!Y17)</f>
        <v>0</v>
      </c>
      <c r="Z17" s="14">
        <f>+SUM('1:30'!Z17)</f>
        <v>0</v>
      </c>
      <c r="AA17" s="14">
        <f>+SUM('1:30'!AA17)</f>
        <v>0</v>
      </c>
      <c r="AB17" s="14">
        <f>+SUM('1:30'!AB17)</f>
        <v>0</v>
      </c>
      <c r="AC17" s="14">
        <f>+SUM('1:30'!AC17)</f>
        <v>0</v>
      </c>
    </row>
    <row r="18" spans="1:29" ht="21.95" customHeight="1">
      <c r="A18" s="135">
        <v>300204</v>
      </c>
      <c r="B18" s="135" t="s">
        <v>43</v>
      </c>
      <c r="C18" s="259" t="s">
        <v>44</v>
      </c>
      <c r="D18" s="260"/>
      <c r="E18" s="135" t="s">
        <v>37</v>
      </c>
      <c r="F18" s="13"/>
      <c r="G18" s="14">
        <f>+SUM('1:30'!G18)</f>
        <v>0</v>
      </c>
      <c r="H18" s="14">
        <f>+SUM('1:30'!H18)</f>
        <v>0</v>
      </c>
      <c r="I18" s="14">
        <f>+SUM('1:30'!I18)</f>
        <v>0</v>
      </c>
      <c r="J18" s="14">
        <f>+SUM('1:30'!J18)</f>
        <v>0</v>
      </c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">
        <f>+SUM('1:30'!O18)</f>
        <v>0</v>
      </c>
      <c r="P18" s="146">
        <f t="shared" si="2"/>
        <v>0</v>
      </c>
      <c r="Q18" s="14">
        <f>+SUM('1:30'!Q18)</f>
        <v>0</v>
      </c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14">
        <f>+SUM('1:30'!W18)</f>
        <v>0</v>
      </c>
      <c r="X18" s="14">
        <f>+SUM('1:30'!X18)</f>
        <v>0</v>
      </c>
      <c r="Y18" s="14">
        <f>+SUM('1:30'!Y18)</f>
        <v>0</v>
      </c>
      <c r="Z18" s="14">
        <f>+SUM('1:30'!Z18)</f>
        <v>0</v>
      </c>
      <c r="AA18" s="14">
        <f>+SUM('1:30'!AA18)</f>
        <v>0</v>
      </c>
      <c r="AB18" s="14">
        <f>+SUM('1:30'!AB18)</f>
        <v>0</v>
      </c>
      <c r="AC18" s="14">
        <f>+SUM('1:30'!AC18)</f>
        <v>0</v>
      </c>
    </row>
    <row r="19" spans="1:29" ht="21.95" customHeight="1">
      <c r="A19" s="142">
        <v>300269</v>
      </c>
      <c r="B19" s="135" t="s">
        <v>43</v>
      </c>
      <c r="C19" s="248" t="s">
        <v>45</v>
      </c>
      <c r="D19" s="248"/>
      <c r="E19" s="148"/>
      <c r="F19" s="13"/>
      <c r="G19" s="14">
        <f>+SUM('1:30'!G19)</f>
        <v>0</v>
      </c>
      <c r="H19" s="14">
        <f>+SUM('1:30'!H19)</f>
        <v>0</v>
      </c>
      <c r="I19" s="14">
        <f>+SUM('1:30'!I19)</f>
        <v>0</v>
      </c>
      <c r="J19" s="14">
        <f>+SUM('1:30'!J19)</f>
        <v>0</v>
      </c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">
        <f>+SUM('1:30'!O19)</f>
        <v>0</v>
      </c>
      <c r="P19" s="146">
        <f t="shared" si="2"/>
        <v>0</v>
      </c>
      <c r="Q19" s="14">
        <f>+SUM('1:30'!Q19)</f>
        <v>0</v>
      </c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14">
        <f>+SUM('1:30'!W19)</f>
        <v>0</v>
      </c>
      <c r="X19" s="14">
        <f>+SUM('1:30'!X19)</f>
        <v>0</v>
      </c>
      <c r="Y19" s="14">
        <f>+SUM('1:30'!Y19)</f>
        <v>0</v>
      </c>
      <c r="Z19" s="14">
        <f>+SUM('1:30'!Z19)</f>
        <v>0</v>
      </c>
      <c r="AA19" s="14">
        <f>+SUM('1:30'!AA19)</f>
        <v>0</v>
      </c>
      <c r="AB19" s="14">
        <f>+SUM('1:30'!AB19)</f>
        <v>0</v>
      </c>
      <c r="AC19" s="14">
        <f>+SUM('1:30'!AC19)</f>
        <v>0</v>
      </c>
    </row>
    <row r="20" spans="1:29" ht="21.95" customHeight="1">
      <c r="A20" s="142"/>
      <c r="B20" s="135"/>
      <c r="C20" s="248" t="s">
        <v>46</v>
      </c>
      <c r="D20" s="248"/>
      <c r="E20" s="148" t="s">
        <v>47</v>
      </c>
      <c r="F20" s="13"/>
      <c r="G20" s="14">
        <f>+SUM('1:30'!G20)</f>
        <v>0</v>
      </c>
      <c r="H20" s="14">
        <f>+SUM('1:30'!H20)</f>
        <v>0</v>
      </c>
      <c r="I20" s="14">
        <f>+SUM('1:30'!I20)</f>
        <v>0</v>
      </c>
      <c r="J20" s="14">
        <f>+SUM('1:30'!J20)</f>
        <v>0</v>
      </c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">
        <f>+SUM('1:30'!O20)</f>
        <v>0</v>
      </c>
      <c r="P20" s="146">
        <f t="shared" si="2"/>
        <v>0</v>
      </c>
      <c r="Q20" s="14">
        <f>+SUM('1:30'!Q20)</f>
        <v>0</v>
      </c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14">
        <f>+SUM('1:30'!W20)</f>
        <v>0</v>
      </c>
      <c r="X20" s="14">
        <f>+SUM('1:30'!X20)</f>
        <v>0</v>
      </c>
      <c r="Y20" s="14">
        <f>+SUM('1:30'!Y20)</f>
        <v>0</v>
      </c>
      <c r="Z20" s="14">
        <f>+SUM('1:30'!Z20)</f>
        <v>0</v>
      </c>
      <c r="AA20" s="14">
        <f>+SUM('1:30'!AA20)</f>
        <v>0</v>
      </c>
      <c r="AB20" s="14">
        <f>+SUM('1:30'!AB20)</f>
        <v>0</v>
      </c>
      <c r="AC20" s="14">
        <f>+SUM('1:30'!AC20)</f>
        <v>0</v>
      </c>
    </row>
    <row r="21" spans="1:29" ht="21.95" customHeight="1">
      <c r="A21" s="142">
        <v>300350</v>
      </c>
      <c r="B21" s="135" t="s">
        <v>43</v>
      </c>
      <c r="C21" s="248" t="s">
        <v>48</v>
      </c>
      <c r="D21" s="248"/>
      <c r="E21" s="148" t="s">
        <v>49</v>
      </c>
      <c r="F21" s="13"/>
      <c r="G21" s="14">
        <f>+SUM('1:30'!G21)</f>
        <v>0</v>
      </c>
      <c r="H21" s="14">
        <f>+SUM('1:30'!H21)</f>
        <v>0</v>
      </c>
      <c r="I21" s="14">
        <f>+SUM('1:30'!I21)</f>
        <v>0</v>
      </c>
      <c r="J21" s="14">
        <f>+SUM('1:30'!J21)</f>
        <v>0</v>
      </c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">
        <f>+SUM('1:30'!O21)</f>
        <v>0</v>
      </c>
      <c r="P21" s="146">
        <f t="shared" si="2"/>
        <v>0</v>
      </c>
      <c r="Q21" s="14">
        <f>+SUM('1:30'!Q21)</f>
        <v>0</v>
      </c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14">
        <f>+SUM('1:30'!W21)</f>
        <v>0</v>
      </c>
      <c r="X21" s="14">
        <f>+SUM('1:30'!X21)</f>
        <v>0</v>
      </c>
      <c r="Y21" s="14">
        <f>+SUM('1:30'!Y21)</f>
        <v>0</v>
      </c>
      <c r="Z21" s="14">
        <f>+SUM('1:30'!Z21)</f>
        <v>0</v>
      </c>
      <c r="AA21" s="14">
        <f>+SUM('1:30'!AA21)</f>
        <v>0</v>
      </c>
      <c r="AB21" s="14">
        <f>+SUM('1:30'!AB21)</f>
        <v>0</v>
      </c>
      <c r="AC21" s="14">
        <f>+SUM('1:30'!AC21)</f>
        <v>0</v>
      </c>
    </row>
    <row r="22" spans="1:29" ht="21.95" customHeight="1">
      <c r="A22" s="142">
        <v>300113</v>
      </c>
      <c r="B22" s="135" t="s">
        <v>43</v>
      </c>
      <c r="C22" s="248" t="s">
        <v>50</v>
      </c>
      <c r="D22" s="248"/>
      <c r="E22" s="148" t="s">
        <v>40</v>
      </c>
      <c r="F22" s="13"/>
      <c r="G22" s="14">
        <f>+SUM('1:30'!G22)</f>
        <v>0</v>
      </c>
      <c r="H22" s="14">
        <f>+SUM('1:30'!H22)</f>
        <v>0</v>
      </c>
      <c r="I22" s="14">
        <f>+SUM('1:30'!I22)</f>
        <v>0</v>
      </c>
      <c r="J22" s="14">
        <f>+SUM('1:30'!J22)</f>
        <v>0</v>
      </c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">
        <f>+SUM('1:30'!O22)</f>
        <v>0</v>
      </c>
      <c r="P22" s="146">
        <f t="shared" si="2"/>
        <v>0</v>
      </c>
      <c r="Q22" s="14">
        <f>+SUM('1:30'!Q22)</f>
        <v>0</v>
      </c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14">
        <f>+SUM('1:30'!W22)</f>
        <v>0</v>
      </c>
      <c r="X22" s="14">
        <f>+SUM('1:30'!X22)</f>
        <v>0</v>
      </c>
      <c r="Y22" s="14">
        <f>+SUM('1:30'!Y22)</f>
        <v>0</v>
      </c>
      <c r="Z22" s="14">
        <f>+SUM('1:30'!Z22)</f>
        <v>0</v>
      </c>
      <c r="AA22" s="14">
        <f>+SUM('1:30'!AA22)</f>
        <v>0</v>
      </c>
      <c r="AB22" s="14">
        <f>+SUM('1:30'!AB22)</f>
        <v>0</v>
      </c>
      <c r="AC22" s="14">
        <f>+SUM('1:30'!AC22)</f>
        <v>0</v>
      </c>
    </row>
    <row r="23" spans="1:29" ht="21.95" customHeight="1">
      <c r="A23" s="142">
        <v>300114</v>
      </c>
      <c r="B23" s="135" t="s">
        <v>43</v>
      </c>
      <c r="C23" s="248" t="s">
        <v>50</v>
      </c>
      <c r="D23" s="248"/>
      <c r="E23" s="148" t="s">
        <v>42</v>
      </c>
      <c r="F23" s="13"/>
      <c r="G23" s="14">
        <f>+SUM('1:30'!G23)</f>
        <v>0</v>
      </c>
      <c r="H23" s="14">
        <f>+SUM('1:30'!H23)</f>
        <v>0</v>
      </c>
      <c r="I23" s="14">
        <f>+SUM('1:30'!I23)</f>
        <v>0</v>
      </c>
      <c r="J23" s="14">
        <f>+SUM('1:30'!J23)</f>
        <v>0</v>
      </c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">
        <f>+SUM('1:30'!O23)</f>
        <v>0</v>
      </c>
      <c r="P23" s="146">
        <f t="shared" si="2"/>
        <v>0</v>
      </c>
      <c r="Q23" s="14">
        <f>+SUM('1:30'!Q23)</f>
        <v>0</v>
      </c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14">
        <f>+SUM('1:30'!W23)</f>
        <v>0</v>
      </c>
      <c r="X23" s="14">
        <f>+SUM('1:30'!X23)</f>
        <v>0</v>
      </c>
      <c r="Y23" s="14">
        <f>+SUM('1:30'!Y23)</f>
        <v>0</v>
      </c>
      <c r="Z23" s="14">
        <f>+SUM('1:30'!Z23)</f>
        <v>0</v>
      </c>
      <c r="AA23" s="14">
        <f>+SUM('1:30'!AA23)</f>
        <v>0</v>
      </c>
      <c r="AB23" s="14">
        <f>+SUM('1:30'!AB23)</f>
        <v>0</v>
      </c>
      <c r="AC23" s="14">
        <f>+SUM('1:30'!AC23)</f>
        <v>0</v>
      </c>
    </row>
    <row r="24" spans="1:29" ht="21.95" customHeight="1">
      <c r="A24" s="142">
        <v>300115</v>
      </c>
      <c r="B24" s="135" t="s">
        <v>43</v>
      </c>
      <c r="C24" s="248" t="s">
        <v>50</v>
      </c>
      <c r="D24" s="248"/>
      <c r="E24" s="148" t="s">
        <v>41</v>
      </c>
      <c r="F24" s="13"/>
      <c r="G24" s="14">
        <f>+SUM('1:30'!G24)</f>
        <v>0</v>
      </c>
      <c r="H24" s="14">
        <f>+SUM('1:30'!H24)</f>
        <v>0</v>
      </c>
      <c r="I24" s="14">
        <f>+SUM('1:30'!I24)</f>
        <v>0</v>
      </c>
      <c r="J24" s="14">
        <f>+SUM('1:30'!J24)</f>
        <v>0</v>
      </c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">
        <f>+SUM('1:30'!O24)</f>
        <v>0</v>
      </c>
      <c r="P24" s="146">
        <f t="shared" si="2"/>
        <v>0</v>
      </c>
      <c r="Q24" s="14">
        <f>+SUM('1:30'!Q24)</f>
        <v>0</v>
      </c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14">
        <f>+SUM('1:30'!W24)</f>
        <v>0</v>
      </c>
      <c r="X24" s="14">
        <f>+SUM('1:30'!X24)</f>
        <v>0</v>
      </c>
      <c r="Y24" s="14">
        <f>+SUM('1:30'!Y24)</f>
        <v>0</v>
      </c>
      <c r="Z24" s="14">
        <f>+SUM('1:30'!Z24)</f>
        <v>0</v>
      </c>
      <c r="AA24" s="14">
        <f>+SUM('1:30'!AA24)</f>
        <v>0</v>
      </c>
      <c r="AB24" s="14">
        <f>+SUM('1:30'!AB24)</f>
        <v>0</v>
      </c>
      <c r="AC24" s="14">
        <f>+SUM('1:30'!AC24)</f>
        <v>0</v>
      </c>
    </row>
    <row r="25" spans="1:29" ht="21.95" customHeight="1">
      <c r="A25" s="142">
        <v>300011</v>
      </c>
      <c r="B25" s="135" t="s">
        <v>43</v>
      </c>
      <c r="C25" s="248" t="s">
        <v>51</v>
      </c>
      <c r="D25" s="248"/>
      <c r="E25" s="148" t="s">
        <v>40</v>
      </c>
      <c r="F25" s="13"/>
      <c r="G25" s="14">
        <f>+SUM('1:30'!G25)</f>
        <v>12.8</v>
      </c>
      <c r="H25" s="14">
        <f>+SUM('1:30'!H25)</f>
        <v>0</v>
      </c>
      <c r="I25" s="14">
        <f>+SUM('1:30'!I25)</f>
        <v>12.8</v>
      </c>
      <c r="J25" s="14">
        <f>+SUM('1:30'!J25)</f>
        <v>100</v>
      </c>
      <c r="K25" s="146">
        <f t="shared" si="0"/>
        <v>6714.880000000001</v>
      </c>
      <c r="L25" s="146">
        <f t="shared" si="1"/>
        <v>6714.880000000001</v>
      </c>
      <c r="M25" s="146">
        <v>524.6</v>
      </c>
      <c r="N25" s="146">
        <f>+M25*1000/(25.4*20*15*60)*T25</f>
        <v>3.4422572178477688</v>
      </c>
      <c r="O25" s="14">
        <f>+SUM('1:30'!O25)</f>
        <v>0.5</v>
      </c>
      <c r="P25" s="146">
        <f t="shared" si="2"/>
        <v>44.060892388451443</v>
      </c>
      <c r="Q25" s="14">
        <f>+SUM('1:30'!Q25)</f>
        <v>14.5</v>
      </c>
      <c r="R25" s="19">
        <f t="shared" si="3"/>
        <v>0</v>
      </c>
      <c r="S25" s="146">
        <f t="shared" si="4"/>
        <v>-44.060892388451443</v>
      </c>
      <c r="T25" s="20">
        <v>3</v>
      </c>
      <c r="U25" s="20"/>
      <c r="V25" s="143">
        <f t="array" ref="V25">IF(ISERROR(L25/K25),"",L25/K25)</f>
        <v>1</v>
      </c>
      <c r="W25" s="14">
        <f>+SUM('1:30'!W25)</f>
        <v>0</v>
      </c>
      <c r="X25" s="14">
        <f>+SUM('1:30'!X25)</f>
        <v>0</v>
      </c>
      <c r="Y25" s="14">
        <f>+SUM('1:30'!Y25)</f>
        <v>0</v>
      </c>
      <c r="Z25" s="14">
        <f>+SUM('1:30'!Z25)</f>
        <v>0</v>
      </c>
      <c r="AA25" s="14">
        <f>+SUM('1:30'!AA25)</f>
        <v>2</v>
      </c>
      <c r="AB25" s="14">
        <f>+SUM('1:30'!AB25)</f>
        <v>0</v>
      </c>
      <c r="AC25" s="14">
        <f>+SUM('1:30'!AC25)</f>
        <v>0</v>
      </c>
    </row>
    <row r="26" spans="1:29" ht="21.95" customHeight="1">
      <c r="A26" s="142">
        <v>300012</v>
      </c>
      <c r="B26" s="135" t="s">
        <v>43</v>
      </c>
      <c r="C26" s="248" t="s">
        <v>51</v>
      </c>
      <c r="D26" s="248"/>
      <c r="E26" s="148" t="s">
        <v>41</v>
      </c>
      <c r="F26" s="13"/>
      <c r="G26" s="14">
        <f>+SUM('1:30'!G26)</f>
        <v>6</v>
      </c>
      <c r="H26" s="14">
        <f>+SUM('1:30'!H26)</f>
        <v>0</v>
      </c>
      <c r="I26" s="14">
        <f>+SUM('1:30'!I26)</f>
        <v>6</v>
      </c>
      <c r="J26" s="14">
        <f>+SUM('1:30'!J26)</f>
        <v>0</v>
      </c>
      <c r="K26" s="146">
        <f t="shared" si="0"/>
        <v>3147.6000000000004</v>
      </c>
      <c r="L26" s="146">
        <f t="shared" si="1"/>
        <v>3147.6000000000004</v>
      </c>
      <c r="M26" s="146">
        <v>524.6</v>
      </c>
      <c r="N26" s="146">
        <f>+M26*1000/(25.4*20*15*60)*T26</f>
        <v>3.4422572178477688</v>
      </c>
      <c r="O26" s="14">
        <f>+SUM('1:30'!O26)</f>
        <v>0.5</v>
      </c>
      <c r="P26" s="146">
        <f t="shared" si="2"/>
        <v>20.653543307086615</v>
      </c>
      <c r="Q26" s="14">
        <f>+SUM('1:30'!Q26)</f>
        <v>8</v>
      </c>
      <c r="R26" s="19">
        <f t="shared" si="3"/>
        <v>0</v>
      </c>
      <c r="S26" s="146">
        <f t="shared" si="4"/>
        <v>-20.653543307086615</v>
      </c>
      <c r="T26" s="20">
        <v>3</v>
      </c>
      <c r="U26" s="20"/>
      <c r="V26" s="143">
        <f t="array" ref="V26">IF(ISERROR(L26/K26),"",L26/K26)</f>
        <v>1</v>
      </c>
      <c r="W26" s="14">
        <f>+SUM('1:30'!W26)</f>
        <v>0</v>
      </c>
      <c r="X26" s="14">
        <f>+SUM('1:30'!X26)</f>
        <v>0</v>
      </c>
      <c r="Y26" s="14">
        <f>+SUM('1:30'!Y26)</f>
        <v>0</v>
      </c>
      <c r="Z26" s="14">
        <f>+SUM('1:30'!Z26)</f>
        <v>0</v>
      </c>
      <c r="AA26" s="14">
        <f>+SUM('1:30'!AA26)</f>
        <v>0</v>
      </c>
      <c r="AB26" s="14">
        <f>+SUM('1:30'!AB26)</f>
        <v>0</v>
      </c>
      <c r="AC26" s="14">
        <f>+SUM('1:30'!AC26)</f>
        <v>0</v>
      </c>
    </row>
    <row r="27" spans="1:29" ht="21.95" customHeight="1">
      <c r="A27" s="142">
        <v>300013</v>
      </c>
      <c r="B27" s="135" t="s">
        <v>43</v>
      </c>
      <c r="C27" s="248" t="s">
        <v>51</v>
      </c>
      <c r="D27" s="248"/>
      <c r="E27" s="148" t="s">
        <v>42</v>
      </c>
      <c r="F27" s="13"/>
      <c r="G27" s="14">
        <f>+SUM('1:30'!G27)</f>
        <v>8</v>
      </c>
      <c r="H27" s="14">
        <f>+SUM('1:30'!H27)</f>
        <v>0</v>
      </c>
      <c r="I27" s="14">
        <f>+SUM('1:30'!I27)</f>
        <v>7.52</v>
      </c>
      <c r="J27" s="14">
        <f>+SUM('1:30'!J27)</f>
        <v>240</v>
      </c>
      <c r="K27" s="146">
        <f t="shared" si="0"/>
        <v>4196.8</v>
      </c>
      <c r="L27" s="146">
        <f t="shared" si="1"/>
        <v>3944.9919999999997</v>
      </c>
      <c r="M27" s="146">
        <v>524.6</v>
      </c>
      <c r="N27" s="146">
        <f>+M27*1000/(25.4*20*15*60)*T27</f>
        <v>3.4422572178477688</v>
      </c>
      <c r="O27" s="14">
        <f>+SUM('1:30'!O27)</f>
        <v>0.5</v>
      </c>
      <c r="P27" s="146">
        <f t="shared" si="2"/>
        <v>25.885774278215219</v>
      </c>
      <c r="Q27" s="14">
        <f>+SUM('1:30'!Q27)</f>
        <v>8</v>
      </c>
      <c r="R27" s="19">
        <f t="shared" si="3"/>
        <v>0</v>
      </c>
      <c r="S27" s="146">
        <f t="shared" si="4"/>
        <v>-25.885774278215219</v>
      </c>
      <c r="T27" s="20">
        <v>3</v>
      </c>
      <c r="U27" s="20"/>
      <c r="V27" s="143">
        <f t="array" ref="V27">IF(ISERROR(L27/K27),"",L27/K27)</f>
        <v>0.94</v>
      </c>
      <c r="W27" s="14">
        <f>+SUM('1:30'!W27)</f>
        <v>1</v>
      </c>
      <c r="X27" s="14">
        <f>+SUM('1:30'!X27)</f>
        <v>0</v>
      </c>
      <c r="Y27" s="14">
        <f>+SUM('1:30'!Y27)</f>
        <v>0</v>
      </c>
      <c r="Z27" s="14">
        <f>+SUM('1:30'!Z27)</f>
        <v>0</v>
      </c>
      <c r="AA27" s="14">
        <f>+SUM('1:30'!AA27)</f>
        <v>0</v>
      </c>
      <c r="AB27" s="14">
        <f>+SUM('1:30'!AB27)</f>
        <v>0</v>
      </c>
      <c r="AC27" s="14">
        <f>+SUM('1:30'!AC27)</f>
        <v>0</v>
      </c>
    </row>
    <row r="28" spans="1:29" ht="21" customHeight="1">
      <c r="A28" s="142">
        <v>300016</v>
      </c>
      <c r="B28" s="135" t="s">
        <v>43</v>
      </c>
      <c r="C28" s="248" t="s">
        <v>51</v>
      </c>
      <c r="D28" s="248"/>
      <c r="E28" s="148" t="s">
        <v>38</v>
      </c>
      <c r="F28" s="13"/>
      <c r="G28" s="14">
        <f>+SUM('1:30'!G28)</f>
        <v>11</v>
      </c>
      <c r="H28" s="14">
        <f>+SUM('1:30'!H28)</f>
        <v>0</v>
      </c>
      <c r="I28" s="14">
        <f>+SUM('1:30'!I28)</f>
        <v>10.44</v>
      </c>
      <c r="J28" s="14">
        <f>+SUM('1:30'!J28)</f>
        <v>280</v>
      </c>
      <c r="K28" s="146">
        <f t="shared" si="0"/>
        <v>5770.6</v>
      </c>
      <c r="L28" s="146">
        <f t="shared" si="1"/>
        <v>5476.8239999999996</v>
      </c>
      <c r="M28" s="146">
        <v>524.6</v>
      </c>
      <c r="N28" s="146">
        <f>+M28*1000/(25.4*20*15*60)*T28</f>
        <v>3.4422572178477688</v>
      </c>
      <c r="O28" s="14">
        <f>+SUM('1:30'!O28)</f>
        <v>0</v>
      </c>
      <c r="P28" s="146">
        <f t="shared" si="2"/>
        <v>35.937165354330702</v>
      </c>
      <c r="Q28" s="14">
        <f>+SUM('1:30'!Q28)</f>
        <v>11</v>
      </c>
      <c r="R28" s="19">
        <f t="shared" si="3"/>
        <v>0</v>
      </c>
      <c r="S28" s="146">
        <f t="shared" si="4"/>
        <v>-35.937165354330702</v>
      </c>
      <c r="T28" s="20">
        <v>3</v>
      </c>
      <c r="U28" s="20"/>
      <c r="V28" s="143">
        <f t="array" ref="V28">IF(ISERROR(L28/K28),"",L28/K28)</f>
        <v>0.94909090909090899</v>
      </c>
      <c r="W28" s="14">
        <f>+SUM('1:30'!W28)</f>
        <v>0</v>
      </c>
      <c r="X28" s="14">
        <f>+SUM('1:30'!X28)</f>
        <v>0</v>
      </c>
      <c r="Y28" s="14">
        <f>+SUM('1:30'!Y28)</f>
        <v>0</v>
      </c>
      <c r="Z28" s="14">
        <f>+SUM('1:30'!Z28)</f>
        <v>0</v>
      </c>
      <c r="AA28" s="14">
        <f>+SUM('1:30'!AA28)</f>
        <v>0</v>
      </c>
      <c r="AB28" s="14">
        <f>+SUM('1:30'!AB28)</f>
        <v>0</v>
      </c>
      <c r="AC28" s="14">
        <f>+SUM('1:30'!AC28)</f>
        <v>0</v>
      </c>
    </row>
    <row r="29" spans="1:29" s="132" customFormat="1" ht="21" customHeight="1">
      <c r="A29" s="126">
        <v>3000435</v>
      </c>
      <c r="B29" s="138" t="s">
        <v>43</v>
      </c>
      <c r="C29" s="261" t="s">
        <v>51</v>
      </c>
      <c r="D29" s="261"/>
      <c r="E29" s="42" t="s">
        <v>309</v>
      </c>
      <c r="F29" s="127"/>
      <c r="G29" s="14">
        <f>+SUM('1:30'!G29)</f>
        <v>10.3</v>
      </c>
      <c r="H29" s="14">
        <f>+SUM('1:30'!H29)</f>
        <v>0.3</v>
      </c>
      <c r="I29" s="14">
        <f>+SUM('1:30'!I29)</f>
        <v>10.3</v>
      </c>
      <c r="J29" s="14">
        <f>+SUM('1:30'!J29)</f>
        <v>0</v>
      </c>
      <c r="K29" s="15">
        <f t="shared" si="0"/>
        <v>5403.380000000001</v>
      </c>
      <c r="L29" s="15">
        <f t="shared" si="1"/>
        <v>5403.380000000001</v>
      </c>
      <c r="M29" s="15">
        <v>524.6</v>
      </c>
      <c r="N29" s="15">
        <f>+M29*1000/(25.4*20*15*60)*T29</f>
        <v>3.4422572178477688</v>
      </c>
      <c r="O29" s="14">
        <f>+SUM('1:30'!O29)</f>
        <v>0</v>
      </c>
      <c r="P29" s="15">
        <f t="shared" si="2"/>
        <v>35.455249343832023</v>
      </c>
      <c r="Q29" s="14">
        <f>+SUM('1:30'!Q29)</f>
        <v>11</v>
      </c>
      <c r="R29" s="129">
        <f t="shared" si="3"/>
        <v>0</v>
      </c>
      <c r="S29" s="15">
        <f t="shared" si="4"/>
        <v>-35.455249343832023</v>
      </c>
      <c r="T29" s="130">
        <v>3</v>
      </c>
      <c r="U29" s="130"/>
      <c r="V29" s="131"/>
      <c r="W29" s="14">
        <f>+SUM('1:30'!W29)</f>
        <v>0</v>
      </c>
      <c r="X29" s="14">
        <f>+SUM('1:30'!X29)</f>
        <v>0</v>
      </c>
      <c r="Y29" s="14">
        <f>+SUM('1:30'!Y29)</f>
        <v>0</v>
      </c>
      <c r="Z29" s="14">
        <f>+SUM('1:30'!Z29)</f>
        <v>0</v>
      </c>
      <c r="AA29" s="14">
        <f>+SUM('1:30'!AA29)</f>
        <v>0</v>
      </c>
      <c r="AB29" s="14">
        <f>+SUM('1:30'!AB29)</f>
        <v>0</v>
      </c>
      <c r="AC29" s="14">
        <f>+SUM('1:30'!AC29)</f>
        <v>0</v>
      </c>
    </row>
    <row r="30" spans="1:29" ht="21.95" customHeight="1">
      <c r="A30" s="142">
        <v>300276</v>
      </c>
      <c r="B30" s="135" t="s">
        <v>43</v>
      </c>
      <c r="C30" s="248" t="s">
        <v>53</v>
      </c>
      <c r="D30" s="248"/>
      <c r="E30" s="148" t="s">
        <v>41</v>
      </c>
      <c r="F30" s="13"/>
      <c r="G30" s="14">
        <f>+SUM('1:30'!G30)</f>
        <v>5</v>
      </c>
      <c r="H30" s="14">
        <f>+SUM('1:30'!H30)</f>
        <v>0</v>
      </c>
      <c r="I30" s="14">
        <f>+SUM('1:30'!I30)</f>
        <v>4.5999999999999996</v>
      </c>
      <c r="J30" s="14">
        <f>+SUM('1:30'!J30)</f>
        <v>100</v>
      </c>
      <c r="K30" s="146">
        <f t="shared" si="0"/>
        <v>1330</v>
      </c>
      <c r="L30" s="146">
        <f t="shared" si="1"/>
        <v>1223.5999999999999</v>
      </c>
      <c r="M30" s="15">
        <v>266</v>
      </c>
      <c r="N30" s="146">
        <f>+M30*1000/(29.8*10*13*60)*T30</f>
        <v>3.4331440371708828</v>
      </c>
      <c r="O30" s="14">
        <f>+SUM('1:30'!O30)</f>
        <v>0.5</v>
      </c>
      <c r="P30" s="146">
        <f t="shared" si="2"/>
        <v>15.792462570986059</v>
      </c>
      <c r="Q30" s="14">
        <f>+SUM('1:30'!Q30)</f>
        <v>4.5</v>
      </c>
      <c r="R30" s="19">
        <f t="shared" si="3"/>
        <v>0</v>
      </c>
      <c r="S30" s="146">
        <f t="shared" si="4"/>
        <v>-15.792462570986059</v>
      </c>
      <c r="T30" s="20">
        <v>3</v>
      </c>
      <c r="U30" s="20"/>
      <c r="V30" s="143">
        <f t="array" ref="V30">IF(ISERROR(L30/K30),"",L30/K30)</f>
        <v>0.91999999999999993</v>
      </c>
      <c r="W30" s="14">
        <f>+SUM('1:30'!W30)</f>
        <v>0</v>
      </c>
      <c r="X30" s="14">
        <f>+SUM('1:30'!X30)</f>
        <v>0</v>
      </c>
      <c r="Y30" s="14">
        <f>+SUM('1:30'!Y30)</f>
        <v>0</v>
      </c>
      <c r="Z30" s="14">
        <f>+SUM('1:30'!Z30)</f>
        <v>0</v>
      </c>
      <c r="AA30" s="14">
        <f>+SUM('1:30'!AA30)</f>
        <v>0</v>
      </c>
      <c r="AB30" s="14">
        <f>+SUM('1:30'!AB30)</f>
        <v>0</v>
      </c>
      <c r="AC30" s="14">
        <f>+SUM('1:30'!AC30)</f>
        <v>0</v>
      </c>
    </row>
    <row r="31" spans="1:29" ht="21.95" customHeight="1">
      <c r="A31" s="142">
        <v>300277</v>
      </c>
      <c r="B31" s="135" t="s">
        <v>43</v>
      </c>
      <c r="C31" s="248" t="s">
        <v>53</v>
      </c>
      <c r="D31" s="248"/>
      <c r="E31" s="148" t="s">
        <v>39</v>
      </c>
      <c r="F31" s="13"/>
      <c r="G31" s="14">
        <f>+SUM('1:30'!G31)</f>
        <v>4.2</v>
      </c>
      <c r="H31" s="14">
        <f>+SUM('1:30'!H31)</f>
        <v>0.2</v>
      </c>
      <c r="I31" s="14">
        <f>+SUM('1:30'!I31)</f>
        <v>4.2</v>
      </c>
      <c r="J31" s="14">
        <f>+SUM('1:30'!J31)</f>
        <v>0</v>
      </c>
      <c r="K31" s="146">
        <f t="shared" si="0"/>
        <v>1117.2</v>
      </c>
      <c r="L31" s="146">
        <f t="shared" si="1"/>
        <v>1117.2</v>
      </c>
      <c r="M31" s="15">
        <v>266</v>
      </c>
      <c r="N31" s="146">
        <f>+M31*1000/(29.8*10*13*60)*T31</f>
        <v>3.4331440371708828</v>
      </c>
      <c r="O31" s="14">
        <f>+SUM('1:30'!O31)</f>
        <v>0</v>
      </c>
      <c r="P31" s="146">
        <f t="shared" si="2"/>
        <v>14.419204956117708</v>
      </c>
      <c r="Q31" s="14">
        <f>+SUM('1:30'!Q31)</f>
        <v>5.5</v>
      </c>
      <c r="R31" s="19">
        <f t="shared" si="3"/>
        <v>0</v>
      </c>
      <c r="S31" s="146">
        <f t="shared" si="4"/>
        <v>-14.419204956117708</v>
      </c>
      <c r="T31" s="20">
        <v>3</v>
      </c>
      <c r="U31" s="20"/>
      <c r="V31" s="143">
        <f t="array" ref="V31">IF(ISERROR(L31/K31),"",L31/K31)</f>
        <v>1</v>
      </c>
      <c r="W31" s="14">
        <f>+SUM('1:30'!W31)</f>
        <v>0</v>
      </c>
      <c r="X31" s="14">
        <f>+SUM('1:30'!X31)</f>
        <v>0</v>
      </c>
      <c r="Y31" s="14">
        <f>+SUM('1:30'!Y31)</f>
        <v>0</v>
      </c>
      <c r="Z31" s="14">
        <f>+SUM('1:30'!Z31)</f>
        <v>0</v>
      </c>
      <c r="AA31" s="14">
        <f>+SUM('1:30'!AA31)</f>
        <v>2</v>
      </c>
      <c r="AB31" s="14">
        <f>+SUM('1:30'!AB31)</f>
        <v>0</v>
      </c>
      <c r="AC31" s="14">
        <f>+SUM('1:30'!AC31)</f>
        <v>0</v>
      </c>
    </row>
    <row r="32" spans="1:29" ht="21.95" customHeight="1">
      <c r="A32" s="142">
        <v>300278</v>
      </c>
      <c r="B32" s="135" t="s">
        <v>43</v>
      </c>
      <c r="C32" s="248" t="s">
        <v>53</v>
      </c>
      <c r="D32" s="248"/>
      <c r="E32" s="148" t="s">
        <v>54</v>
      </c>
      <c r="F32" s="13"/>
      <c r="G32" s="14">
        <f>+SUM('1:30'!G32)</f>
        <v>7.32</v>
      </c>
      <c r="H32" s="14">
        <f>+SUM('1:30'!H32)</f>
        <v>0.32</v>
      </c>
      <c r="I32" s="14">
        <f>+SUM('1:30'!I32)</f>
        <v>7.32</v>
      </c>
      <c r="J32" s="14">
        <f>+SUM('1:30'!J32)</f>
        <v>0</v>
      </c>
      <c r="K32" s="146">
        <f t="shared" si="0"/>
        <v>1947.1200000000001</v>
      </c>
      <c r="L32" s="146">
        <f t="shared" si="1"/>
        <v>1947.1200000000001</v>
      </c>
      <c r="M32" s="15">
        <v>266</v>
      </c>
      <c r="N32" s="146">
        <f>+M32*1000/(29.8*10*13*60)*T32</f>
        <v>3.4331440371708828</v>
      </c>
      <c r="O32" s="14">
        <f>+SUM('1:30'!O32)</f>
        <v>0</v>
      </c>
      <c r="P32" s="146">
        <f t="shared" si="2"/>
        <v>25.130614352090863</v>
      </c>
      <c r="Q32" s="14">
        <f>+SUM('1:30'!Q32)</f>
        <v>6.5</v>
      </c>
      <c r="R32" s="19">
        <f t="shared" si="3"/>
        <v>0</v>
      </c>
      <c r="S32" s="146">
        <f t="shared" si="4"/>
        <v>-25.130614352090863</v>
      </c>
      <c r="T32" s="20">
        <v>3</v>
      </c>
      <c r="U32" s="20"/>
      <c r="V32" s="143">
        <f t="array" ref="V32">IF(ISERROR(L32/K32),"",L32/K32)</f>
        <v>1</v>
      </c>
      <c r="W32" s="14">
        <f>+SUM('1:30'!W32)</f>
        <v>0</v>
      </c>
      <c r="X32" s="14">
        <f>+SUM('1:30'!X32)</f>
        <v>0</v>
      </c>
      <c r="Y32" s="14">
        <f>+SUM('1:30'!Y32)</f>
        <v>0</v>
      </c>
      <c r="Z32" s="14">
        <f>+SUM('1:30'!Z32)</f>
        <v>0</v>
      </c>
      <c r="AA32" s="14">
        <f>+SUM('1:30'!AA32)</f>
        <v>0</v>
      </c>
      <c r="AB32" s="14">
        <f>+SUM('1:30'!AB32)</f>
        <v>0</v>
      </c>
      <c r="AC32" s="14">
        <f>+SUM('1:30'!AC32)</f>
        <v>0</v>
      </c>
    </row>
    <row r="33" spans="1:29" ht="21.95" customHeight="1">
      <c r="A33" s="142">
        <v>300027</v>
      </c>
      <c r="B33" s="135" t="s">
        <v>55</v>
      </c>
      <c r="C33" s="248" t="s">
        <v>56</v>
      </c>
      <c r="D33" s="248"/>
      <c r="E33" s="148" t="s">
        <v>54</v>
      </c>
      <c r="F33" s="13"/>
      <c r="G33" s="14">
        <f>+SUM('1:30'!G33)</f>
        <v>6</v>
      </c>
      <c r="H33" s="14">
        <f>+SUM('1:30'!H33)</f>
        <v>0</v>
      </c>
      <c r="I33" s="14">
        <f>+SUM('1:30'!I33)</f>
        <v>6</v>
      </c>
      <c r="J33" s="14">
        <f>+SUM('1:30'!J33)</f>
        <v>0</v>
      </c>
      <c r="K33" s="146">
        <f t="shared" si="0"/>
        <v>3302.3999999999996</v>
      </c>
      <c r="L33" s="146">
        <f t="shared" si="1"/>
        <v>3302.3999999999996</v>
      </c>
      <c r="M33" s="146">
        <v>550.4</v>
      </c>
      <c r="N33" s="146">
        <f>+M33*1000/(31*20*15*60)*T33</f>
        <v>2.9591397849462364</v>
      </c>
      <c r="O33" s="14">
        <f>+SUM('1:30'!O33)</f>
        <v>0.5</v>
      </c>
      <c r="P33" s="146">
        <f t="shared" si="2"/>
        <v>17.754838709677419</v>
      </c>
      <c r="Q33" s="14">
        <f>+SUM('1:30'!Q33)</f>
        <v>5</v>
      </c>
      <c r="R33" s="19">
        <f t="shared" si="3"/>
        <v>0</v>
      </c>
      <c r="S33" s="146">
        <f t="shared" si="4"/>
        <v>-17.754838709677419</v>
      </c>
      <c r="T33" s="20">
        <v>3</v>
      </c>
      <c r="U33" s="20"/>
      <c r="V33" s="143">
        <f t="array" ref="V33">IF(ISERROR(L33/K33),"",L33/K33)</f>
        <v>1</v>
      </c>
      <c r="W33" s="14">
        <f>+SUM('1:30'!W33)</f>
        <v>0</v>
      </c>
      <c r="X33" s="14">
        <f>+SUM('1:30'!X33)</f>
        <v>0</v>
      </c>
      <c r="Y33" s="14">
        <f>+SUM('1:30'!Y33)</f>
        <v>0</v>
      </c>
      <c r="Z33" s="14">
        <f>+SUM('1:30'!Z33)</f>
        <v>0</v>
      </c>
      <c r="AA33" s="14">
        <f>+SUM('1:30'!AA33)</f>
        <v>0</v>
      </c>
      <c r="AB33" s="14">
        <f>+SUM('1:30'!AB33)</f>
        <v>0</v>
      </c>
      <c r="AC33" s="14">
        <f>+SUM('1:30'!AC33)</f>
        <v>0</v>
      </c>
    </row>
    <row r="34" spans="1:29" ht="21.95" customHeight="1">
      <c r="A34" s="142">
        <v>300028</v>
      </c>
      <c r="B34" s="135" t="s">
        <v>55</v>
      </c>
      <c r="C34" s="248" t="s">
        <v>56</v>
      </c>
      <c r="D34" s="248"/>
      <c r="E34" s="148" t="s">
        <v>35</v>
      </c>
      <c r="F34" s="13"/>
      <c r="G34" s="14">
        <f>+SUM('1:30'!G34)</f>
        <v>4</v>
      </c>
      <c r="H34" s="14">
        <f>+SUM('1:30'!H34)</f>
        <v>0</v>
      </c>
      <c r="I34" s="14">
        <f>+SUM('1:30'!I34)</f>
        <v>3.94</v>
      </c>
      <c r="J34" s="14">
        <f>+SUM('1:30'!J34)</f>
        <v>30</v>
      </c>
      <c r="K34" s="146">
        <f t="shared" si="0"/>
        <v>2201.6</v>
      </c>
      <c r="L34" s="146">
        <f t="shared" si="1"/>
        <v>2168.576</v>
      </c>
      <c r="M34" s="146">
        <v>550.4</v>
      </c>
      <c r="N34" s="146">
        <f>+M34*1000/(31*20*15*60)*T34</f>
        <v>2.9591397849462364</v>
      </c>
      <c r="O34" s="14">
        <f>+SUM('1:30'!O34)</f>
        <v>0.5</v>
      </c>
      <c r="P34" s="146">
        <f t="shared" si="2"/>
        <v>11.659010752688172</v>
      </c>
      <c r="Q34" s="14">
        <f>+SUM('1:30'!Q34)</f>
        <v>4</v>
      </c>
      <c r="R34" s="19">
        <f t="shared" si="3"/>
        <v>0</v>
      </c>
      <c r="S34" s="146">
        <f t="shared" si="4"/>
        <v>-11.659010752688172</v>
      </c>
      <c r="T34" s="20">
        <v>3</v>
      </c>
      <c r="U34" s="20"/>
      <c r="V34" s="143">
        <f t="array" ref="V34">IF(ISERROR(L34/K34),"",L34/K34)</f>
        <v>0.9850000000000001</v>
      </c>
      <c r="W34" s="14">
        <f>+SUM('1:30'!W34)</f>
        <v>0</v>
      </c>
      <c r="X34" s="14">
        <f>+SUM('1:30'!X34)</f>
        <v>0</v>
      </c>
      <c r="Y34" s="14">
        <f>+SUM('1:30'!Y34)</f>
        <v>0</v>
      </c>
      <c r="Z34" s="14">
        <f>+SUM('1:30'!Z34)</f>
        <v>0</v>
      </c>
      <c r="AA34" s="14">
        <f>+SUM('1:30'!AA34)</f>
        <v>0</v>
      </c>
      <c r="AB34" s="14">
        <f>+SUM('1:30'!AB34)</f>
        <v>0</v>
      </c>
      <c r="AC34" s="14">
        <f>+SUM('1:30'!AC34)</f>
        <v>0</v>
      </c>
    </row>
    <row r="35" spans="1:29" ht="21.95" customHeight="1">
      <c r="A35" s="142">
        <v>300029</v>
      </c>
      <c r="B35" s="135" t="s">
        <v>55</v>
      </c>
      <c r="C35" s="248" t="s">
        <v>56</v>
      </c>
      <c r="D35" s="248"/>
      <c r="E35" s="148" t="s">
        <v>57</v>
      </c>
      <c r="F35" s="13"/>
      <c r="G35" s="14">
        <f>+SUM('1:30'!G35)</f>
        <v>5.6</v>
      </c>
      <c r="H35" s="14">
        <f>+SUM('1:30'!H35)</f>
        <v>0.6</v>
      </c>
      <c r="I35" s="14">
        <f>+SUM('1:30'!I35)</f>
        <v>5.6</v>
      </c>
      <c r="J35" s="14">
        <f>+SUM('1:30'!J35)</f>
        <v>0</v>
      </c>
      <c r="K35" s="146">
        <f t="shared" si="0"/>
        <v>3082.24</v>
      </c>
      <c r="L35" s="146">
        <f t="shared" si="1"/>
        <v>3082.24</v>
      </c>
      <c r="M35" s="146">
        <v>550.4</v>
      </c>
      <c r="N35" s="146">
        <f>+M35*1000/(31*20*15*60)*T35</f>
        <v>2.9591397849462364</v>
      </c>
      <c r="O35" s="14">
        <f>+SUM('1:30'!O35)</f>
        <v>0</v>
      </c>
      <c r="P35" s="146">
        <f t="shared" si="2"/>
        <v>16.571182795698924</v>
      </c>
      <c r="Q35" s="14">
        <f>+SUM('1:30'!Q35)</f>
        <v>6</v>
      </c>
      <c r="R35" s="19">
        <f t="shared" si="3"/>
        <v>0</v>
      </c>
      <c r="S35" s="146">
        <f t="shared" si="4"/>
        <v>-16.571182795698924</v>
      </c>
      <c r="T35" s="20">
        <v>3</v>
      </c>
      <c r="U35" s="20"/>
      <c r="V35" s="143">
        <f t="array" ref="V35">IF(ISERROR(L35/K35),"",L35/K35)</f>
        <v>1</v>
      </c>
      <c r="W35" s="14">
        <f>+SUM('1:30'!W35)</f>
        <v>0</v>
      </c>
      <c r="X35" s="14">
        <f>+SUM('1:30'!X35)</f>
        <v>0</v>
      </c>
      <c r="Y35" s="14">
        <f>+SUM('1:30'!Y35)</f>
        <v>0</v>
      </c>
      <c r="Z35" s="14">
        <f>+SUM('1:30'!Z35)</f>
        <v>0</v>
      </c>
      <c r="AA35" s="14">
        <f>+SUM('1:30'!AA35)</f>
        <v>0</v>
      </c>
      <c r="AB35" s="14">
        <f>+SUM('1:30'!AB35)</f>
        <v>0</v>
      </c>
      <c r="AC35" s="14">
        <f>+SUM('1:30'!AC35)</f>
        <v>0</v>
      </c>
    </row>
    <row r="36" spans="1:29" ht="21.95" customHeight="1">
      <c r="A36" s="142">
        <v>300026</v>
      </c>
      <c r="B36" s="135" t="s">
        <v>55</v>
      </c>
      <c r="C36" s="248" t="s">
        <v>56</v>
      </c>
      <c r="D36" s="248"/>
      <c r="E36" s="148" t="s">
        <v>37</v>
      </c>
      <c r="F36" s="13"/>
      <c r="G36" s="14">
        <f>+SUM('1:30'!G36)</f>
        <v>2.4</v>
      </c>
      <c r="H36" s="14">
        <f>+SUM('1:30'!H36)</f>
        <v>0.4</v>
      </c>
      <c r="I36" s="14">
        <f>+SUM('1:30'!I36)</f>
        <v>2.4</v>
      </c>
      <c r="J36" s="14">
        <f>+SUM('1:30'!J36)</f>
        <v>0</v>
      </c>
      <c r="K36" s="146">
        <f t="shared" si="0"/>
        <v>1320.9599999999998</v>
      </c>
      <c r="L36" s="146">
        <f t="shared" si="1"/>
        <v>1320.9599999999998</v>
      </c>
      <c r="M36" s="146">
        <v>550.4</v>
      </c>
      <c r="N36" s="146">
        <f>+M36*1000/(31*20*15*60)*T36</f>
        <v>2.9591397849462364</v>
      </c>
      <c r="O36" s="14">
        <f>+SUM('1:30'!O36)</f>
        <v>0</v>
      </c>
      <c r="P36" s="146">
        <f t="shared" si="2"/>
        <v>7.1019354838709674</v>
      </c>
      <c r="Q36" s="14">
        <f>+SUM('1:30'!Q36)</f>
        <v>3</v>
      </c>
      <c r="R36" s="19">
        <f t="shared" si="3"/>
        <v>0</v>
      </c>
      <c r="S36" s="146">
        <f t="shared" si="4"/>
        <v>-7.1019354838709674</v>
      </c>
      <c r="T36" s="20">
        <v>3</v>
      </c>
      <c r="U36" s="20"/>
      <c r="V36" s="143">
        <f t="array" ref="V36">IF(ISERROR(L36/K36),"",L36/K36)</f>
        <v>1</v>
      </c>
      <c r="W36" s="14">
        <f>+SUM('1:30'!W36)</f>
        <v>0</v>
      </c>
      <c r="X36" s="14">
        <f>+SUM('1:30'!X36)</f>
        <v>0</v>
      </c>
      <c r="Y36" s="14">
        <f>+SUM('1:30'!Y36)</f>
        <v>0</v>
      </c>
      <c r="Z36" s="14">
        <f>+SUM('1:30'!Z36)</f>
        <v>0</v>
      </c>
      <c r="AA36" s="14">
        <f>+SUM('1:30'!AA36)</f>
        <v>0</v>
      </c>
      <c r="AB36" s="14">
        <f>+SUM('1:30'!AB36)</f>
        <v>0</v>
      </c>
      <c r="AC36" s="14">
        <f>+SUM('1:30'!AC36)</f>
        <v>0</v>
      </c>
    </row>
    <row r="37" spans="1:29" ht="21.95" customHeight="1">
      <c r="A37" s="142">
        <v>300032</v>
      </c>
      <c r="B37" s="135">
        <v>3002</v>
      </c>
      <c r="C37" s="248" t="s">
        <v>58</v>
      </c>
      <c r="D37" s="248" t="s">
        <v>59</v>
      </c>
      <c r="E37" s="148" t="s">
        <v>35</v>
      </c>
      <c r="F37" s="13"/>
      <c r="G37" s="14">
        <f>+SUM('1:30'!G37)</f>
        <v>10.48</v>
      </c>
      <c r="H37" s="14">
        <f>+SUM('1:30'!H37)</f>
        <v>0.8</v>
      </c>
      <c r="I37" s="14">
        <f>+SUM('1:30'!I37)</f>
        <v>10.48</v>
      </c>
      <c r="J37" s="14">
        <f>+SUM('1:30'!J37)</f>
        <v>80</v>
      </c>
      <c r="K37" s="146">
        <f t="shared" si="0"/>
        <v>2994.136</v>
      </c>
      <c r="L37" s="146">
        <f t="shared" si="1"/>
        <v>2994.136</v>
      </c>
      <c r="M37" s="146">
        <v>285.7</v>
      </c>
      <c r="N37" s="146">
        <f>+M37*1000/(31*10*13*60)*T37</f>
        <v>7.0893300248138953</v>
      </c>
      <c r="O37" s="14">
        <f>+SUM('1:30'!O37)</f>
        <v>0</v>
      </c>
      <c r="P37" s="146">
        <f t="shared" si="2"/>
        <v>74.29617866004962</v>
      </c>
      <c r="Q37" s="14">
        <f>+SUM('1:30'!Q37)</f>
        <v>11</v>
      </c>
      <c r="R37" s="19">
        <f t="shared" si="3"/>
        <v>0</v>
      </c>
      <c r="S37" s="146">
        <f t="shared" si="4"/>
        <v>-74.29617866004962</v>
      </c>
      <c r="T37" s="20">
        <v>6</v>
      </c>
      <c r="U37" s="20"/>
      <c r="V37" s="143">
        <f t="array" ref="V37">IF(ISERROR(L37/K37),"",L37/K37)</f>
        <v>1</v>
      </c>
      <c r="W37" s="14">
        <f>+SUM('1:30'!W37)</f>
        <v>0</v>
      </c>
      <c r="X37" s="14">
        <f>+SUM('1:30'!X37)</f>
        <v>0</v>
      </c>
      <c r="Y37" s="14">
        <f>+SUM('1:30'!Y37)</f>
        <v>0</v>
      </c>
      <c r="Z37" s="14">
        <f>+SUM('1:30'!Z37)</f>
        <v>0</v>
      </c>
      <c r="AA37" s="14">
        <f>+SUM('1:30'!AA37)</f>
        <v>0</v>
      </c>
      <c r="AB37" s="14">
        <f>+SUM('1:30'!AB37)</f>
        <v>0</v>
      </c>
      <c r="AC37" s="14">
        <f>+SUM('1:30'!AC37)</f>
        <v>0</v>
      </c>
    </row>
    <row r="38" spans="1:29" ht="21.95" customHeight="1">
      <c r="A38" s="142">
        <v>300413</v>
      </c>
      <c r="B38" s="135">
        <v>3002</v>
      </c>
      <c r="C38" s="259" t="s">
        <v>304</v>
      </c>
      <c r="D38" s="260"/>
      <c r="E38" s="148" t="s">
        <v>302</v>
      </c>
      <c r="F38" s="13"/>
      <c r="G38" s="14">
        <f>+SUM('1:30'!G38)</f>
        <v>0</v>
      </c>
      <c r="H38" s="14">
        <f>+SUM('1:30'!H38)</f>
        <v>0</v>
      </c>
      <c r="I38" s="14">
        <f>+SUM('1:30'!I38)</f>
        <v>0</v>
      </c>
      <c r="J38" s="14">
        <f>+SUM('1:30'!J38)</f>
        <v>0</v>
      </c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">
        <f>+SUM('1:30'!O38)</f>
        <v>0</v>
      </c>
      <c r="P38" s="146">
        <f t="shared" si="2"/>
        <v>0</v>
      </c>
      <c r="Q38" s="14">
        <f>+SUM('1:30'!Q38)</f>
        <v>0</v>
      </c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14">
        <f>+SUM('1:30'!W38)</f>
        <v>0</v>
      </c>
      <c r="X38" s="14">
        <f>+SUM('1:30'!X38)</f>
        <v>0</v>
      </c>
      <c r="Y38" s="14">
        <f>+SUM('1:30'!Y38)</f>
        <v>0</v>
      </c>
      <c r="Z38" s="14">
        <f>+SUM('1:30'!Z38)</f>
        <v>0</v>
      </c>
      <c r="AA38" s="14">
        <f>+SUM('1:30'!AA38)</f>
        <v>0</v>
      </c>
      <c r="AB38" s="14">
        <f>+SUM('1:30'!AB38)</f>
        <v>0</v>
      </c>
      <c r="AC38" s="14">
        <f>+SUM('1:30'!AC38)</f>
        <v>0</v>
      </c>
    </row>
    <row r="39" spans="1:29" ht="21.95" customHeight="1">
      <c r="A39" s="142">
        <v>300414</v>
      </c>
      <c r="B39" s="135">
        <v>3002</v>
      </c>
      <c r="C39" s="259" t="s">
        <v>304</v>
      </c>
      <c r="D39" s="260"/>
      <c r="E39" s="148" t="s">
        <v>311</v>
      </c>
      <c r="F39" s="13"/>
      <c r="G39" s="14">
        <f>+SUM('1:30'!G39)</f>
        <v>5</v>
      </c>
      <c r="H39" s="14">
        <f>+SUM('1:30'!H39)</f>
        <v>0</v>
      </c>
      <c r="I39" s="14">
        <f>+SUM('1:30'!I39)</f>
        <v>5</v>
      </c>
      <c r="J39" s="14">
        <f>+SUM('1:30'!J39)</f>
        <v>0</v>
      </c>
      <c r="K39" s="146">
        <f t="shared" si="0"/>
        <v>2644</v>
      </c>
      <c r="L39" s="146">
        <f t="shared" si="1"/>
        <v>2644</v>
      </c>
      <c r="M39" s="146">
        <v>528.79999999999995</v>
      </c>
      <c r="N39" s="146">
        <f>+M39*1000/(31*10*13*60)*T39</f>
        <v>6.5607940446650126</v>
      </c>
      <c r="O39" s="14">
        <f>+SUM('1:30'!O39)</f>
        <v>0.5</v>
      </c>
      <c r="P39" s="146">
        <f t="shared" si="2"/>
        <v>32.803970223325067</v>
      </c>
      <c r="Q39" s="14">
        <f>+SUM('1:30'!Q39)</f>
        <v>4.5</v>
      </c>
      <c r="R39" s="19">
        <f t="shared" si="3"/>
        <v>0</v>
      </c>
      <c r="S39" s="146">
        <f t="shared" si="4"/>
        <v>-32.803970223325067</v>
      </c>
      <c r="T39" s="20">
        <v>3</v>
      </c>
      <c r="U39" s="20"/>
      <c r="V39" s="143"/>
      <c r="W39" s="14">
        <f>+SUM('1:30'!W39)</f>
        <v>0</v>
      </c>
      <c r="X39" s="14">
        <f>+SUM('1:30'!X39)</f>
        <v>0</v>
      </c>
      <c r="Y39" s="14">
        <f>+SUM('1:30'!Y39)</f>
        <v>0</v>
      </c>
      <c r="Z39" s="14">
        <f>+SUM('1:30'!Z39)</f>
        <v>0</v>
      </c>
      <c r="AA39" s="14">
        <f>+SUM('1:30'!AA39)</f>
        <v>0</v>
      </c>
      <c r="AB39" s="14">
        <f>+SUM('1:30'!AB39)</f>
        <v>0</v>
      </c>
      <c r="AC39" s="14">
        <f>+SUM('1:30'!AC39)</f>
        <v>0</v>
      </c>
    </row>
    <row r="40" spans="1:29" ht="21.95" customHeight="1">
      <c r="A40" s="142">
        <v>300415</v>
      </c>
      <c r="B40" s="135">
        <v>3002</v>
      </c>
      <c r="C40" s="259" t="s">
        <v>304</v>
      </c>
      <c r="D40" s="260"/>
      <c r="E40" s="148" t="s">
        <v>303</v>
      </c>
      <c r="F40" s="13"/>
      <c r="G40" s="14">
        <f>+SUM('1:30'!G40)</f>
        <v>2</v>
      </c>
      <c r="H40" s="14">
        <f>+SUM('1:30'!H40)</f>
        <v>0</v>
      </c>
      <c r="I40" s="14">
        <f>+SUM('1:30'!I40)</f>
        <v>2</v>
      </c>
      <c r="J40" s="14">
        <f>+SUM('1:30'!J40)</f>
        <v>0</v>
      </c>
      <c r="K40" s="146">
        <f t="shared" si="0"/>
        <v>1057.5999999999999</v>
      </c>
      <c r="L40" s="146">
        <f t="shared" si="1"/>
        <v>1057.5999999999999</v>
      </c>
      <c r="M40" s="146">
        <v>528.79999999999995</v>
      </c>
      <c r="N40" s="146">
        <f>+M40*1000/(31*10*13*60)*T40</f>
        <v>6.5607940446650126</v>
      </c>
      <c r="O40" s="14">
        <f>+SUM('1:30'!O40)</f>
        <v>0</v>
      </c>
      <c r="P40" s="146">
        <f t="shared" si="2"/>
        <v>13.121588089330025</v>
      </c>
      <c r="Q40" s="14">
        <f>+SUM('1:30'!Q40)</f>
        <v>2.5</v>
      </c>
      <c r="R40" s="19">
        <f t="shared" si="3"/>
        <v>0</v>
      </c>
      <c r="S40" s="146">
        <f t="shared" si="4"/>
        <v>-13.121588089330025</v>
      </c>
      <c r="T40" s="20">
        <v>3</v>
      </c>
      <c r="U40" s="20"/>
      <c r="V40" s="143"/>
      <c r="W40" s="14">
        <f>+SUM('1:30'!W40)</f>
        <v>0</v>
      </c>
      <c r="X40" s="14">
        <f>+SUM('1:30'!X40)</f>
        <v>0</v>
      </c>
      <c r="Y40" s="14">
        <f>+SUM('1:30'!Y40)</f>
        <v>0</v>
      </c>
      <c r="Z40" s="14">
        <f>+SUM('1:30'!Z40)</f>
        <v>0</v>
      </c>
      <c r="AA40" s="14">
        <f>+SUM('1:30'!AA40)</f>
        <v>0</v>
      </c>
      <c r="AB40" s="14">
        <f>+SUM('1:30'!AB40)</f>
        <v>0</v>
      </c>
      <c r="AC40" s="14">
        <f>+SUM('1:30'!AC40)</f>
        <v>0</v>
      </c>
    </row>
    <row r="41" spans="1:29" ht="21.95" customHeight="1">
      <c r="A41" s="142">
        <v>300035</v>
      </c>
      <c r="B41" s="135" t="s">
        <v>60</v>
      </c>
      <c r="C41" s="248" t="s">
        <v>61</v>
      </c>
      <c r="D41" s="248" t="s">
        <v>62</v>
      </c>
      <c r="E41" s="148" t="s">
        <v>35</v>
      </c>
      <c r="F41" s="13"/>
      <c r="G41" s="14">
        <f>+SUM('1:30'!G41)</f>
        <v>0</v>
      </c>
      <c r="H41" s="14">
        <f>+SUM('1:30'!H41)</f>
        <v>0</v>
      </c>
      <c r="I41" s="14">
        <f>+SUM('1:30'!I41)</f>
        <v>0</v>
      </c>
      <c r="J41" s="14">
        <f>+SUM('1:30'!J41)</f>
        <v>0</v>
      </c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">
        <f>+SUM('1:30'!O41)</f>
        <v>0</v>
      </c>
      <c r="P41" s="146">
        <f t="shared" si="2"/>
        <v>0</v>
      </c>
      <c r="Q41" s="14">
        <f>+SUM('1:30'!Q41)</f>
        <v>0</v>
      </c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14">
        <f>+SUM('1:30'!W41)</f>
        <v>0</v>
      </c>
      <c r="X41" s="14">
        <f>+SUM('1:30'!X41)</f>
        <v>0</v>
      </c>
      <c r="Y41" s="14">
        <f>+SUM('1:30'!Y41)</f>
        <v>0</v>
      </c>
      <c r="Z41" s="14">
        <f>+SUM('1:30'!Z41)</f>
        <v>0</v>
      </c>
      <c r="AA41" s="14">
        <f>+SUM('1:30'!AA41)</f>
        <v>0</v>
      </c>
      <c r="AB41" s="14">
        <f>+SUM('1:30'!AB41)</f>
        <v>0</v>
      </c>
      <c r="AC41" s="14">
        <f>+SUM('1:30'!AC41)</f>
        <v>0</v>
      </c>
    </row>
    <row r="42" spans="1:29" ht="21.95" customHeight="1">
      <c r="A42" s="142">
        <v>300036</v>
      </c>
      <c r="B42" s="135" t="s">
        <v>60</v>
      </c>
      <c r="C42" s="248" t="s">
        <v>61</v>
      </c>
      <c r="D42" s="248" t="s">
        <v>62</v>
      </c>
      <c r="E42" s="148" t="s">
        <v>63</v>
      </c>
      <c r="F42" s="13"/>
      <c r="G42" s="14">
        <f>+SUM('1:30'!G42)</f>
        <v>5</v>
      </c>
      <c r="H42" s="14">
        <f>+SUM('1:30'!H42)</f>
        <v>0</v>
      </c>
      <c r="I42" s="14">
        <f>+SUM('1:30'!I42)</f>
        <v>5</v>
      </c>
      <c r="J42" s="14">
        <f>+SUM('1:30'!J42)</f>
        <v>250</v>
      </c>
      <c r="K42" s="146">
        <f t="shared" si="0"/>
        <v>1834.65</v>
      </c>
      <c r="L42" s="146">
        <f t="shared" si="1"/>
        <v>1834.65</v>
      </c>
      <c r="M42" s="146">
        <v>366.93</v>
      </c>
      <c r="N42" s="146">
        <f>+M42*1000/(35.8*10*13*60)*T42</f>
        <v>2.6280618822518265</v>
      </c>
      <c r="O42" s="14">
        <f>+SUM('1:30'!O42)</f>
        <v>0.5</v>
      </c>
      <c r="P42" s="146">
        <f t="shared" si="2"/>
        <v>13.140309411259132</v>
      </c>
      <c r="Q42" s="14">
        <f>+SUM('1:30'!Q42)</f>
        <v>5</v>
      </c>
      <c r="R42" s="19">
        <f t="shared" si="3"/>
        <v>0</v>
      </c>
      <c r="S42" s="146">
        <f t="shared" si="4"/>
        <v>-13.140309411259132</v>
      </c>
      <c r="T42" s="20">
        <v>2</v>
      </c>
      <c r="U42" s="20"/>
      <c r="V42" s="143">
        <f t="array" ref="V42">IF(ISERROR(L42/K42),"",L42/K42)</f>
        <v>1</v>
      </c>
      <c r="W42" s="14">
        <f>+SUM('1:30'!W42)</f>
        <v>0</v>
      </c>
      <c r="X42" s="14">
        <f>+SUM('1:30'!X42)</f>
        <v>0</v>
      </c>
      <c r="Y42" s="14">
        <f>+SUM('1:30'!Y42)</f>
        <v>0</v>
      </c>
      <c r="Z42" s="14">
        <f>+SUM('1:30'!Z42)</f>
        <v>0</v>
      </c>
      <c r="AA42" s="14">
        <f>+SUM('1:30'!AA42)</f>
        <v>0</v>
      </c>
      <c r="AB42" s="14">
        <f>+SUM('1:30'!AB42)</f>
        <v>0</v>
      </c>
      <c r="AC42" s="14">
        <f>+SUM('1:30'!AC42)</f>
        <v>0</v>
      </c>
    </row>
    <row r="43" spans="1:29" ht="21.95" customHeight="1">
      <c r="A43" s="142">
        <v>300037</v>
      </c>
      <c r="B43" s="135" t="s">
        <v>60</v>
      </c>
      <c r="C43" s="248" t="s">
        <v>61</v>
      </c>
      <c r="D43" s="248" t="s">
        <v>62</v>
      </c>
      <c r="E43" s="148" t="s">
        <v>37</v>
      </c>
      <c r="F43" s="13"/>
      <c r="G43" s="14">
        <f>+SUM('1:30'!G43)</f>
        <v>4.2</v>
      </c>
      <c r="H43" s="14">
        <f>+SUM('1:30'!H43)</f>
        <v>0.2</v>
      </c>
      <c r="I43" s="14">
        <f>+SUM('1:30'!I43)</f>
        <v>4.2</v>
      </c>
      <c r="J43" s="14">
        <f>+SUM('1:30'!J43)</f>
        <v>0</v>
      </c>
      <c r="K43" s="146">
        <f t="shared" si="0"/>
        <v>1541.106</v>
      </c>
      <c r="L43" s="146">
        <f t="shared" si="1"/>
        <v>1541.106</v>
      </c>
      <c r="M43" s="146">
        <v>366.93</v>
      </c>
      <c r="N43" s="146">
        <f>+M43*1000/(35.8*10*13*60)*T43</f>
        <v>2.6280618822518265</v>
      </c>
      <c r="O43" s="14">
        <f>+SUM('1:30'!O43)</f>
        <v>0</v>
      </c>
      <c r="P43" s="146">
        <f t="shared" si="2"/>
        <v>11.037859905457672</v>
      </c>
      <c r="Q43" s="14">
        <f>+SUM('1:30'!Q43)</f>
        <v>6</v>
      </c>
      <c r="R43" s="19">
        <f t="shared" si="3"/>
        <v>0</v>
      </c>
      <c r="S43" s="146">
        <f t="shared" si="4"/>
        <v>-11.037859905457672</v>
      </c>
      <c r="T43" s="20">
        <v>2</v>
      </c>
      <c r="U43" s="20"/>
      <c r="V43" s="143">
        <f t="array" ref="V43">IF(ISERROR(L43/K43),"",L43/K43)</f>
        <v>1</v>
      </c>
      <c r="W43" s="14">
        <f>+SUM('1:30'!W43)</f>
        <v>0</v>
      </c>
      <c r="X43" s="14">
        <f>+SUM('1:30'!X43)</f>
        <v>0</v>
      </c>
      <c r="Y43" s="14">
        <f>+SUM('1:30'!Y43)</f>
        <v>0</v>
      </c>
      <c r="Z43" s="14">
        <f>+SUM('1:30'!Z43)</f>
        <v>0</v>
      </c>
      <c r="AA43" s="14">
        <f>+SUM('1:30'!AA43)</f>
        <v>0</v>
      </c>
      <c r="AB43" s="14">
        <f>+SUM('1:30'!AB43)</f>
        <v>0</v>
      </c>
      <c r="AC43" s="14">
        <f>+SUM('1:30'!AC43)</f>
        <v>0</v>
      </c>
    </row>
    <row r="44" spans="1:29" ht="21.95" customHeight="1">
      <c r="A44" s="142">
        <v>300038</v>
      </c>
      <c r="B44" s="135" t="s">
        <v>60</v>
      </c>
      <c r="C44" s="248" t="s">
        <v>64</v>
      </c>
      <c r="D44" s="248" t="s">
        <v>65</v>
      </c>
      <c r="E44" s="148" t="s">
        <v>35</v>
      </c>
      <c r="F44" s="13"/>
      <c r="G44" s="14">
        <f>+SUM('1:30'!G44)</f>
        <v>0</v>
      </c>
      <c r="H44" s="14">
        <f>+SUM('1:30'!H44)</f>
        <v>0</v>
      </c>
      <c r="I44" s="14">
        <f>+SUM('1:30'!I44)</f>
        <v>0</v>
      </c>
      <c r="J44" s="14">
        <f>+SUM('1:30'!J44)</f>
        <v>0</v>
      </c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">
        <f>+SUM('1:30'!O44)</f>
        <v>0</v>
      </c>
      <c r="P44" s="146">
        <f t="shared" si="2"/>
        <v>0</v>
      </c>
      <c r="Q44" s="14">
        <f>+SUM('1:30'!Q44)</f>
        <v>0</v>
      </c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14">
        <f>+SUM('1:30'!W44)</f>
        <v>0</v>
      </c>
      <c r="X44" s="14">
        <f>+SUM('1:30'!X44)</f>
        <v>0</v>
      </c>
      <c r="Y44" s="14">
        <f>+SUM('1:30'!Y44)</f>
        <v>0</v>
      </c>
      <c r="Z44" s="14">
        <f>+SUM('1:30'!Z44)</f>
        <v>0</v>
      </c>
      <c r="AA44" s="14">
        <f>+SUM('1:30'!AA44)</f>
        <v>0</v>
      </c>
      <c r="AB44" s="14">
        <f>+SUM('1:30'!AB44)</f>
        <v>0</v>
      </c>
      <c r="AC44" s="14">
        <f>+SUM('1:30'!AC44)</f>
        <v>0</v>
      </c>
    </row>
    <row r="45" spans="1:29" ht="21.95" customHeight="1">
      <c r="A45" s="142">
        <v>300039</v>
      </c>
      <c r="B45" s="135" t="s">
        <v>60</v>
      </c>
      <c r="C45" s="248" t="s">
        <v>64</v>
      </c>
      <c r="D45" s="248" t="s">
        <v>65</v>
      </c>
      <c r="E45" s="148" t="s">
        <v>66</v>
      </c>
      <c r="F45" s="13"/>
      <c r="G45" s="14">
        <f>+SUM('1:30'!G45)</f>
        <v>0</v>
      </c>
      <c r="H45" s="14">
        <f>+SUM('1:30'!H45)</f>
        <v>0</v>
      </c>
      <c r="I45" s="14">
        <f>+SUM('1:30'!I45)</f>
        <v>0</v>
      </c>
      <c r="J45" s="14">
        <f>+SUM('1:30'!J45)</f>
        <v>0</v>
      </c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">
        <f>+SUM('1:30'!O45)</f>
        <v>0</v>
      </c>
      <c r="P45" s="146">
        <f t="shared" si="2"/>
        <v>0</v>
      </c>
      <c r="Q45" s="14">
        <f>+SUM('1:30'!Q45)</f>
        <v>0</v>
      </c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14">
        <f>+SUM('1:30'!W45)</f>
        <v>0</v>
      </c>
      <c r="X45" s="14">
        <f>+SUM('1:30'!X45)</f>
        <v>0</v>
      </c>
      <c r="Y45" s="14">
        <f>+SUM('1:30'!Y45)</f>
        <v>0</v>
      </c>
      <c r="Z45" s="14">
        <f>+SUM('1:30'!Z45)</f>
        <v>0</v>
      </c>
      <c r="AA45" s="14">
        <f>+SUM('1:30'!AA45)</f>
        <v>0</v>
      </c>
      <c r="AB45" s="14">
        <f>+SUM('1:30'!AB45)</f>
        <v>0</v>
      </c>
      <c r="AC45" s="14">
        <f>+SUM('1:30'!AC45)</f>
        <v>0</v>
      </c>
    </row>
    <row r="46" spans="1:29" s="2" customFormat="1" ht="21" customHeight="1">
      <c r="A46" s="142">
        <v>300416</v>
      </c>
      <c r="B46" s="135" t="s">
        <v>67</v>
      </c>
      <c r="C46" s="259" t="s">
        <v>68</v>
      </c>
      <c r="D46" s="260"/>
      <c r="E46" s="148" t="s">
        <v>69</v>
      </c>
      <c r="F46" s="147"/>
      <c r="G46" s="14">
        <f>+SUM('1:30'!G46)</f>
        <v>4</v>
      </c>
      <c r="H46" s="14">
        <f>+SUM('1:30'!H46)</f>
        <v>0</v>
      </c>
      <c r="I46" s="14">
        <f>+SUM('1:30'!I46)</f>
        <v>4</v>
      </c>
      <c r="J46" s="14">
        <f>+SUM('1:30'!J46)</f>
        <v>0</v>
      </c>
      <c r="K46" s="146">
        <f t="shared" si="0"/>
        <v>1542.4</v>
      </c>
      <c r="L46" s="146">
        <f t="shared" si="1"/>
        <v>1542.4</v>
      </c>
      <c r="M46" s="146">
        <v>385.6</v>
      </c>
      <c r="N46" s="146">
        <f>+M46*1000/(25.4*20*15*60)*T46</f>
        <v>2.5301837270341205</v>
      </c>
      <c r="O46" s="14">
        <f>+SUM('1:30'!O46)</f>
        <v>0.5</v>
      </c>
      <c r="P46" s="146">
        <f t="shared" si="2"/>
        <v>10.120734908136482</v>
      </c>
      <c r="Q46" s="14">
        <f>+SUM('1:30'!Q46)</f>
        <v>6</v>
      </c>
      <c r="R46" s="19">
        <f t="shared" si="3"/>
        <v>0</v>
      </c>
      <c r="S46" s="146">
        <f t="shared" si="4"/>
        <v>-10.120734908136482</v>
      </c>
      <c r="T46" s="20">
        <v>3</v>
      </c>
      <c r="U46" s="20"/>
      <c r="V46" s="143"/>
      <c r="W46" s="14">
        <f>+SUM('1:30'!W46)</f>
        <v>0</v>
      </c>
      <c r="X46" s="14">
        <f>+SUM('1:30'!X46)</f>
        <v>0</v>
      </c>
      <c r="Y46" s="14">
        <f>+SUM('1:30'!Y46)</f>
        <v>0</v>
      </c>
      <c r="Z46" s="14">
        <f>+SUM('1:30'!Z46)</f>
        <v>0</v>
      </c>
      <c r="AA46" s="14">
        <f>+SUM('1:30'!AA46)</f>
        <v>0</v>
      </c>
      <c r="AB46" s="14">
        <f>+SUM('1:30'!AB46)</f>
        <v>0</v>
      </c>
      <c r="AC46" s="14">
        <f>+SUM('1:30'!AC46)</f>
        <v>0</v>
      </c>
    </row>
    <row r="47" spans="1:29" s="2" customFormat="1" ht="21" customHeight="1">
      <c r="A47" s="142">
        <v>300417</v>
      </c>
      <c r="B47" s="135" t="s">
        <v>67</v>
      </c>
      <c r="C47" s="259" t="s">
        <v>68</v>
      </c>
      <c r="D47" s="260"/>
      <c r="E47" s="148" t="s">
        <v>70</v>
      </c>
      <c r="F47" s="147"/>
      <c r="G47" s="14">
        <f>+SUM('1:30'!G47)</f>
        <v>3</v>
      </c>
      <c r="H47" s="14">
        <f>+SUM('1:30'!H47)</f>
        <v>0</v>
      </c>
      <c r="I47" s="14">
        <f>+SUM('1:30'!I47)</f>
        <v>3</v>
      </c>
      <c r="J47" s="14">
        <f>+SUM('1:30'!J47)</f>
        <v>0</v>
      </c>
      <c r="K47" s="146">
        <f t="shared" si="0"/>
        <v>1156.8000000000002</v>
      </c>
      <c r="L47" s="146">
        <f t="shared" si="1"/>
        <v>1156.8000000000002</v>
      </c>
      <c r="M47" s="146">
        <v>385.6</v>
      </c>
      <c r="N47" s="146">
        <f>+M47*1000/(25.4*20*15*60)*T47</f>
        <v>2.5301837270341205</v>
      </c>
      <c r="O47" s="14">
        <f>+SUM('1:30'!O47)</f>
        <v>0</v>
      </c>
      <c r="P47" s="146">
        <f t="shared" si="2"/>
        <v>7.5905511811023612</v>
      </c>
      <c r="Q47" s="14">
        <f>+SUM('1:30'!Q47)</f>
        <v>5</v>
      </c>
      <c r="R47" s="19">
        <f t="shared" si="3"/>
        <v>0</v>
      </c>
      <c r="S47" s="146">
        <f t="shared" si="4"/>
        <v>-7.5905511811023612</v>
      </c>
      <c r="T47" s="20">
        <v>3</v>
      </c>
      <c r="U47" s="20"/>
      <c r="V47" s="143"/>
      <c r="W47" s="14">
        <f>+SUM('1:30'!W47)</f>
        <v>0</v>
      </c>
      <c r="X47" s="14">
        <f>+SUM('1:30'!X47)</f>
        <v>0</v>
      </c>
      <c r="Y47" s="14">
        <f>+SUM('1:30'!Y47)</f>
        <v>0</v>
      </c>
      <c r="Z47" s="14">
        <f>+SUM('1:30'!Z47)</f>
        <v>0</v>
      </c>
      <c r="AA47" s="14">
        <f>+SUM('1:30'!AA47)</f>
        <v>0</v>
      </c>
      <c r="AB47" s="14">
        <f>+SUM('1:30'!AB47)</f>
        <v>0</v>
      </c>
      <c r="AC47" s="14">
        <f>+SUM('1:30'!AC47)</f>
        <v>0</v>
      </c>
    </row>
    <row r="48" spans="1:29" s="2" customFormat="1" ht="21" customHeight="1">
      <c r="A48" s="142">
        <v>300418</v>
      </c>
      <c r="B48" s="135" t="s">
        <v>67</v>
      </c>
      <c r="C48" s="259" t="s">
        <v>68</v>
      </c>
      <c r="D48" s="260"/>
      <c r="E48" s="148" t="s">
        <v>71</v>
      </c>
      <c r="F48" s="147"/>
      <c r="G48" s="14">
        <f>+SUM('1:30'!G48)</f>
        <v>5</v>
      </c>
      <c r="H48" s="14">
        <f>+SUM('1:30'!H48)</f>
        <v>0</v>
      </c>
      <c r="I48" s="14">
        <f>+SUM('1:30'!I48)</f>
        <v>5</v>
      </c>
      <c r="J48" s="14">
        <f>+SUM('1:30'!J48)</f>
        <v>0</v>
      </c>
      <c r="K48" s="146">
        <f t="shared" si="0"/>
        <v>1928</v>
      </c>
      <c r="L48" s="146">
        <f t="shared" si="1"/>
        <v>1928</v>
      </c>
      <c r="M48" s="146">
        <v>385.6</v>
      </c>
      <c r="N48" s="146">
        <f>+M48*1000/(25.4*20*15*60)*T48</f>
        <v>2.5301837270341205</v>
      </c>
      <c r="O48" s="14">
        <f>+SUM('1:30'!O48)</f>
        <v>0.5</v>
      </c>
      <c r="P48" s="146">
        <f t="shared" si="2"/>
        <v>12.650918635170603</v>
      </c>
      <c r="Q48" s="14">
        <f>+SUM('1:30'!Q48)</f>
        <v>6</v>
      </c>
      <c r="R48" s="19">
        <f t="shared" si="3"/>
        <v>0</v>
      </c>
      <c r="S48" s="146">
        <f t="shared" si="4"/>
        <v>-12.650918635170603</v>
      </c>
      <c r="T48" s="20">
        <v>3</v>
      </c>
      <c r="U48" s="20"/>
      <c r="V48" s="143"/>
      <c r="W48" s="14">
        <f>+SUM('1:30'!W48)</f>
        <v>0</v>
      </c>
      <c r="X48" s="14">
        <f>+SUM('1:30'!X48)</f>
        <v>0</v>
      </c>
      <c r="Y48" s="14">
        <f>+SUM('1:30'!Y48)</f>
        <v>0</v>
      </c>
      <c r="Z48" s="14">
        <f>+SUM('1:30'!Z48)</f>
        <v>0</v>
      </c>
      <c r="AA48" s="14">
        <f>+SUM('1:30'!AA48)</f>
        <v>0</v>
      </c>
      <c r="AB48" s="14">
        <f>+SUM('1:30'!AB48)</f>
        <v>0</v>
      </c>
      <c r="AC48" s="14">
        <f>+SUM('1:30'!AC48)</f>
        <v>0</v>
      </c>
    </row>
    <row r="49" spans="1:29" s="2" customFormat="1" ht="21" customHeight="1">
      <c r="A49" s="142">
        <v>300419</v>
      </c>
      <c r="B49" s="135" t="s">
        <v>67</v>
      </c>
      <c r="C49" s="259" t="s">
        <v>68</v>
      </c>
      <c r="D49" s="260"/>
      <c r="E49" s="148" t="s">
        <v>72</v>
      </c>
      <c r="F49" s="147"/>
      <c r="G49" s="14">
        <f>+SUM('1:30'!G49)</f>
        <v>2.4300000000000002</v>
      </c>
      <c r="H49" s="14">
        <f>+SUM('1:30'!H49)</f>
        <v>0.42857142857142855</v>
      </c>
      <c r="I49" s="14">
        <f>+SUM('1:30'!I49)</f>
        <v>2.4285714285714284</v>
      </c>
      <c r="J49" s="14">
        <f>+SUM('1:30'!J49)</f>
        <v>0</v>
      </c>
      <c r="K49" s="146">
        <f t="shared" si="0"/>
        <v>937.00800000000015</v>
      </c>
      <c r="L49" s="146">
        <f t="shared" si="1"/>
        <v>936.4571428571428</v>
      </c>
      <c r="M49" s="146">
        <v>385.6</v>
      </c>
      <c r="N49" s="146">
        <f>+M49*1000/(25.4*20*15*60)*T49</f>
        <v>2.5301837270341205</v>
      </c>
      <c r="O49" s="14">
        <f>+SUM('1:30'!O49)</f>
        <v>0</v>
      </c>
      <c r="P49" s="146">
        <f t="shared" si="2"/>
        <v>6.1447319085114351</v>
      </c>
      <c r="Q49" s="14">
        <f>+SUM('1:30'!Q49)</f>
        <v>4</v>
      </c>
      <c r="R49" s="19">
        <f t="shared" si="3"/>
        <v>0</v>
      </c>
      <c r="S49" s="146">
        <f t="shared" si="4"/>
        <v>-6.1447319085114351</v>
      </c>
      <c r="T49" s="20">
        <v>3</v>
      </c>
      <c r="U49" s="20"/>
      <c r="V49" s="143"/>
      <c r="W49" s="14">
        <f>+SUM('1:30'!W49)</f>
        <v>0</v>
      </c>
      <c r="X49" s="14">
        <f>+SUM('1:30'!X49)</f>
        <v>0</v>
      </c>
      <c r="Y49" s="14">
        <f>+SUM('1:30'!Y49)</f>
        <v>0</v>
      </c>
      <c r="Z49" s="14">
        <f>+SUM('1:30'!Z49)</f>
        <v>0</v>
      </c>
      <c r="AA49" s="14">
        <f>+SUM('1:30'!AA49)</f>
        <v>0</v>
      </c>
      <c r="AB49" s="14">
        <f>+SUM('1:30'!AB49)</f>
        <v>0</v>
      </c>
      <c r="AC49" s="14">
        <f>+SUM('1:30'!AC49)</f>
        <v>0</v>
      </c>
    </row>
    <row r="50" spans="1:29" ht="21.95" customHeight="1">
      <c r="A50" s="142">
        <v>300260</v>
      </c>
      <c r="B50" s="135" t="s">
        <v>67</v>
      </c>
      <c r="C50" s="248" t="s">
        <v>73</v>
      </c>
      <c r="D50" s="248"/>
      <c r="E50" s="148" t="s">
        <v>74</v>
      </c>
      <c r="F50" s="13"/>
      <c r="G50" s="14">
        <f>+SUM('1:30'!G50)</f>
        <v>0</v>
      </c>
      <c r="H50" s="14">
        <f>+SUM('1:30'!H50)</f>
        <v>0</v>
      </c>
      <c r="I50" s="14">
        <f>+SUM('1:30'!I50)</f>
        <v>0</v>
      </c>
      <c r="J50" s="14">
        <f>+SUM('1:30'!J50)</f>
        <v>0</v>
      </c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">
        <f>+SUM('1:30'!O50)</f>
        <v>0</v>
      </c>
      <c r="P50" s="146">
        <f t="shared" si="2"/>
        <v>0</v>
      </c>
      <c r="Q50" s="14">
        <f>+SUM('1:30'!Q50)</f>
        <v>0</v>
      </c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14">
        <f>+SUM('1:30'!W50)</f>
        <v>0</v>
      </c>
      <c r="X50" s="14">
        <f>+SUM('1:30'!X50)</f>
        <v>0</v>
      </c>
      <c r="Y50" s="14">
        <f>+SUM('1:30'!Y50)</f>
        <v>0</v>
      </c>
      <c r="Z50" s="14">
        <f>+SUM('1:30'!Z50)</f>
        <v>0</v>
      </c>
      <c r="AA50" s="14">
        <f>+SUM('1:30'!AA50)</f>
        <v>0</v>
      </c>
      <c r="AB50" s="14">
        <f>+SUM('1:30'!AB50)</f>
        <v>0</v>
      </c>
      <c r="AC50" s="14">
        <f>+SUM('1:30'!AC50)</f>
        <v>0</v>
      </c>
    </row>
    <row r="51" spans="1:29" ht="21.95" customHeight="1">
      <c r="A51" s="142">
        <v>300261</v>
      </c>
      <c r="B51" s="135" t="s">
        <v>67</v>
      </c>
      <c r="C51" s="248" t="s">
        <v>73</v>
      </c>
      <c r="D51" s="248"/>
      <c r="E51" s="148" t="s">
        <v>41</v>
      </c>
      <c r="F51" s="13"/>
      <c r="G51" s="14">
        <f>+SUM('1:30'!G51)</f>
        <v>0</v>
      </c>
      <c r="H51" s="14">
        <f>+SUM('1:30'!H51)</f>
        <v>0</v>
      </c>
      <c r="I51" s="14">
        <f>+SUM('1:30'!I51)</f>
        <v>0</v>
      </c>
      <c r="J51" s="14">
        <f>+SUM('1:30'!J51)</f>
        <v>0</v>
      </c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">
        <f>+SUM('1:30'!O51)</f>
        <v>0</v>
      </c>
      <c r="P51" s="146">
        <f t="shared" si="2"/>
        <v>0</v>
      </c>
      <c r="Q51" s="14">
        <f>+SUM('1:30'!Q51)</f>
        <v>0</v>
      </c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14">
        <f>+SUM('1:30'!W51)</f>
        <v>0</v>
      </c>
      <c r="X51" s="14">
        <f>+SUM('1:30'!X51)</f>
        <v>0</v>
      </c>
      <c r="Y51" s="14">
        <f>+SUM('1:30'!Y51)</f>
        <v>0</v>
      </c>
      <c r="Z51" s="14">
        <f>+SUM('1:30'!Z51)</f>
        <v>0</v>
      </c>
      <c r="AA51" s="14">
        <f>+SUM('1:30'!AA51)</f>
        <v>0</v>
      </c>
      <c r="AB51" s="14">
        <f>+SUM('1:30'!AB51)</f>
        <v>0</v>
      </c>
      <c r="AC51" s="14">
        <f>+SUM('1:30'!AC51)</f>
        <v>0</v>
      </c>
    </row>
    <row r="52" spans="1:29" ht="21.95" customHeight="1">
      <c r="A52" s="142">
        <v>300262</v>
      </c>
      <c r="B52" s="135" t="s">
        <v>67</v>
      </c>
      <c r="C52" s="248" t="s">
        <v>73</v>
      </c>
      <c r="D52" s="248"/>
      <c r="E52" s="148" t="s">
        <v>39</v>
      </c>
      <c r="F52" s="13"/>
      <c r="G52" s="14">
        <f>+SUM('1:30'!G52)</f>
        <v>0</v>
      </c>
      <c r="H52" s="14">
        <f>+SUM('1:30'!H52)</f>
        <v>0</v>
      </c>
      <c r="I52" s="14">
        <f>+SUM('1:30'!I52)</f>
        <v>0</v>
      </c>
      <c r="J52" s="14">
        <f>+SUM('1:30'!J52)</f>
        <v>0</v>
      </c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">
        <f>+SUM('1:30'!O52)</f>
        <v>0</v>
      </c>
      <c r="P52" s="146">
        <f t="shared" si="2"/>
        <v>0</v>
      </c>
      <c r="Q52" s="14">
        <f>+SUM('1:30'!Q52)</f>
        <v>0</v>
      </c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14">
        <f>+SUM('1:30'!W52)</f>
        <v>0</v>
      </c>
      <c r="X52" s="14">
        <f>+SUM('1:30'!X52)</f>
        <v>0</v>
      </c>
      <c r="Y52" s="14">
        <f>+SUM('1:30'!Y52)</f>
        <v>0</v>
      </c>
      <c r="Z52" s="14">
        <f>+SUM('1:30'!Z52)</f>
        <v>0</v>
      </c>
      <c r="AA52" s="14">
        <f>+SUM('1:30'!AA52)</f>
        <v>0</v>
      </c>
      <c r="AB52" s="14">
        <f>+SUM('1:30'!AB52)</f>
        <v>0</v>
      </c>
      <c r="AC52" s="14">
        <f>+SUM('1:30'!AC52)</f>
        <v>0</v>
      </c>
    </row>
    <row r="53" spans="1:29" ht="21.95" customHeight="1">
      <c r="A53" s="142">
        <v>300263</v>
      </c>
      <c r="B53" s="135" t="s">
        <v>67</v>
      </c>
      <c r="C53" s="248" t="s">
        <v>73</v>
      </c>
      <c r="D53" s="248"/>
      <c r="E53" s="148" t="s">
        <v>54</v>
      </c>
      <c r="F53" s="13"/>
      <c r="G53" s="14">
        <f>+SUM('1:30'!G53)</f>
        <v>0</v>
      </c>
      <c r="H53" s="14">
        <f>+SUM('1:30'!H53)</f>
        <v>0</v>
      </c>
      <c r="I53" s="14">
        <f>+SUM('1:30'!I53)</f>
        <v>0</v>
      </c>
      <c r="J53" s="14">
        <f>+SUM('1:30'!J53)</f>
        <v>0</v>
      </c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">
        <f>+SUM('1:30'!O53)</f>
        <v>0</v>
      </c>
      <c r="P53" s="146">
        <f t="shared" si="2"/>
        <v>0</v>
      </c>
      <c r="Q53" s="14">
        <f>+SUM('1:30'!Q53)</f>
        <v>0</v>
      </c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14">
        <f>+SUM('1:30'!W53)</f>
        <v>0</v>
      </c>
      <c r="X53" s="14">
        <f>+SUM('1:30'!X53)</f>
        <v>0</v>
      </c>
      <c r="Y53" s="14">
        <f>+SUM('1:30'!Y53)</f>
        <v>0</v>
      </c>
      <c r="Z53" s="14">
        <f>+SUM('1:30'!Z53)</f>
        <v>0</v>
      </c>
      <c r="AA53" s="14">
        <f>+SUM('1:30'!AA53)</f>
        <v>0</v>
      </c>
      <c r="AB53" s="14">
        <f>+SUM('1:30'!AB53)</f>
        <v>0</v>
      </c>
      <c r="AC53" s="14">
        <f>+SUM('1:30'!AC53)</f>
        <v>0</v>
      </c>
    </row>
    <row r="54" spans="1:29" ht="21.95" customHeight="1">
      <c r="A54" s="142">
        <v>300051</v>
      </c>
      <c r="B54" s="135" t="s">
        <v>67</v>
      </c>
      <c r="C54" s="248" t="s">
        <v>75</v>
      </c>
      <c r="D54" s="248" t="s">
        <v>76</v>
      </c>
      <c r="E54" s="148" t="s">
        <v>40</v>
      </c>
      <c r="F54" s="13"/>
      <c r="G54" s="14">
        <f>+SUM('1:30'!G54)</f>
        <v>6</v>
      </c>
      <c r="H54" s="14">
        <f>+SUM('1:30'!H54)</f>
        <v>0</v>
      </c>
      <c r="I54" s="14">
        <f>+SUM('1:30'!I54)</f>
        <v>5.88</v>
      </c>
      <c r="J54" s="14">
        <f>+SUM('1:30'!J54)</f>
        <v>60</v>
      </c>
      <c r="K54" s="146">
        <f t="shared" si="0"/>
        <v>3275.3999999999996</v>
      </c>
      <c r="L54" s="146">
        <f t="shared" si="1"/>
        <v>3209.8919999999998</v>
      </c>
      <c r="M54" s="146">
        <v>545.9</v>
      </c>
      <c r="N54" s="146">
        <f>+M54*1000/(41.5*10*16*60)*T54</f>
        <v>2.7404618473895583</v>
      </c>
      <c r="O54" s="14">
        <f>+SUM('1:30'!O54)</f>
        <v>0.5</v>
      </c>
      <c r="P54" s="146">
        <f t="shared" si="2"/>
        <v>16.113915662650601</v>
      </c>
      <c r="Q54" s="14">
        <f>+SUM('1:30'!Q54)</f>
        <v>6</v>
      </c>
      <c r="R54" s="19">
        <f t="shared" si="3"/>
        <v>0</v>
      </c>
      <c r="S54" s="146">
        <f t="shared" si="4"/>
        <v>-16.113915662650601</v>
      </c>
      <c r="T54" s="22">
        <v>2</v>
      </c>
      <c r="U54" s="20"/>
      <c r="V54" s="143">
        <f t="array" ref="V54">IF(ISERROR(L54/K54),"",L54/K54)</f>
        <v>0.98000000000000009</v>
      </c>
      <c r="W54" s="14">
        <f>+SUM('1:30'!W54)</f>
        <v>0</v>
      </c>
      <c r="X54" s="14">
        <f>+SUM('1:30'!X54)</f>
        <v>0</v>
      </c>
      <c r="Y54" s="14">
        <f>+SUM('1:30'!Y54)</f>
        <v>0</v>
      </c>
      <c r="Z54" s="14">
        <f>+SUM('1:30'!Z54)</f>
        <v>0</v>
      </c>
      <c r="AA54" s="14">
        <f>+SUM('1:30'!AA54)</f>
        <v>0</v>
      </c>
      <c r="AB54" s="14">
        <f>+SUM('1:30'!AB54)</f>
        <v>0</v>
      </c>
      <c r="AC54" s="14">
        <f>+SUM('1:30'!AC54)</f>
        <v>0</v>
      </c>
    </row>
    <row r="55" spans="1:29" ht="21.95" customHeight="1">
      <c r="A55" s="142">
        <v>300052</v>
      </c>
      <c r="B55" s="135" t="s">
        <v>67</v>
      </c>
      <c r="C55" s="248" t="s">
        <v>75</v>
      </c>
      <c r="D55" s="248" t="s">
        <v>76</v>
      </c>
      <c r="E55" s="148" t="s">
        <v>39</v>
      </c>
      <c r="F55" s="13"/>
      <c r="G55" s="14">
        <f>+SUM('1:30'!G55)</f>
        <v>2.1</v>
      </c>
      <c r="H55" s="14">
        <f>+SUM('1:30'!H55)</f>
        <v>0.1</v>
      </c>
      <c r="I55" s="14">
        <f>+SUM('1:30'!I55)</f>
        <v>2.1</v>
      </c>
      <c r="J55" s="14">
        <f>+SUM('1:30'!J55)</f>
        <v>0</v>
      </c>
      <c r="K55" s="146">
        <f t="shared" si="0"/>
        <v>1146.3900000000001</v>
      </c>
      <c r="L55" s="146">
        <f t="shared" si="1"/>
        <v>1146.3900000000001</v>
      </c>
      <c r="M55" s="146">
        <v>545.9</v>
      </c>
      <c r="N55" s="146">
        <f>+M55*1000/(41.5*10*16*60)*T55</f>
        <v>2.7404618473895583</v>
      </c>
      <c r="O55" s="14">
        <f>+SUM('1:30'!O55)</f>
        <v>0</v>
      </c>
      <c r="P55" s="146">
        <f t="shared" si="2"/>
        <v>5.7549698795180726</v>
      </c>
      <c r="Q55" s="14">
        <f>+SUM('1:30'!Q55)</f>
        <v>3.5</v>
      </c>
      <c r="R55" s="19">
        <f t="shared" si="3"/>
        <v>0</v>
      </c>
      <c r="S55" s="146">
        <f t="shared" si="4"/>
        <v>-5.7549698795180726</v>
      </c>
      <c r="T55" s="20">
        <v>2</v>
      </c>
      <c r="U55" s="20"/>
      <c r="V55" s="143">
        <f t="array" ref="V55">IF(ISERROR(L55/K55),"",L55/K55)</f>
        <v>1</v>
      </c>
      <c r="W55" s="14">
        <f>+SUM('1:30'!W55)</f>
        <v>0</v>
      </c>
      <c r="X55" s="14">
        <f>+SUM('1:30'!X55)</f>
        <v>0</v>
      </c>
      <c r="Y55" s="14">
        <f>+SUM('1:30'!Y55)</f>
        <v>0</v>
      </c>
      <c r="Z55" s="14">
        <f>+SUM('1:30'!Z55)</f>
        <v>0</v>
      </c>
      <c r="AA55" s="14">
        <f>+SUM('1:30'!AA55)</f>
        <v>0</v>
      </c>
      <c r="AB55" s="14">
        <f>+SUM('1:30'!AB55)</f>
        <v>0</v>
      </c>
      <c r="AC55" s="14">
        <f>+SUM('1:30'!AC55)</f>
        <v>0</v>
      </c>
    </row>
    <row r="56" spans="1:29" ht="21.95" customHeight="1">
      <c r="A56" s="142">
        <v>300054</v>
      </c>
      <c r="B56" s="135" t="s">
        <v>67</v>
      </c>
      <c r="C56" s="248" t="s">
        <v>75</v>
      </c>
      <c r="D56" s="248" t="s">
        <v>76</v>
      </c>
      <c r="E56" s="148" t="s">
        <v>38</v>
      </c>
      <c r="F56" s="13"/>
      <c r="G56" s="14">
        <f>+SUM('1:30'!G56)</f>
        <v>9</v>
      </c>
      <c r="H56" s="14">
        <f>+SUM('1:30'!H56)</f>
        <v>0.3</v>
      </c>
      <c r="I56" s="14">
        <f>+SUM('1:30'!I56)</f>
        <v>8.9</v>
      </c>
      <c r="J56" s="14">
        <f>+SUM('1:30'!J56)</f>
        <v>200</v>
      </c>
      <c r="K56" s="146">
        <f t="shared" si="0"/>
        <v>4913.0999999999995</v>
      </c>
      <c r="L56" s="146">
        <f t="shared" si="1"/>
        <v>4858.51</v>
      </c>
      <c r="M56" s="146">
        <v>545.9</v>
      </c>
      <c r="N56" s="146">
        <f>+M56*1000/(41.5*10*16*60)*T56</f>
        <v>2.7404618473895583</v>
      </c>
      <c r="O56" s="14">
        <f>+SUM('1:30'!O56)</f>
        <v>0</v>
      </c>
      <c r="P56" s="146">
        <f t="shared" si="2"/>
        <v>24.390110441767071</v>
      </c>
      <c r="Q56" s="14">
        <f>+SUM('1:30'!Q56)</f>
        <v>11</v>
      </c>
      <c r="R56" s="19">
        <f t="shared" si="3"/>
        <v>0</v>
      </c>
      <c r="S56" s="146">
        <f t="shared" si="4"/>
        <v>-24.390110441767071</v>
      </c>
      <c r="T56" s="20">
        <v>2</v>
      </c>
      <c r="U56" s="20"/>
      <c r="V56" s="143">
        <f t="array" ref="V56">IF(ISERROR(L56/K56),"",L56/K56)</f>
        <v>0.98888888888888904</v>
      </c>
      <c r="W56" s="14">
        <f>+SUM('1:30'!W56)</f>
        <v>0</v>
      </c>
      <c r="X56" s="14">
        <f>+SUM('1:30'!X56)</f>
        <v>1</v>
      </c>
      <c r="Y56" s="14">
        <f>+SUM('1:30'!Y56)</f>
        <v>0</v>
      </c>
      <c r="Z56" s="14">
        <f>+SUM('1:30'!Z56)</f>
        <v>0</v>
      </c>
      <c r="AA56" s="14">
        <f>+SUM('1:30'!AA56)</f>
        <v>0</v>
      </c>
      <c r="AB56" s="14">
        <f>+SUM('1:30'!AB56)</f>
        <v>0</v>
      </c>
      <c r="AC56" s="14">
        <f>+SUM('1:30'!AC56)</f>
        <v>0</v>
      </c>
    </row>
    <row r="57" spans="1:29" s="132" customFormat="1" ht="21.95" customHeight="1">
      <c r="A57" s="126">
        <v>300436</v>
      </c>
      <c r="B57" s="138" t="s">
        <v>67</v>
      </c>
      <c r="C57" s="261" t="s">
        <v>75</v>
      </c>
      <c r="D57" s="261" t="s">
        <v>76</v>
      </c>
      <c r="E57" s="42" t="s">
        <v>309</v>
      </c>
      <c r="F57" s="127"/>
      <c r="G57" s="14">
        <f>+SUM('1:30'!G57)</f>
        <v>6.4</v>
      </c>
      <c r="H57" s="14">
        <f>+SUM('1:30'!H57)</f>
        <v>0</v>
      </c>
      <c r="I57" s="14">
        <f>+SUM('1:30'!I57)</f>
        <v>6.4</v>
      </c>
      <c r="J57" s="14">
        <f>+SUM('1:30'!J57)</f>
        <v>300</v>
      </c>
      <c r="K57" s="15">
        <f t="shared" si="0"/>
        <v>3493.76</v>
      </c>
      <c r="L57" s="15">
        <f t="shared" si="1"/>
        <v>3493.76</v>
      </c>
      <c r="M57" s="15">
        <v>545.9</v>
      </c>
      <c r="N57" s="15">
        <f>+M57*1000/(41.5*10*16*60)*T57</f>
        <v>2.7404618473895583</v>
      </c>
      <c r="O57" s="14">
        <f>+SUM('1:30'!O57)</f>
        <v>0.5</v>
      </c>
      <c r="P57" s="15">
        <f t="shared" si="2"/>
        <v>17.538955823293175</v>
      </c>
      <c r="Q57" s="14">
        <f>+SUM('1:30'!Q57)</f>
        <v>7.5</v>
      </c>
      <c r="R57" s="129">
        <f t="shared" si="3"/>
        <v>0</v>
      </c>
      <c r="S57" s="15">
        <f t="shared" si="4"/>
        <v>-17.538955823293175</v>
      </c>
      <c r="T57" s="130">
        <v>2</v>
      </c>
      <c r="U57" s="130"/>
      <c r="V57" s="131"/>
      <c r="W57" s="14">
        <f>+SUM('1:30'!W57)</f>
        <v>0</v>
      </c>
      <c r="X57" s="14">
        <f>+SUM('1:30'!X57)</f>
        <v>0</v>
      </c>
      <c r="Y57" s="14">
        <f>+SUM('1:30'!Y57)</f>
        <v>0</v>
      </c>
      <c r="Z57" s="14">
        <f>+SUM('1:30'!Z57)</f>
        <v>0</v>
      </c>
      <c r="AA57" s="14">
        <f>+SUM('1:30'!AA57)</f>
        <v>0</v>
      </c>
      <c r="AB57" s="14">
        <f>+SUM('1:30'!AB57)</f>
        <v>0</v>
      </c>
      <c r="AC57" s="14">
        <f>+SUM('1:30'!AC57)</f>
        <v>0</v>
      </c>
    </row>
    <row r="58" spans="1:29" ht="21.95" customHeight="1">
      <c r="A58" s="142">
        <v>300050</v>
      </c>
      <c r="B58" s="135" t="s">
        <v>67</v>
      </c>
      <c r="C58" s="248" t="s">
        <v>77</v>
      </c>
      <c r="D58" s="248" t="s">
        <v>78</v>
      </c>
      <c r="E58" s="148" t="s">
        <v>79</v>
      </c>
      <c r="F58" s="13"/>
      <c r="G58" s="14">
        <f>+SUM('1:30'!G58)</f>
        <v>6.86</v>
      </c>
      <c r="H58" s="14">
        <f>+SUM('1:30'!H58)</f>
        <v>0.8571428571428571</v>
      </c>
      <c r="I58" s="14">
        <f>+SUM('1:30'!I58)</f>
        <v>6.8571428571428568</v>
      </c>
      <c r="J58" s="14">
        <f>+SUM('1:30'!J58)</f>
        <v>0</v>
      </c>
      <c r="K58" s="146">
        <f t="shared" si="0"/>
        <v>2932.65</v>
      </c>
      <c r="L58" s="146">
        <f t="shared" si="1"/>
        <v>2931.4285714285711</v>
      </c>
      <c r="M58" s="146">
        <v>427.5</v>
      </c>
      <c r="N58" s="146">
        <f>+M58*1000/(45*10*14*60)*T58</f>
        <v>5.6547619047619051</v>
      </c>
      <c r="O58" s="14">
        <f>+SUM('1:30'!O58)</f>
        <v>0</v>
      </c>
      <c r="P58" s="146">
        <f t="shared" si="2"/>
        <v>38.775510204081634</v>
      </c>
      <c r="Q58" s="14">
        <f>+SUM('1:30'!Q58)</f>
        <v>8.5</v>
      </c>
      <c r="R58" s="19">
        <f t="shared" si="3"/>
        <v>0</v>
      </c>
      <c r="S58" s="146">
        <f t="shared" si="4"/>
        <v>-38.775510204081634</v>
      </c>
      <c r="T58" s="20">
        <v>5</v>
      </c>
      <c r="U58" s="20"/>
      <c r="V58" s="143">
        <f t="array" ref="V58">IF(ISERROR(L58/K58),"",L58/K58)</f>
        <v>0.99958350687213648</v>
      </c>
      <c r="W58" s="14">
        <f>+SUM('1:30'!W58)</f>
        <v>0</v>
      </c>
      <c r="X58" s="14">
        <f>+SUM('1:30'!X58)</f>
        <v>0</v>
      </c>
      <c r="Y58" s="14">
        <f>+SUM('1:30'!Y58)</f>
        <v>0</v>
      </c>
      <c r="Z58" s="14">
        <f>+SUM('1:30'!Z58)</f>
        <v>0</v>
      </c>
      <c r="AA58" s="14">
        <f>+SUM('1:30'!AA58)</f>
        <v>0</v>
      </c>
      <c r="AB58" s="14">
        <f>+SUM('1:30'!AB58)</f>
        <v>0</v>
      </c>
      <c r="AC58" s="14">
        <f>+SUM('1:30'!AC58)</f>
        <v>0</v>
      </c>
    </row>
    <row r="59" spans="1:29" ht="21.95" customHeight="1">
      <c r="A59" s="142">
        <v>300045</v>
      </c>
      <c r="B59" s="135" t="s">
        <v>67</v>
      </c>
      <c r="C59" s="248" t="s">
        <v>77</v>
      </c>
      <c r="D59" s="248" t="s">
        <v>78</v>
      </c>
      <c r="E59" s="148" t="s">
        <v>35</v>
      </c>
      <c r="F59" s="13"/>
      <c r="G59" s="14">
        <f>+SUM('1:30'!G59)</f>
        <v>12.71</v>
      </c>
      <c r="H59" s="14">
        <f>+SUM('1:30'!H59)</f>
        <v>8.5714285714285715E-2</v>
      </c>
      <c r="I59" s="14">
        <f>+SUM('1:30'!I59)</f>
        <v>12.657142857142858</v>
      </c>
      <c r="J59" s="14">
        <f>+SUM('1:30'!J59)</f>
        <v>150</v>
      </c>
      <c r="K59" s="146">
        <f t="shared" si="0"/>
        <v>5167.8860000000004</v>
      </c>
      <c r="L59" s="146">
        <f t="shared" si="1"/>
        <v>5146.3942857142865</v>
      </c>
      <c r="M59" s="15">
        <v>406.6</v>
      </c>
      <c r="N59" s="146">
        <f>+M59*1000/(45*10*13*60)*T59</f>
        <v>5.7920227920227916</v>
      </c>
      <c r="O59" s="14">
        <f>+SUM('1:30'!O59)</f>
        <v>0.5</v>
      </c>
      <c r="P59" s="146">
        <f t="shared" si="2"/>
        <v>73.310459910459912</v>
      </c>
      <c r="Q59" s="14">
        <f>+SUM('1:30'!Q59)</f>
        <v>13.5</v>
      </c>
      <c r="R59" s="19">
        <f t="shared" si="3"/>
        <v>0</v>
      </c>
      <c r="S59" s="146">
        <f t="shared" si="4"/>
        <v>-73.310459910459912</v>
      </c>
      <c r="T59" s="20">
        <v>5</v>
      </c>
      <c r="U59" s="20"/>
      <c r="V59" s="143">
        <f t="array" ref="V59">IF(ISERROR(L59/K59),"",L59/K59)</f>
        <v>0.99584129481847816</v>
      </c>
      <c r="W59" s="14">
        <f>+SUM('1:30'!W59)</f>
        <v>0</v>
      </c>
      <c r="X59" s="14">
        <f>+SUM('1:30'!X59)</f>
        <v>0</v>
      </c>
      <c r="Y59" s="14">
        <f>+SUM('1:30'!Y59)</f>
        <v>0</v>
      </c>
      <c r="Z59" s="14">
        <f>+SUM('1:30'!Z59)</f>
        <v>0</v>
      </c>
      <c r="AA59" s="14">
        <f>+SUM('1:30'!AA59)</f>
        <v>0</v>
      </c>
      <c r="AB59" s="14">
        <f>+SUM('1:30'!AB59)</f>
        <v>0</v>
      </c>
      <c r="AC59" s="14">
        <f>+SUM('1:30'!AC59)</f>
        <v>0</v>
      </c>
    </row>
    <row r="60" spans="1:29" ht="21.95" customHeight="1">
      <c r="A60" s="142">
        <v>300422</v>
      </c>
      <c r="B60" s="135" t="s">
        <v>67</v>
      </c>
      <c r="C60" s="259" t="s">
        <v>301</v>
      </c>
      <c r="D60" s="260"/>
      <c r="E60" s="148" t="s">
        <v>54</v>
      </c>
      <c r="F60" s="13"/>
      <c r="G60" s="14">
        <f>+SUM('1:30'!G60)</f>
        <v>0</v>
      </c>
      <c r="H60" s="14">
        <f>+SUM('1:30'!H60)</f>
        <v>0</v>
      </c>
      <c r="I60" s="14">
        <f>+SUM('1:30'!I60)</f>
        <v>0</v>
      </c>
      <c r="J60" s="14">
        <f>+SUM('1:30'!J60)</f>
        <v>0</v>
      </c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">
        <f>+SUM('1:30'!O60)</f>
        <v>0</v>
      </c>
      <c r="P60" s="146">
        <f t="shared" si="2"/>
        <v>0</v>
      </c>
      <c r="Q60" s="14">
        <f>+SUM('1:30'!Q60)</f>
        <v>0</v>
      </c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14">
        <f>+SUM('1:30'!W60)</f>
        <v>0</v>
      </c>
      <c r="X60" s="14">
        <f>+SUM('1:30'!X60)</f>
        <v>0</v>
      </c>
      <c r="Y60" s="14">
        <f>+SUM('1:30'!Y60)</f>
        <v>0</v>
      </c>
      <c r="Z60" s="14">
        <f>+SUM('1:30'!Z60)</f>
        <v>0</v>
      </c>
      <c r="AA60" s="14">
        <f>+SUM('1:30'!AA60)</f>
        <v>0</v>
      </c>
      <c r="AB60" s="14">
        <f>+SUM('1:30'!AB60)</f>
        <v>0</v>
      </c>
      <c r="AC60" s="14">
        <f>+SUM('1:30'!AC60)</f>
        <v>0</v>
      </c>
    </row>
    <row r="61" spans="1:29" ht="21.95" customHeight="1">
      <c r="A61" s="142">
        <v>300421</v>
      </c>
      <c r="B61" s="135" t="s">
        <v>67</v>
      </c>
      <c r="C61" s="259" t="s">
        <v>301</v>
      </c>
      <c r="D61" s="260"/>
      <c r="E61" s="148" t="s">
        <v>80</v>
      </c>
      <c r="F61" s="13"/>
      <c r="G61" s="14">
        <f>+SUM('1:30'!G61)</f>
        <v>4</v>
      </c>
      <c r="H61" s="14">
        <f>+SUM('1:30'!H61)</f>
        <v>0.42857142857142855</v>
      </c>
      <c r="I61" s="14">
        <f>+SUM('1:30'!I61)</f>
        <v>3.4285714285714284</v>
      </c>
      <c r="J61" s="14">
        <f>+SUM('1:30'!J61)</f>
        <v>0</v>
      </c>
      <c r="K61" s="146">
        <f t="shared" si="0"/>
        <v>1719.2</v>
      </c>
      <c r="L61" s="146">
        <f t="shared" si="1"/>
        <v>1473.6</v>
      </c>
      <c r="M61" s="15">
        <v>429.8</v>
      </c>
      <c r="N61" s="146">
        <f>+M61*1000/(45*10*13*60)*T61</f>
        <v>3.6735042735042738</v>
      </c>
      <c r="O61" s="14">
        <f>+SUM('1:30'!O61)</f>
        <v>0</v>
      </c>
      <c r="P61" s="146">
        <f t="shared" si="2"/>
        <v>12.594871794871795</v>
      </c>
      <c r="Q61" s="14">
        <f>+SUM('1:30'!Q61)</f>
        <v>5</v>
      </c>
      <c r="R61" s="19">
        <f t="shared" si="3"/>
        <v>0</v>
      </c>
      <c r="S61" s="146">
        <f t="shared" si="4"/>
        <v>-12.594871794871795</v>
      </c>
      <c r="T61" s="20">
        <v>3</v>
      </c>
      <c r="U61" s="20"/>
      <c r="V61" s="143"/>
      <c r="W61" s="14">
        <f>+SUM('1:30'!W61)</f>
        <v>0</v>
      </c>
      <c r="X61" s="14">
        <f>+SUM('1:30'!X61)</f>
        <v>0</v>
      </c>
      <c r="Y61" s="14">
        <f>+SUM('1:30'!Y61)</f>
        <v>0</v>
      </c>
      <c r="Z61" s="14">
        <f>+SUM('1:30'!Z61)</f>
        <v>0</v>
      </c>
      <c r="AA61" s="14">
        <f>+SUM('1:30'!AA61)</f>
        <v>0</v>
      </c>
      <c r="AB61" s="14">
        <f>+SUM('1:30'!AB61)</f>
        <v>0</v>
      </c>
      <c r="AC61" s="14">
        <f>+SUM('1:30'!AC61)</f>
        <v>0</v>
      </c>
    </row>
    <row r="62" spans="1:29" ht="21.95" customHeight="1">
      <c r="A62" s="142">
        <v>300149</v>
      </c>
      <c r="B62" s="135" t="s">
        <v>67</v>
      </c>
      <c r="C62" s="248" t="s">
        <v>81</v>
      </c>
      <c r="D62" s="248" t="s">
        <v>82</v>
      </c>
      <c r="E62" s="148" t="s">
        <v>80</v>
      </c>
      <c r="F62" s="13"/>
      <c r="G62" s="14">
        <f>+SUM('1:30'!G62)</f>
        <v>10.7</v>
      </c>
      <c r="H62" s="14">
        <f>+SUM('1:30'!H62)</f>
        <v>0.7</v>
      </c>
      <c r="I62" s="14">
        <f>+SUM('1:30'!I62)</f>
        <v>10.7</v>
      </c>
      <c r="J62" s="14">
        <f>+SUM('1:30'!J62)</f>
        <v>500</v>
      </c>
      <c r="K62" s="146">
        <f t="shared" si="0"/>
        <v>6303.37</v>
      </c>
      <c r="L62" s="146">
        <f t="shared" si="1"/>
        <v>6303.37</v>
      </c>
      <c r="M62" s="146">
        <v>589.1</v>
      </c>
      <c r="N62" s="146">
        <f>+M62*1000/(67.1*10*13*60)*T62</f>
        <v>3.3767052619511633</v>
      </c>
      <c r="O62" s="14">
        <f>+SUM('1:30'!O62)</f>
        <v>0.5</v>
      </c>
      <c r="P62" s="146">
        <f t="shared" si="2"/>
        <v>36.130746302877448</v>
      </c>
      <c r="Q62" s="14">
        <f>+SUM('1:30'!Q62)</f>
        <v>18</v>
      </c>
      <c r="R62" s="19">
        <f t="shared" si="3"/>
        <v>0</v>
      </c>
      <c r="S62" s="146">
        <f t="shared" si="4"/>
        <v>-36.130746302877448</v>
      </c>
      <c r="T62" s="20">
        <v>3</v>
      </c>
      <c r="U62" s="20"/>
      <c r="V62" s="143">
        <f t="array" ref="V62">IF(ISERROR(L62/K62),"",L62/K62)</f>
        <v>1</v>
      </c>
      <c r="W62" s="14">
        <f>+SUM('1:30'!W62)</f>
        <v>0</v>
      </c>
      <c r="X62" s="14">
        <f>+SUM('1:30'!X62)</f>
        <v>0</v>
      </c>
      <c r="Y62" s="14">
        <f>+SUM('1:30'!Y62)</f>
        <v>0</v>
      </c>
      <c r="Z62" s="14">
        <f>+SUM('1:30'!Z62)</f>
        <v>0</v>
      </c>
      <c r="AA62" s="14">
        <f>+SUM('1:30'!AA62)</f>
        <v>0</v>
      </c>
      <c r="AB62" s="14">
        <f>+SUM('1:30'!AB62)</f>
        <v>0</v>
      </c>
      <c r="AC62" s="14">
        <f>+SUM('1:30'!AC62)</f>
        <v>0</v>
      </c>
    </row>
    <row r="63" spans="1:29" ht="21.95" customHeight="1">
      <c r="A63" s="142">
        <v>300150</v>
      </c>
      <c r="B63" s="135" t="s">
        <v>67</v>
      </c>
      <c r="C63" s="248" t="s">
        <v>81</v>
      </c>
      <c r="D63" s="248" t="s">
        <v>82</v>
      </c>
      <c r="E63" s="148" t="s">
        <v>54</v>
      </c>
      <c r="F63" s="13"/>
      <c r="G63" s="14">
        <f>+SUM('1:30'!G63)</f>
        <v>11</v>
      </c>
      <c r="H63" s="14">
        <f>+SUM('1:30'!H63)</f>
        <v>0.4</v>
      </c>
      <c r="I63" s="14">
        <f>+SUM('1:30'!I63)</f>
        <v>11.24</v>
      </c>
      <c r="J63" s="14">
        <f>+SUM('1:30'!J63)</f>
        <v>80</v>
      </c>
      <c r="K63" s="146">
        <f t="shared" si="0"/>
        <v>6480.1</v>
      </c>
      <c r="L63" s="146">
        <f t="shared" si="1"/>
        <v>6621.4840000000004</v>
      </c>
      <c r="M63" s="146">
        <v>589.1</v>
      </c>
      <c r="N63" s="146">
        <f>+M63*1000/(67.1*10*13*60)*T63</f>
        <v>3.3767052619511633</v>
      </c>
      <c r="O63" s="14">
        <f>+SUM('1:30'!O63)</f>
        <v>0</v>
      </c>
      <c r="P63" s="146">
        <f t="shared" si="2"/>
        <v>37.954167144331073</v>
      </c>
      <c r="Q63" s="14">
        <f>+SUM('1:30'!Q63)</f>
        <v>12</v>
      </c>
      <c r="R63" s="19">
        <f t="shared" si="3"/>
        <v>0</v>
      </c>
      <c r="S63" s="146">
        <f t="shared" si="4"/>
        <v>-37.954167144331073</v>
      </c>
      <c r="T63" s="20">
        <v>3</v>
      </c>
      <c r="U63" s="20"/>
      <c r="V63" s="143">
        <f t="array" ref="V63">IF(ISERROR(L63/K63),"",L63/K63)</f>
        <v>1.0218181818181817</v>
      </c>
      <c r="W63" s="14">
        <f>+SUM('1:30'!W63)</f>
        <v>0</v>
      </c>
      <c r="X63" s="14">
        <f>+SUM('1:30'!X63)</f>
        <v>4.666666666666667</v>
      </c>
      <c r="Y63" s="14">
        <f>+SUM('1:30'!Y63)</f>
        <v>0</v>
      </c>
      <c r="Z63" s="14">
        <f>+SUM('1:30'!Z63)</f>
        <v>0</v>
      </c>
      <c r="AA63" s="14">
        <f>+SUM('1:30'!AA63)</f>
        <v>2</v>
      </c>
      <c r="AB63" s="14">
        <f>+SUM('1:30'!AB63)</f>
        <v>0</v>
      </c>
      <c r="AC63" s="14">
        <f>+SUM('1:30'!AC63)</f>
        <v>0</v>
      </c>
    </row>
    <row r="64" spans="1:29" ht="21.95" customHeight="1">
      <c r="A64" s="142">
        <v>300330</v>
      </c>
      <c r="B64" s="135" t="s">
        <v>67</v>
      </c>
      <c r="C64" s="259" t="s">
        <v>83</v>
      </c>
      <c r="D64" s="260"/>
      <c r="E64" s="148" t="s">
        <v>84</v>
      </c>
      <c r="F64" s="13"/>
      <c r="G64" s="14">
        <f>+SUM('1:30'!G64)</f>
        <v>0</v>
      </c>
      <c r="H64" s="14">
        <f>+SUM('1:30'!H64)</f>
        <v>0</v>
      </c>
      <c r="I64" s="14">
        <f>+SUM('1:30'!I64)</f>
        <v>0</v>
      </c>
      <c r="J64" s="14">
        <f>+SUM('1:30'!J64)</f>
        <v>0</v>
      </c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">
        <f>+SUM('1:30'!O64)</f>
        <v>0</v>
      </c>
      <c r="P64" s="146">
        <f t="shared" si="2"/>
        <v>0</v>
      </c>
      <c r="Q64" s="14">
        <f>+SUM('1:30'!Q64)</f>
        <v>0</v>
      </c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14">
        <f>+SUM('1:30'!W64)</f>
        <v>0</v>
      </c>
      <c r="X64" s="14">
        <f>+SUM('1:30'!X64)</f>
        <v>0</v>
      </c>
      <c r="Y64" s="14">
        <f>+SUM('1:30'!Y64)</f>
        <v>0</v>
      </c>
      <c r="Z64" s="14">
        <f>+SUM('1:30'!Z64)</f>
        <v>0</v>
      </c>
      <c r="AA64" s="14">
        <f>+SUM('1:30'!AA64)</f>
        <v>0</v>
      </c>
      <c r="AB64" s="14">
        <f>+SUM('1:30'!AB64)</f>
        <v>0</v>
      </c>
      <c r="AC64" s="14">
        <f>+SUM('1:30'!AC64)</f>
        <v>0</v>
      </c>
    </row>
    <row r="65" spans="1:29" ht="21.95" customHeight="1">
      <c r="A65" s="142">
        <v>300331</v>
      </c>
      <c r="B65" s="135" t="s">
        <v>67</v>
      </c>
      <c r="C65" s="259" t="s">
        <v>83</v>
      </c>
      <c r="D65" s="260"/>
      <c r="E65" s="148" t="s">
        <v>49</v>
      </c>
      <c r="F65" s="13"/>
      <c r="G65" s="14">
        <f>+SUM('1:30'!G65)</f>
        <v>0</v>
      </c>
      <c r="H65" s="14">
        <f>+SUM('1:30'!H65)</f>
        <v>0</v>
      </c>
      <c r="I65" s="14">
        <f>+SUM('1:30'!I65)</f>
        <v>0</v>
      </c>
      <c r="J65" s="14">
        <f>+SUM('1:30'!J65)</f>
        <v>0</v>
      </c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">
        <f>+SUM('1:30'!O65)</f>
        <v>0</v>
      </c>
      <c r="P65" s="146">
        <f t="shared" si="2"/>
        <v>0</v>
      </c>
      <c r="Q65" s="14">
        <f>+SUM('1:30'!Q65)</f>
        <v>0</v>
      </c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14">
        <f>+SUM('1:30'!W65)</f>
        <v>0</v>
      </c>
      <c r="X65" s="14">
        <f>+SUM('1:30'!X65)</f>
        <v>0</v>
      </c>
      <c r="Y65" s="14">
        <f>+SUM('1:30'!Y65)</f>
        <v>0</v>
      </c>
      <c r="Z65" s="14">
        <f>+SUM('1:30'!Z65)</f>
        <v>0</v>
      </c>
      <c r="AA65" s="14">
        <f>+SUM('1:30'!AA65)</f>
        <v>0</v>
      </c>
      <c r="AB65" s="14">
        <f>+SUM('1:30'!AB65)</f>
        <v>0</v>
      </c>
      <c r="AC65" s="14">
        <f>+SUM('1:30'!AC65)</f>
        <v>0</v>
      </c>
    </row>
    <row r="66" spans="1:29" ht="21.95" customHeight="1">
      <c r="A66" s="142">
        <v>300332</v>
      </c>
      <c r="B66" s="135" t="s">
        <v>67</v>
      </c>
      <c r="C66" s="259" t="s">
        <v>83</v>
      </c>
      <c r="D66" s="260"/>
      <c r="E66" s="148" t="s">
        <v>85</v>
      </c>
      <c r="F66" s="13"/>
      <c r="G66" s="14">
        <f>+SUM('1:30'!G66)</f>
        <v>0</v>
      </c>
      <c r="H66" s="14">
        <f>+SUM('1:30'!H66)</f>
        <v>0</v>
      </c>
      <c r="I66" s="14">
        <f>+SUM('1:30'!I66)</f>
        <v>0</v>
      </c>
      <c r="J66" s="14">
        <f>+SUM('1:30'!J66)</f>
        <v>0</v>
      </c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">
        <f>+SUM('1:30'!O66)</f>
        <v>0</v>
      </c>
      <c r="P66" s="146">
        <f t="shared" si="2"/>
        <v>0</v>
      </c>
      <c r="Q66" s="14">
        <f>+SUM('1:30'!Q66)</f>
        <v>0</v>
      </c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14">
        <f>+SUM('1:30'!W66)</f>
        <v>0</v>
      </c>
      <c r="X66" s="14">
        <f>+SUM('1:30'!X66)</f>
        <v>0</v>
      </c>
      <c r="Y66" s="14">
        <f>+SUM('1:30'!Y66)</f>
        <v>0</v>
      </c>
      <c r="Z66" s="14">
        <f>+SUM('1:30'!Z66)</f>
        <v>0</v>
      </c>
      <c r="AA66" s="14">
        <f>+SUM('1:30'!AA66)</f>
        <v>0</v>
      </c>
      <c r="AB66" s="14">
        <f>+SUM('1:30'!AB66)</f>
        <v>0</v>
      </c>
      <c r="AC66" s="14">
        <f>+SUM('1:30'!AC66)</f>
        <v>0</v>
      </c>
    </row>
    <row r="67" spans="1:29" ht="21.95" customHeight="1">
      <c r="A67" s="142">
        <v>300333</v>
      </c>
      <c r="B67" s="135" t="s">
        <v>67</v>
      </c>
      <c r="C67" s="259" t="s">
        <v>86</v>
      </c>
      <c r="D67" s="260"/>
      <c r="E67" s="148" t="s">
        <v>84</v>
      </c>
      <c r="F67" s="13"/>
      <c r="G67" s="14">
        <f>+SUM('1:30'!G67)</f>
        <v>0</v>
      </c>
      <c r="H67" s="14">
        <f>+SUM('1:30'!H67)</f>
        <v>0</v>
      </c>
      <c r="I67" s="14">
        <f>+SUM('1:30'!I67)</f>
        <v>0</v>
      </c>
      <c r="J67" s="14">
        <f>+SUM('1:30'!J67)</f>
        <v>0</v>
      </c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">
        <f>+SUM('1:30'!O67)</f>
        <v>0</v>
      </c>
      <c r="P67" s="146">
        <f t="shared" si="2"/>
        <v>0</v>
      </c>
      <c r="Q67" s="14">
        <f>+SUM('1:30'!Q67)</f>
        <v>0</v>
      </c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14">
        <f>+SUM('1:30'!W67)</f>
        <v>0</v>
      </c>
      <c r="X67" s="14">
        <f>+SUM('1:30'!X67)</f>
        <v>0</v>
      </c>
      <c r="Y67" s="14">
        <f>+SUM('1:30'!Y67)</f>
        <v>0</v>
      </c>
      <c r="Z67" s="14">
        <f>+SUM('1:30'!Z67)</f>
        <v>0</v>
      </c>
      <c r="AA67" s="14">
        <f>+SUM('1:30'!AA67)</f>
        <v>0</v>
      </c>
      <c r="AB67" s="14">
        <f>+SUM('1:30'!AB67)</f>
        <v>0</v>
      </c>
      <c r="AC67" s="14">
        <f>+SUM('1:30'!AC67)</f>
        <v>0</v>
      </c>
    </row>
    <row r="68" spans="1:29" ht="21.95" customHeight="1">
      <c r="A68" s="142">
        <v>300334</v>
      </c>
      <c r="B68" s="135" t="s">
        <v>67</v>
      </c>
      <c r="C68" s="259" t="s">
        <v>86</v>
      </c>
      <c r="D68" s="260"/>
      <c r="E68" s="148" t="s">
        <v>85</v>
      </c>
      <c r="F68" s="13"/>
      <c r="G68" s="14">
        <f>+SUM('1:30'!G68)</f>
        <v>0</v>
      </c>
      <c r="H68" s="14">
        <f>+SUM('1:30'!H68)</f>
        <v>0</v>
      </c>
      <c r="I68" s="14">
        <f>+SUM('1:30'!I68)</f>
        <v>0</v>
      </c>
      <c r="J68" s="14">
        <f>+SUM('1:30'!J68)</f>
        <v>0</v>
      </c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">
        <f>+SUM('1:30'!O68)</f>
        <v>0</v>
      </c>
      <c r="P68" s="146">
        <f t="shared" si="2"/>
        <v>0</v>
      </c>
      <c r="Q68" s="14">
        <f>+SUM('1:30'!Q68)</f>
        <v>0</v>
      </c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14">
        <f>+SUM('1:30'!W68)</f>
        <v>0</v>
      </c>
      <c r="X68" s="14">
        <f>+SUM('1:30'!X68)</f>
        <v>0</v>
      </c>
      <c r="Y68" s="14">
        <f>+SUM('1:30'!Y68)</f>
        <v>0</v>
      </c>
      <c r="Z68" s="14">
        <f>+SUM('1:30'!Z68)</f>
        <v>0</v>
      </c>
      <c r="AA68" s="14">
        <f>+SUM('1:30'!AA68)</f>
        <v>0</v>
      </c>
      <c r="AB68" s="14">
        <f>+SUM('1:30'!AB68)</f>
        <v>0</v>
      </c>
      <c r="AC68" s="14">
        <f>+SUM('1:30'!AC68)</f>
        <v>0</v>
      </c>
    </row>
    <row r="69" spans="1:29" ht="21.95" customHeight="1">
      <c r="A69" s="142">
        <v>300335</v>
      </c>
      <c r="B69" s="135" t="s">
        <v>67</v>
      </c>
      <c r="C69" s="259" t="s">
        <v>86</v>
      </c>
      <c r="D69" s="260"/>
      <c r="E69" s="148" t="s">
        <v>49</v>
      </c>
      <c r="F69" s="13"/>
      <c r="G69" s="14">
        <f>+SUM('1:30'!G69)</f>
        <v>0</v>
      </c>
      <c r="H69" s="14">
        <f>+SUM('1:30'!H69)</f>
        <v>0</v>
      </c>
      <c r="I69" s="14">
        <f>+SUM('1:30'!I69)</f>
        <v>0</v>
      </c>
      <c r="J69" s="14">
        <f>+SUM('1:30'!J69)</f>
        <v>0</v>
      </c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">
        <f>+SUM('1:30'!O69)</f>
        <v>0</v>
      </c>
      <c r="P69" s="146">
        <f t="shared" si="2"/>
        <v>0</v>
      </c>
      <c r="Q69" s="14">
        <f>+SUM('1:30'!Q69)</f>
        <v>0</v>
      </c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14">
        <f>+SUM('1:30'!W69)</f>
        <v>0</v>
      </c>
      <c r="X69" s="14">
        <f>+SUM('1:30'!X69)</f>
        <v>0</v>
      </c>
      <c r="Y69" s="14">
        <f>+SUM('1:30'!Y69)</f>
        <v>0</v>
      </c>
      <c r="Z69" s="14">
        <f>+SUM('1:30'!Z69)</f>
        <v>0</v>
      </c>
      <c r="AA69" s="14">
        <f>+SUM('1:30'!AA69)</f>
        <v>0</v>
      </c>
      <c r="AB69" s="14">
        <f>+SUM('1:30'!AB69)</f>
        <v>0</v>
      </c>
      <c r="AC69" s="14">
        <f>+SUM('1:30'!AC69)</f>
        <v>0</v>
      </c>
    </row>
    <row r="70" spans="1:29" ht="21.95" customHeight="1">
      <c r="A70" s="142">
        <v>300291</v>
      </c>
      <c r="B70" s="135" t="s">
        <v>87</v>
      </c>
      <c r="C70" s="248" t="s">
        <v>88</v>
      </c>
      <c r="D70" s="248" t="s">
        <v>89</v>
      </c>
      <c r="E70" s="148" t="s">
        <v>42</v>
      </c>
      <c r="F70" s="13"/>
      <c r="G70" s="14">
        <f>+SUM('1:30'!G70)</f>
        <v>0</v>
      </c>
      <c r="H70" s="14">
        <f>+SUM('1:30'!H70)</f>
        <v>0</v>
      </c>
      <c r="I70" s="14">
        <f>+SUM('1:30'!I70)</f>
        <v>0</v>
      </c>
      <c r="J70" s="14">
        <f>+SUM('1:30'!J70)</f>
        <v>0</v>
      </c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">
        <f>+SUM('1:30'!O70)</f>
        <v>0</v>
      </c>
      <c r="P70" s="146">
        <f t="shared" si="2"/>
        <v>0</v>
      </c>
      <c r="Q70" s="14">
        <f>+SUM('1:30'!Q70)</f>
        <v>0</v>
      </c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14">
        <f>+SUM('1:30'!W70)</f>
        <v>0</v>
      </c>
      <c r="X70" s="14">
        <f>+SUM('1:30'!X70)</f>
        <v>0</v>
      </c>
      <c r="Y70" s="14">
        <f>+SUM('1:30'!Y70)</f>
        <v>0</v>
      </c>
      <c r="Z70" s="14">
        <f>+SUM('1:30'!Z70)</f>
        <v>0</v>
      </c>
      <c r="AA70" s="14">
        <f>+SUM('1:30'!AA70)</f>
        <v>0</v>
      </c>
      <c r="AB70" s="14">
        <f>+SUM('1:30'!AB70)</f>
        <v>0</v>
      </c>
      <c r="AC70" s="14">
        <f>+SUM('1:30'!AC70)</f>
        <v>0</v>
      </c>
    </row>
    <row r="71" spans="1:29" ht="21.95" customHeight="1">
      <c r="A71" s="142">
        <v>300292</v>
      </c>
      <c r="B71" s="135" t="s">
        <v>87</v>
      </c>
      <c r="C71" s="248" t="s">
        <v>88</v>
      </c>
      <c r="D71" s="248" t="s">
        <v>89</v>
      </c>
      <c r="E71" s="148" t="s">
        <v>41</v>
      </c>
      <c r="F71" s="13"/>
      <c r="G71" s="14">
        <f>+SUM('1:30'!G71)</f>
        <v>0</v>
      </c>
      <c r="H71" s="14">
        <f>+SUM('1:30'!H71)</f>
        <v>0</v>
      </c>
      <c r="I71" s="14">
        <f>+SUM('1:30'!I71)</f>
        <v>0</v>
      </c>
      <c r="J71" s="14">
        <f>+SUM('1:30'!J71)</f>
        <v>0</v>
      </c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">
        <f>+SUM('1:30'!O71)</f>
        <v>0</v>
      </c>
      <c r="P71" s="146">
        <f t="shared" si="2"/>
        <v>0</v>
      </c>
      <c r="Q71" s="14">
        <f>+SUM('1:30'!Q71)</f>
        <v>0</v>
      </c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14">
        <f>+SUM('1:30'!W71)</f>
        <v>0</v>
      </c>
      <c r="X71" s="14">
        <f>+SUM('1:30'!X71)</f>
        <v>0</v>
      </c>
      <c r="Y71" s="14">
        <f>+SUM('1:30'!Y71)</f>
        <v>0</v>
      </c>
      <c r="Z71" s="14">
        <f>+SUM('1:30'!Z71)</f>
        <v>0</v>
      </c>
      <c r="AA71" s="14">
        <f>+SUM('1:30'!AA71)</f>
        <v>0</v>
      </c>
      <c r="AB71" s="14">
        <f>+SUM('1:30'!AB71)</f>
        <v>0</v>
      </c>
      <c r="AC71" s="14">
        <f>+SUM('1:30'!AC71)</f>
        <v>0</v>
      </c>
    </row>
    <row r="72" spans="1:29" ht="21.95" customHeight="1">
      <c r="A72" s="142">
        <v>300293</v>
      </c>
      <c r="B72" s="135" t="s">
        <v>87</v>
      </c>
      <c r="C72" s="248" t="s">
        <v>88</v>
      </c>
      <c r="D72" s="248" t="s">
        <v>89</v>
      </c>
      <c r="E72" s="148" t="s">
        <v>57</v>
      </c>
      <c r="F72" s="13"/>
      <c r="G72" s="14">
        <f>+SUM('1:30'!G72)</f>
        <v>0</v>
      </c>
      <c r="H72" s="14">
        <f>+SUM('1:30'!H72)</f>
        <v>0</v>
      </c>
      <c r="I72" s="14">
        <f>+SUM('1:30'!I72)</f>
        <v>0</v>
      </c>
      <c r="J72" s="14">
        <f>+SUM('1:30'!J72)</f>
        <v>0</v>
      </c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">
        <f>+SUM('1:30'!O72)</f>
        <v>0</v>
      </c>
      <c r="P72" s="146">
        <f t="shared" si="2"/>
        <v>0</v>
      </c>
      <c r="Q72" s="14">
        <f>+SUM('1:30'!Q72)</f>
        <v>0</v>
      </c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14">
        <f>+SUM('1:30'!W72)</f>
        <v>0</v>
      </c>
      <c r="X72" s="14">
        <f>+SUM('1:30'!X72)</f>
        <v>0</v>
      </c>
      <c r="Y72" s="14">
        <f>+SUM('1:30'!Y72)</f>
        <v>0</v>
      </c>
      <c r="Z72" s="14">
        <f>+SUM('1:30'!Z72)</f>
        <v>0</v>
      </c>
      <c r="AA72" s="14">
        <f>+SUM('1:30'!AA72)</f>
        <v>0</v>
      </c>
      <c r="AB72" s="14">
        <f>+SUM('1:30'!AB72)</f>
        <v>0</v>
      </c>
      <c r="AC72" s="14">
        <f>+SUM('1:30'!AC72)</f>
        <v>0</v>
      </c>
    </row>
    <row r="73" spans="1:29" ht="21.95" customHeight="1">
      <c r="A73" s="142">
        <v>300290</v>
      </c>
      <c r="B73" s="135" t="s">
        <v>87</v>
      </c>
      <c r="C73" s="248" t="s">
        <v>88</v>
      </c>
      <c r="D73" s="248" t="s">
        <v>89</v>
      </c>
      <c r="E73" s="148" t="s">
        <v>35</v>
      </c>
      <c r="F73" s="13"/>
      <c r="G73" s="14">
        <f>+SUM('1:30'!G73)</f>
        <v>0</v>
      </c>
      <c r="H73" s="14">
        <f>+SUM('1:30'!H73)</f>
        <v>0</v>
      </c>
      <c r="I73" s="14">
        <f>+SUM('1:30'!I73)</f>
        <v>0</v>
      </c>
      <c r="J73" s="14">
        <f>+SUM('1:30'!J73)</f>
        <v>0</v>
      </c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">
        <f>+SUM('1:30'!O73)</f>
        <v>0</v>
      </c>
      <c r="P73" s="146">
        <f t="shared" si="2"/>
        <v>0</v>
      </c>
      <c r="Q73" s="14">
        <f>+SUM('1:30'!Q73)</f>
        <v>0</v>
      </c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14">
        <f>+SUM('1:30'!W73)</f>
        <v>0</v>
      </c>
      <c r="X73" s="14">
        <f>+SUM('1:30'!X73)</f>
        <v>0</v>
      </c>
      <c r="Y73" s="14">
        <f>+SUM('1:30'!Y73)</f>
        <v>0</v>
      </c>
      <c r="Z73" s="14">
        <f>+SUM('1:30'!Z73)</f>
        <v>0</v>
      </c>
      <c r="AA73" s="14">
        <f>+SUM('1:30'!AA73)</f>
        <v>0</v>
      </c>
      <c r="AB73" s="14">
        <f>+SUM('1:30'!AB73)</f>
        <v>0</v>
      </c>
      <c r="AC73" s="14">
        <f>+SUM('1:30'!AC73)</f>
        <v>0</v>
      </c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4">
        <f>+SUM('1:30'!G74)</f>
        <v>4.63</v>
      </c>
      <c r="H74" s="14">
        <f>+SUM('1:30'!H74)</f>
        <v>0</v>
      </c>
      <c r="I74" s="14">
        <f>+SUM('1:30'!I74)</f>
        <v>4.625</v>
      </c>
      <c r="J74" s="14">
        <f>+SUM('1:30'!J74)</f>
        <v>150</v>
      </c>
      <c r="K74" s="28">
        <f t="shared" si="0"/>
        <v>1988.1219999999998</v>
      </c>
      <c r="L74" s="28">
        <f t="shared" si="1"/>
        <v>1985.9749999999999</v>
      </c>
      <c r="M74" s="28">
        <v>429.4</v>
      </c>
      <c r="N74" s="28">
        <f>+M74*1000/(47*1*110*60)*T74</f>
        <v>5.5370728562217923</v>
      </c>
      <c r="O74" s="14">
        <f>+SUM('1:30'!O74)</f>
        <v>1</v>
      </c>
      <c r="P74" s="28">
        <f t="shared" si="2"/>
        <v>25.608961960025791</v>
      </c>
      <c r="Q74" s="14">
        <f>+SUM('1:30'!Q74)</f>
        <v>5.5</v>
      </c>
      <c r="R74" s="29">
        <f t="shared" si="3"/>
        <v>0</v>
      </c>
      <c r="S74" s="28">
        <f t="shared" si="4"/>
        <v>-25.608961960025791</v>
      </c>
      <c r="T74" s="30">
        <v>4</v>
      </c>
      <c r="U74" s="30"/>
      <c r="V74" s="112">
        <f t="array" ref="V74">IF(ISERROR(L74/K74),"",L74/K74)</f>
        <v>0.9989200863930886</v>
      </c>
      <c r="W74" s="14">
        <f>+SUM('1:30'!W74)</f>
        <v>0</v>
      </c>
      <c r="X74" s="14">
        <f>+SUM('1:30'!X74)</f>
        <v>0</v>
      </c>
      <c r="Y74" s="14">
        <f>+SUM('1:30'!Y74)</f>
        <v>0</v>
      </c>
      <c r="Z74" s="14">
        <f>+SUM('1:30'!Z74)</f>
        <v>0</v>
      </c>
      <c r="AA74" s="14">
        <f>+SUM('1:30'!AA74)</f>
        <v>0</v>
      </c>
      <c r="AB74" s="14">
        <f>+SUM('1:30'!AB74)</f>
        <v>0</v>
      </c>
      <c r="AC74" s="14">
        <f>+SUM('1:30'!AC74)</f>
        <v>0</v>
      </c>
    </row>
    <row r="75" spans="1:29" ht="21.95" customHeight="1">
      <c r="A75" s="142">
        <v>300058</v>
      </c>
      <c r="B75" s="135" t="s">
        <v>87</v>
      </c>
      <c r="C75" s="248" t="s">
        <v>316</v>
      </c>
      <c r="D75" s="248" t="s">
        <v>89</v>
      </c>
      <c r="E75" s="148" t="s">
        <v>42</v>
      </c>
      <c r="F75" s="13"/>
      <c r="G75" s="14">
        <f>+SUM('1:30'!G75)</f>
        <v>13</v>
      </c>
      <c r="H75" s="14">
        <f>+SUM('1:30'!H75)</f>
        <v>0</v>
      </c>
      <c r="I75" s="14">
        <f>+SUM('1:30'!I75)</f>
        <v>13</v>
      </c>
      <c r="J75" s="14">
        <f>+SUM('1:30'!J75)</f>
        <v>0</v>
      </c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">
        <f>+SUM('1:30'!O75)</f>
        <v>0.5</v>
      </c>
      <c r="P75" s="146">
        <f t="shared" si="2"/>
        <v>64.131803471609302</v>
      </c>
      <c r="Q75" s="14">
        <f>+SUM('1:30'!Q75)</f>
        <v>7</v>
      </c>
      <c r="R75" s="19">
        <f t="shared" si="3"/>
        <v>0</v>
      </c>
      <c r="S75" s="146">
        <f t="shared" si="4"/>
        <v>-64.131803471609302</v>
      </c>
      <c r="T75" s="20">
        <v>4</v>
      </c>
      <c r="U75" s="20"/>
      <c r="V75" s="143">
        <f t="array" ref="V75">IF(ISERROR(L75/K75),"",L75/K75)</f>
        <v>1</v>
      </c>
      <c r="W75" s="14">
        <f>+SUM('1:30'!W75)</f>
        <v>0</v>
      </c>
      <c r="X75" s="14">
        <f>+SUM('1:30'!X75)</f>
        <v>0</v>
      </c>
      <c r="Y75" s="14">
        <f>+SUM('1:30'!Y75)</f>
        <v>0</v>
      </c>
      <c r="Z75" s="14">
        <f>+SUM('1:30'!Z75)</f>
        <v>0</v>
      </c>
      <c r="AA75" s="14">
        <f>+SUM('1:30'!AA75)</f>
        <v>0</v>
      </c>
      <c r="AB75" s="14">
        <f>+SUM('1:30'!AB75)</f>
        <v>0</v>
      </c>
      <c r="AC75" s="14">
        <f>+SUM('1:30'!AC75)</f>
        <v>0</v>
      </c>
    </row>
    <row r="76" spans="1:29" ht="21.95" customHeight="1">
      <c r="A76" s="142">
        <v>300061</v>
      </c>
      <c r="B76" s="135" t="s">
        <v>92</v>
      </c>
      <c r="C76" s="248" t="s">
        <v>317</v>
      </c>
      <c r="D76" s="248" t="s">
        <v>96</v>
      </c>
      <c r="E76" s="148" t="s">
        <v>41</v>
      </c>
      <c r="F76" s="13"/>
      <c r="G76" s="14">
        <f>+SUM('1:30'!G76)</f>
        <v>18.25</v>
      </c>
      <c r="H76" s="14">
        <f>+SUM('1:30'!H76)</f>
        <v>0.125</v>
      </c>
      <c r="I76" s="14">
        <f>+SUM('1:30'!I76)</f>
        <v>18.25</v>
      </c>
      <c r="J76" s="14">
        <f>+SUM('1:30'!J76)</f>
        <v>350</v>
      </c>
      <c r="K76" s="146">
        <f t="shared" si="0"/>
        <v>7635.7999999999993</v>
      </c>
      <c r="L76" s="146">
        <f t="shared" si="1"/>
        <v>7635.7999999999993</v>
      </c>
      <c r="M76" s="146">
        <v>418.4</v>
      </c>
      <c r="N76" s="146">
        <f>+M76*1000/(51*1*110*60)*T76</f>
        <v>4.9720736779560308</v>
      </c>
      <c r="O76" s="14">
        <f>+SUM('1:30'!O76)</f>
        <v>0.5</v>
      </c>
      <c r="P76" s="146">
        <f t="shared" si="2"/>
        <v>90.740344622697563</v>
      </c>
      <c r="Q76" s="14">
        <f>+SUM('1:30'!Q76)</f>
        <v>19</v>
      </c>
      <c r="R76" s="19">
        <f t="shared" si="3"/>
        <v>0</v>
      </c>
      <c r="S76" s="146">
        <f t="shared" si="4"/>
        <v>-90.740344622697563</v>
      </c>
      <c r="T76" s="20">
        <v>4</v>
      </c>
      <c r="U76" s="20"/>
      <c r="V76" s="143">
        <f t="array" ref="V76">IF(ISERROR(L76/K76),"",L76/K76)</f>
        <v>1</v>
      </c>
      <c r="W76" s="14">
        <f>+SUM('1:30'!W76)</f>
        <v>0</v>
      </c>
      <c r="X76" s="14">
        <f>+SUM('1:30'!X76)</f>
        <v>0</v>
      </c>
      <c r="Y76" s="14">
        <f>+SUM('1:30'!Y76)</f>
        <v>0</v>
      </c>
      <c r="Z76" s="14">
        <f>+SUM('1:30'!Z76)</f>
        <v>0</v>
      </c>
      <c r="AA76" s="14">
        <f>+SUM('1:30'!AA76)</f>
        <v>0</v>
      </c>
      <c r="AB76" s="14">
        <f>+SUM('1:30'!AB76)</f>
        <v>0</v>
      </c>
      <c r="AC76" s="14">
        <f>+SUM('1:30'!AC76)</f>
        <v>0</v>
      </c>
    </row>
    <row r="77" spans="1:29" ht="21.95" customHeight="1">
      <c r="A77" s="142">
        <v>300064</v>
      </c>
      <c r="B77" s="135">
        <v>5002</v>
      </c>
      <c r="C77" s="248" t="s">
        <v>317</v>
      </c>
      <c r="D77" s="248" t="s">
        <v>96</v>
      </c>
      <c r="E77" s="148" t="s">
        <v>35</v>
      </c>
      <c r="F77" s="13"/>
      <c r="G77" s="14">
        <f>+SUM('1:30'!G77)</f>
        <v>6</v>
      </c>
      <c r="H77" s="14">
        <f>+SUM('1:30'!H77)</f>
        <v>0</v>
      </c>
      <c r="I77" s="14">
        <f>+SUM('1:30'!I77)</f>
        <v>6</v>
      </c>
      <c r="J77" s="14">
        <f>+SUM('1:30'!J77)</f>
        <v>0</v>
      </c>
      <c r="K77" s="146">
        <f t="shared" ref="K77:K153" si="7">G77*M77</f>
        <v>2515.1999999999998</v>
      </c>
      <c r="L77" s="146">
        <f t="shared" ref="L77:L153" si="8">I77*M77</f>
        <v>2515.1999999999998</v>
      </c>
      <c r="M77" s="146">
        <v>419.2</v>
      </c>
      <c r="N77" s="146">
        <f>+M77*1000/(51.9*1*110*60)*T77</f>
        <v>4.8951947217843168</v>
      </c>
      <c r="O77" s="14">
        <f>+SUM('1:30'!O77)</f>
        <v>0.5</v>
      </c>
      <c r="P77" s="146">
        <f t="shared" ref="P77:P153" si="9">N77*I77+O77*U77</f>
        <v>29.371168330705899</v>
      </c>
      <c r="Q77" s="14">
        <f>+SUM('1:30'!Q77)</f>
        <v>6</v>
      </c>
      <c r="R77" s="19">
        <f t="shared" ref="R77:R153" si="10">Q77*U77</f>
        <v>0</v>
      </c>
      <c r="S77" s="146">
        <f t="shared" ref="S77:S153" si="11">R77-P77</f>
        <v>-29.371168330705899</v>
      </c>
      <c r="T77" s="20">
        <v>4</v>
      </c>
      <c r="U77" s="20"/>
      <c r="V77" s="143">
        <f t="array" ref="V77">IF(ISERROR(L77/K77),"",L77/K77)</f>
        <v>1</v>
      </c>
      <c r="W77" s="14">
        <f>+SUM('1:30'!W77)</f>
        <v>0</v>
      </c>
      <c r="X77" s="14">
        <f>+SUM('1:30'!X77)</f>
        <v>0</v>
      </c>
      <c r="Y77" s="14">
        <f>+SUM('1:30'!Y77)</f>
        <v>0</v>
      </c>
      <c r="Z77" s="14">
        <f>+SUM('1:30'!Z77)</f>
        <v>0</v>
      </c>
      <c r="AA77" s="14">
        <f>+SUM('1:30'!AA77)</f>
        <v>0</v>
      </c>
      <c r="AB77" s="14">
        <f>+SUM('1:30'!AB77)</f>
        <v>0</v>
      </c>
      <c r="AC77" s="14">
        <f>+SUM('1:30'!AC77)</f>
        <v>0</v>
      </c>
    </row>
    <row r="78" spans="1:29" ht="21.95" customHeight="1">
      <c r="A78" s="142">
        <v>300060</v>
      </c>
      <c r="B78" s="135" t="s">
        <v>87</v>
      </c>
      <c r="C78" s="248" t="s">
        <v>317</v>
      </c>
      <c r="D78" s="248" t="s">
        <v>96</v>
      </c>
      <c r="E78" s="148" t="s">
        <v>57</v>
      </c>
      <c r="F78" s="13"/>
      <c r="G78" s="14">
        <f>+SUM('1:30'!G78)</f>
        <v>25.130000000000003</v>
      </c>
      <c r="H78" s="14">
        <f>+SUM('1:30'!H78)</f>
        <v>0</v>
      </c>
      <c r="I78" s="14">
        <f>+SUM('1:30'!I78)</f>
        <v>25.125</v>
      </c>
      <c r="J78" s="14">
        <f>+SUM('1:30'!J78)</f>
        <v>350</v>
      </c>
      <c r="K78" s="146">
        <f t="shared" si="7"/>
        <v>10476.697</v>
      </c>
      <c r="L78" s="146">
        <f t="shared" si="8"/>
        <v>10474.612499999999</v>
      </c>
      <c r="M78" s="146">
        <v>416.9</v>
      </c>
      <c r="N78" s="146">
        <f>+M78*1000/(51*1*110*60)*T78</f>
        <v>4.9542483660130721</v>
      </c>
      <c r="O78" s="14">
        <f>+SUM('1:30'!O78)</f>
        <v>0.5</v>
      </c>
      <c r="P78" s="146">
        <f t="shared" si="9"/>
        <v>124.47549019607844</v>
      </c>
      <c r="Q78" s="14">
        <f>+SUM('1:30'!Q78)</f>
        <v>21</v>
      </c>
      <c r="R78" s="19">
        <f t="shared" si="10"/>
        <v>0</v>
      </c>
      <c r="S78" s="146">
        <f t="shared" si="11"/>
        <v>-124.47549019607844</v>
      </c>
      <c r="T78" s="20">
        <v>4</v>
      </c>
      <c r="U78" s="20"/>
      <c r="V78" s="143">
        <f t="array" ref="V78">IF(ISERROR(L78/K78),"",L78/K78)</f>
        <v>0.99980103461997605</v>
      </c>
      <c r="W78" s="14">
        <f>+SUM('1:30'!W78)</f>
        <v>0</v>
      </c>
      <c r="X78" s="14">
        <f>+SUM('1:30'!X78)</f>
        <v>0</v>
      </c>
      <c r="Y78" s="14">
        <f>+SUM('1:30'!Y78)</f>
        <v>0</v>
      </c>
      <c r="Z78" s="14">
        <f>+SUM('1:30'!Z78)</f>
        <v>0</v>
      </c>
      <c r="AA78" s="14">
        <f>+SUM('1:30'!AA78)</f>
        <v>0</v>
      </c>
      <c r="AB78" s="14">
        <f>+SUM('1:30'!AB78)</f>
        <v>0</v>
      </c>
      <c r="AC78" s="14">
        <f>+SUM('1:30'!AC78)</f>
        <v>0</v>
      </c>
    </row>
    <row r="79" spans="1:29" ht="21.95" customHeight="1">
      <c r="A79" s="142">
        <v>300068</v>
      </c>
      <c r="B79" s="135" t="s">
        <v>87</v>
      </c>
      <c r="C79" s="248" t="s">
        <v>98</v>
      </c>
      <c r="D79" s="248" t="s">
        <v>99</v>
      </c>
      <c r="E79" s="148" t="s">
        <v>37</v>
      </c>
      <c r="F79" s="13"/>
      <c r="G79" s="14">
        <f>+SUM('1:30'!G79)</f>
        <v>9</v>
      </c>
      <c r="H79" s="14">
        <f>+SUM('1:30'!H79)</f>
        <v>0</v>
      </c>
      <c r="I79" s="14">
        <f>+SUM('1:30'!I79)</f>
        <v>9</v>
      </c>
      <c r="J79" s="14">
        <f>+SUM('1:30'!J79)</f>
        <v>0</v>
      </c>
      <c r="K79" s="146">
        <f t="shared" si="7"/>
        <v>3945.6</v>
      </c>
      <c r="L79" s="146">
        <f t="shared" si="8"/>
        <v>3945.6</v>
      </c>
      <c r="M79" s="146">
        <v>438.4</v>
      </c>
      <c r="N79" s="146">
        <f>+M79*1000/(50*1*120*60)*T79</f>
        <v>4.8711111111111114</v>
      </c>
      <c r="O79" s="14">
        <f>+SUM('1:30'!O79)</f>
        <v>0</v>
      </c>
      <c r="P79" s="146">
        <f t="shared" si="9"/>
        <v>43.84</v>
      </c>
      <c r="Q79" s="14">
        <f>+SUM('1:30'!Q79)</f>
        <v>11</v>
      </c>
      <c r="R79" s="19">
        <f t="shared" si="10"/>
        <v>0</v>
      </c>
      <c r="S79" s="146">
        <f t="shared" si="11"/>
        <v>-43.84</v>
      </c>
      <c r="T79" s="20">
        <v>4</v>
      </c>
      <c r="U79" s="20"/>
      <c r="V79" s="143">
        <f t="array" ref="V79">IF(ISERROR(L79/K79),"",L79/K79)</f>
        <v>1</v>
      </c>
      <c r="W79" s="14">
        <f>+SUM('1:30'!W79)</f>
        <v>0</v>
      </c>
      <c r="X79" s="14">
        <f>+SUM('1:30'!X79)</f>
        <v>0</v>
      </c>
      <c r="Y79" s="14">
        <f>+SUM('1:30'!Y79)</f>
        <v>0</v>
      </c>
      <c r="Z79" s="14">
        <f>+SUM('1:30'!Z79)</f>
        <v>0</v>
      </c>
      <c r="AA79" s="14">
        <f>+SUM('1:30'!AA79)</f>
        <v>0</v>
      </c>
      <c r="AB79" s="14">
        <f>+SUM('1:30'!AB79)</f>
        <v>0</v>
      </c>
      <c r="AC79" s="14">
        <f>+SUM('1:30'!AC79)</f>
        <v>0</v>
      </c>
    </row>
    <row r="80" spans="1:29" ht="21.95" customHeight="1">
      <c r="A80" s="142">
        <v>300065</v>
      </c>
      <c r="B80" s="135" t="s">
        <v>87</v>
      </c>
      <c r="C80" s="248" t="s">
        <v>98</v>
      </c>
      <c r="D80" s="248" t="s">
        <v>99</v>
      </c>
      <c r="E80" s="148" t="s">
        <v>35</v>
      </c>
      <c r="F80" s="13"/>
      <c r="G80" s="14">
        <f>+SUM('1:30'!G80)</f>
        <v>0</v>
      </c>
      <c r="H80" s="14">
        <f>+SUM('1:30'!H80)</f>
        <v>0</v>
      </c>
      <c r="I80" s="14">
        <f>+SUM('1:30'!I80)</f>
        <v>0</v>
      </c>
      <c r="J80" s="14">
        <f>+SUM('1:30'!J80)</f>
        <v>0</v>
      </c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">
        <f>+SUM('1:30'!O80)</f>
        <v>0</v>
      </c>
      <c r="P80" s="146">
        <f t="shared" si="9"/>
        <v>0</v>
      </c>
      <c r="Q80" s="14">
        <f>+SUM('1:30'!Q80)</f>
        <v>0</v>
      </c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14">
        <f>+SUM('1:30'!W80)</f>
        <v>0</v>
      </c>
      <c r="X80" s="14">
        <f>+SUM('1:30'!X80)</f>
        <v>0</v>
      </c>
      <c r="Y80" s="14">
        <f>+SUM('1:30'!Y80)</f>
        <v>0</v>
      </c>
      <c r="Z80" s="14">
        <f>+SUM('1:30'!Z80)</f>
        <v>0</v>
      </c>
      <c r="AA80" s="14">
        <f>+SUM('1:30'!AA80)</f>
        <v>0</v>
      </c>
      <c r="AB80" s="14">
        <f>+SUM('1:30'!AB80)</f>
        <v>0</v>
      </c>
      <c r="AC80" s="14">
        <f>+SUM('1:30'!AC80)</f>
        <v>0</v>
      </c>
    </row>
    <row r="81" spans="1:29" ht="21.95" customHeight="1">
      <c r="A81" s="142">
        <v>300066</v>
      </c>
      <c r="B81" s="135" t="s">
        <v>87</v>
      </c>
      <c r="C81" s="248" t="s">
        <v>98</v>
      </c>
      <c r="D81" s="248" t="s">
        <v>99</v>
      </c>
      <c r="E81" s="148" t="s">
        <v>66</v>
      </c>
      <c r="F81" s="13"/>
      <c r="G81" s="14">
        <f>+SUM('1:30'!G81)</f>
        <v>0</v>
      </c>
      <c r="H81" s="14">
        <f>+SUM('1:30'!H81)</f>
        <v>0</v>
      </c>
      <c r="I81" s="14">
        <f>+SUM('1:30'!I81)</f>
        <v>0</v>
      </c>
      <c r="J81" s="14">
        <f>+SUM('1:30'!J81)</f>
        <v>0</v>
      </c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">
        <f>+SUM('1:30'!O81)</f>
        <v>0</v>
      </c>
      <c r="P81" s="146">
        <f t="shared" si="9"/>
        <v>0</v>
      </c>
      <c r="Q81" s="14">
        <f>+SUM('1:30'!Q81)</f>
        <v>0</v>
      </c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14">
        <f>+SUM('1:30'!W81)</f>
        <v>0</v>
      </c>
      <c r="X81" s="14">
        <f>+SUM('1:30'!X81)</f>
        <v>0</v>
      </c>
      <c r="Y81" s="14">
        <f>+SUM('1:30'!Y81)</f>
        <v>0</v>
      </c>
      <c r="Z81" s="14">
        <f>+SUM('1:30'!Z81)</f>
        <v>0</v>
      </c>
      <c r="AA81" s="14">
        <f>+SUM('1:30'!AA81)</f>
        <v>0</v>
      </c>
      <c r="AB81" s="14">
        <f>+SUM('1:30'!AB81)</f>
        <v>0</v>
      </c>
      <c r="AC81" s="14">
        <f>+SUM('1:30'!AC81)</f>
        <v>0</v>
      </c>
    </row>
    <row r="82" spans="1:29" ht="21.95" customHeight="1">
      <c r="A82" s="142">
        <v>300067</v>
      </c>
      <c r="B82" s="135" t="s">
        <v>87</v>
      </c>
      <c r="C82" s="248" t="s">
        <v>98</v>
      </c>
      <c r="D82" s="248" t="s">
        <v>99</v>
      </c>
      <c r="E82" s="148" t="s">
        <v>41</v>
      </c>
      <c r="F82" s="13"/>
      <c r="G82" s="14">
        <f>+SUM('1:30'!G82)</f>
        <v>7</v>
      </c>
      <c r="H82" s="14">
        <f>+SUM('1:30'!H82)</f>
        <v>0</v>
      </c>
      <c r="I82" s="14">
        <f>+SUM('1:30'!I82)</f>
        <v>6.75</v>
      </c>
      <c r="J82" s="14">
        <f>+SUM('1:30'!J82)</f>
        <v>100</v>
      </c>
      <c r="K82" s="146">
        <f t="shared" si="7"/>
        <v>3071.6</v>
      </c>
      <c r="L82" s="146">
        <f t="shared" si="8"/>
        <v>2961.9</v>
      </c>
      <c r="M82" s="146">
        <v>438.8</v>
      </c>
      <c r="N82" s="146">
        <f>+M82*1000/(50*1*120*60)*T82</f>
        <v>4.8755555555555556</v>
      </c>
      <c r="O82" s="14">
        <f>+SUM('1:30'!O82)</f>
        <v>0</v>
      </c>
      <c r="P82" s="146">
        <f t="shared" si="9"/>
        <v>32.910000000000004</v>
      </c>
      <c r="Q82" s="14">
        <f>+SUM('1:30'!Q82)</f>
        <v>8</v>
      </c>
      <c r="R82" s="19">
        <f t="shared" si="10"/>
        <v>0</v>
      </c>
      <c r="S82" s="146">
        <f t="shared" si="11"/>
        <v>-32.910000000000004</v>
      </c>
      <c r="T82" s="20">
        <v>4</v>
      </c>
      <c r="U82" s="20"/>
      <c r="V82" s="143">
        <f t="array" ref="V82">IF(ISERROR(L82/K82),"",L82/K82)</f>
        <v>0.9642857142857143</v>
      </c>
      <c r="W82" s="14">
        <f>+SUM('1:30'!W82)</f>
        <v>0</v>
      </c>
      <c r="X82" s="14">
        <f>+SUM('1:30'!X82)</f>
        <v>0</v>
      </c>
      <c r="Y82" s="14">
        <f>+SUM('1:30'!Y82)</f>
        <v>0</v>
      </c>
      <c r="Z82" s="14">
        <f>+SUM('1:30'!Z82)</f>
        <v>0</v>
      </c>
      <c r="AA82" s="14">
        <f>+SUM('1:30'!AA82)</f>
        <v>2</v>
      </c>
      <c r="AB82" s="14">
        <f>+SUM('1:30'!AB82)</f>
        <v>0</v>
      </c>
      <c r="AC82" s="14">
        <f>+SUM('1:30'!AC82)</f>
        <v>0</v>
      </c>
    </row>
    <row r="83" spans="1:29" s="132" customFormat="1" ht="21.95" customHeight="1">
      <c r="A83" s="126">
        <v>300437</v>
      </c>
      <c r="B83" s="138" t="s">
        <v>87</v>
      </c>
      <c r="C83" s="261" t="s">
        <v>98</v>
      </c>
      <c r="D83" s="261" t="s">
        <v>99</v>
      </c>
      <c r="E83" s="42" t="s">
        <v>310</v>
      </c>
      <c r="F83" s="127"/>
      <c r="G83" s="14">
        <f>+SUM('1:30'!G83)</f>
        <v>0</v>
      </c>
      <c r="H83" s="14">
        <f>+SUM('1:30'!H83)</f>
        <v>0</v>
      </c>
      <c r="I83" s="14">
        <f>+SUM('1:30'!I83)</f>
        <v>0</v>
      </c>
      <c r="J83" s="14">
        <f>+SUM('1:30'!J83)</f>
        <v>0</v>
      </c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4">
        <f>+SUM('1:30'!O83)</f>
        <v>0</v>
      </c>
      <c r="P83" s="15">
        <f t="shared" si="9"/>
        <v>0</v>
      </c>
      <c r="Q83" s="14">
        <f>+SUM('1:30'!Q83)</f>
        <v>0</v>
      </c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4">
        <f>+SUM('1:30'!W83)</f>
        <v>0</v>
      </c>
      <c r="X83" s="14">
        <f>+SUM('1:30'!X83)</f>
        <v>0</v>
      </c>
      <c r="Y83" s="14">
        <f>+SUM('1:30'!Y83)</f>
        <v>0</v>
      </c>
      <c r="Z83" s="14">
        <f>+SUM('1:30'!Z83)</f>
        <v>0</v>
      </c>
      <c r="AA83" s="14">
        <f>+SUM('1:30'!AA83)</f>
        <v>0</v>
      </c>
      <c r="AB83" s="14">
        <f>+SUM('1:30'!AB83)</f>
        <v>0</v>
      </c>
      <c r="AC83" s="14">
        <f>+SUM('1:30'!AC83)</f>
        <v>0</v>
      </c>
    </row>
    <row r="84" spans="1:29" s="2" customFormat="1" ht="21.95" customHeight="1">
      <c r="A84" s="142">
        <v>300384</v>
      </c>
      <c r="B84" s="135" t="s">
        <v>87</v>
      </c>
      <c r="C84" s="248" t="s">
        <v>100</v>
      </c>
      <c r="D84" s="248" t="s">
        <v>101</v>
      </c>
      <c r="E84" s="148" t="s">
        <v>35</v>
      </c>
      <c r="F84" s="147"/>
      <c r="G84" s="14">
        <f>+SUM('1:30'!G84)</f>
        <v>0</v>
      </c>
      <c r="H84" s="14">
        <f>+SUM('1:30'!H84)</f>
        <v>0</v>
      </c>
      <c r="I84" s="14">
        <f>+SUM('1:30'!I84)</f>
        <v>0</v>
      </c>
      <c r="J84" s="14">
        <f>+SUM('1:30'!J84)</f>
        <v>0</v>
      </c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">
        <f>+SUM('1:30'!O84)</f>
        <v>0</v>
      </c>
      <c r="P84" s="146">
        <f t="shared" si="9"/>
        <v>0</v>
      </c>
      <c r="Q84" s="14">
        <f>+SUM('1:30'!Q84)</f>
        <v>0</v>
      </c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14">
        <f>+SUM('1:30'!W84)</f>
        <v>0</v>
      </c>
      <c r="X84" s="14">
        <f>+SUM('1:30'!X84)</f>
        <v>0</v>
      </c>
      <c r="Y84" s="14">
        <f>+SUM('1:30'!Y84)</f>
        <v>0</v>
      </c>
      <c r="Z84" s="14">
        <f>+SUM('1:30'!Z84)</f>
        <v>0</v>
      </c>
      <c r="AA84" s="14">
        <f>+SUM('1:30'!AA84)</f>
        <v>0</v>
      </c>
      <c r="AB84" s="14">
        <f>+SUM('1:30'!AB84)</f>
        <v>0</v>
      </c>
      <c r="AC84" s="14">
        <f>+SUM('1:30'!AC84)</f>
        <v>0</v>
      </c>
    </row>
    <row r="85" spans="1:29" s="2" customFormat="1" ht="21.95" customHeight="1">
      <c r="A85" s="142">
        <v>300383</v>
      </c>
      <c r="B85" s="135" t="s">
        <v>87</v>
      </c>
      <c r="C85" s="248" t="s">
        <v>100</v>
      </c>
      <c r="D85" s="248" t="s">
        <v>102</v>
      </c>
      <c r="E85" s="148" t="s">
        <v>41</v>
      </c>
      <c r="F85" s="147"/>
      <c r="G85" s="14">
        <f>+SUM('1:30'!G85)</f>
        <v>0</v>
      </c>
      <c r="H85" s="14">
        <f>+SUM('1:30'!H85)</f>
        <v>0</v>
      </c>
      <c r="I85" s="14">
        <f>+SUM('1:30'!I85)</f>
        <v>0</v>
      </c>
      <c r="J85" s="14">
        <f>+SUM('1:30'!J85)</f>
        <v>0</v>
      </c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">
        <f>+SUM('1:30'!O85)</f>
        <v>0</v>
      </c>
      <c r="P85" s="146">
        <f t="shared" si="9"/>
        <v>0</v>
      </c>
      <c r="Q85" s="14">
        <f>+SUM('1:30'!Q85)</f>
        <v>0</v>
      </c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14">
        <f>+SUM('1:30'!W85)</f>
        <v>0</v>
      </c>
      <c r="X85" s="14">
        <f>+SUM('1:30'!X85)</f>
        <v>0</v>
      </c>
      <c r="Y85" s="14">
        <f>+SUM('1:30'!Y85)</f>
        <v>0</v>
      </c>
      <c r="Z85" s="14">
        <f>+SUM('1:30'!Z85)</f>
        <v>0</v>
      </c>
      <c r="AA85" s="14">
        <f>+SUM('1:30'!AA85)</f>
        <v>0</v>
      </c>
      <c r="AB85" s="14">
        <f>+SUM('1:30'!AB85)</f>
        <v>0</v>
      </c>
      <c r="AC85" s="14">
        <f>+SUM('1:30'!AC85)</f>
        <v>0</v>
      </c>
    </row>
    <row r="86" spans="1:29" s="2" customFormat="1" ht="21.95" customHeight="1">
      <c r="A86" s="142">
        <v>300386</v>
      </c>
      <c r="B86" s="135" t="s">
        <v>87</v>
      </c>
      <c r="C86" s="248" t="s">
        <v>100</v>
      </c>
      <c r="D86" s="248" t="s">
        <v>103</v>
      </c>
      <c r="E86" s="148" t="s">
        <v>66</v>
      </c>
      <c r="F86" s="147"/>
      <c r="G86" s="14">
        <f>+SUM('1:30'!G86)</f>
        <v>0</v>
      </c>
      <c r="H86" s="14">
        <f>+SUM('1:30'!H86)</f>
        <v>0</v>
      </c>
      <c r="I86" s="14">
        <f>+SUM('1:30'!I86)</f>
        <v>0</v>
      </c>
      <c r="J86" s="14">
        <f>+SUM('1:30'!J86)</f>
        <v>0</v>
      </c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">
        <f>+SUM('1:30'!O86)</f>
        <v>0</v>
      </c>
      <c r="P86" s="146">
        <f t="shared" si="9"/>
        <v>0</v>
      </c>
      <c r="Q86" s="14">
        <f>+SUM('1:30'!Q86)</f>
        <v>0</v>
      </c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14">
        <f>+SUM('1:30'!W86)</f>
        <v>0</v>
      </c>
      <c r="X86" s="14">
        <f>+SUM('1:30'!X86)</f>
        <v>0</v>
      </c>
      <c r="Y86" s="14">
        <f>+SUM('1:30'!Y86)</f>
        <v>0</v>
      </c>
      <c r="Z86" s="14">
        <f>+SUM('1:30'!Z86)</f>
        <v>0</v>
      </c>
      <c r="AA86" s="14">
        <f>+SUM('1:30'!AA86)</f>
        <v>0</v>
      </c>
      <c r="AB86" s="14">
        <f>+SUM('1:30'!AB86)</f>
        <v>0</v>
      </c>
      <c r="AC86" s="14">
        <f>+SUM('1:30'!AC86)</f>
        <v>0</v>
      </c>
    </row>
    <row r="87" spans="1:29" s="2" customFormat="1" ht="21.95" customHeight="1">
      <c r="A87" s="142">
        <v>300385</v>
      </c>
      <c r="B87" s="135" t="s">
        <v>87</v>
      </c>
      <c r="C87" s="248" t="s">
        <v>100</v>
      </c>
      <c r="D87" s="248" t="s">
        <v>104</v>
      </c>
      <c r="E87" s="148" t="s">
        <v>105</v>
      </c>
      <c r="F87" s="147"/>
      <c r="G87" s="14">
        <f>+SUM('1:30'!G87)</f>
        <v>0</v>
      </c>
      <c r="H87" s="14">
        <f>+SUM('1:30'!H87)</f>
        <v>0</v>
      </c>
      <c r="I87" s="14">
        <f>+SUM('1:30'!I87)</f>
        <v>0</v>
      </c>
      <c r="J87" s="14">
        <f>+SUM('1:30'!J87)</f>
        <v>0</v>
      </c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">
        <f>+SUM('1:30'!O87)</f>
        <v>0</v>
      </c>
      <c r="P87" s="146">
        <f t="shared" si="9"/>
        <v>0</v>
      </c>
      <c r="Q87" s="14">
        <f>+SUM('1:30'!Q87)</f>
        <v>0</v>
      </c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14">
        <f>+SUM('1:30'!W87)</f>
        <v>0</v>
      </c>
      <c r="X87" s="14">
        <f>+SUM('1:30'!X87)</f>
        <v>0</v>
      </c>
      <c r="Y87" s="14">
        <f>+SUM('1:30'!Y87)</f>
        <v>0</v>
      </c>
      <c r="Z87" s="14">
        <f>+SUM('1:30'!Z87)</f>
        <v>0</v>
      </c>
      <c r="AA87" s="14">
        <f>+SUM('1:30'!AA87)</f>
        <v>0</v>
      </c>
      <c r="AB87" s="14">
        <f>+SUM('1:30'!AB87)</f>
        <v>0</v>
      </c>
      <c r="AC87" s="14">
        <f>+SUM('1:30'!AC87)</f>
        <v>0</v>
      </c>
    </row>
    <row r="88" spans="1:29" ht="21.95" customHeight="1">
      <c r="A88" s="142">
        <v>300352</v>
      </c>
      <c r="B88" s="135" t="s">
        <v>87</v>
      </c>
      <c r="C88" s="248" t="s">
        <v>106</v>
      </c>
      <c r="D88" s="248" t="s">
        <v>101</v>
      </c>
      <c r="E88" s="148" t="s">
        <v>35</v>
      </c>
      <c r="F88" s="13"/>
      <c r="G88" s="14">
        <f>+SUM('1:30'!G88)</f>
        <v>0</v>
      </c>
      <c r="H88" s="14">
        <f>+SUM('1:30'!H88)</f>
        <v>0</v>
      </c>
      <c r="I88" s="14">
        <f>+SUM('1:30'!I88)</f>
        <v>0</v>
      </c>
      <c r="J88" s="14">
        <f>+SUM('1:30'!J88)</f>
        <v>0</v>
      </c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">
        <f>+SUM('1:30'!O88)</f>
        <v>0</v>
      </c>
      <c r="P88" s="146">
        <f t="shared" si="9"/>
        <v>0</v>
      </c>
      <c r="Q88" s="14">
        <f>+SUM('1:30'!Q88)</f>
        <v>0</v>
      </c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14">
        <f>+SUM('1:30'!W88)</f>
        <v>0</v>
      </c>
      <c r="X88" s="14">
        <f>+SUM('1:30'!X88)</f>
        <v>0</v>
      </c>
      <c r="Y88" s="14">
        <f>+SUM('1:30'!Y88)</f>
        <v>0</v>
      </c>
      <c r="Z88" s="14">
        <f>+SUM('1:30'!Z88)</f>
        <v>0</v>
      </c>
      <c r="AA88" s="14">
        <f>+SUM('1:30'!AA88)</f>
        <v>0</v>
      </c>
      <c r="AB88" s="14">
        <f>+SUM('1:30'!AB88)</f>
        <v>0</v>
      </c>
      <c r="AC88" s="14">
        <f>+SUM('1:30'!AC88)</f>
        <v>0</v>
      </c>
    </row>
    <row r="89" spans="1:29" ht="21.95" customHeight="1">
      <c r="A89" s="142">
        <v>300353</v>
      </c>
      <c r="B89" s="135" t="s">
        <v>87</v>
      </c>
      <c r="C89" s="248" t="s">
        <v>106</v>
      </c>
      <c r="D89" s="248" t="s">
        <v>101</v>
      </c>
      <c r="E89" s="148" t="s">
        <v>105</v>
      </c>
      <c r="F89" s="13"/>
      <c r="G89" s="14">
        <f>+SUM('1:30'!G89)</f>
        <v>0</v>
      </c>
      <c r="H89" s="14">
        <f>+SUM('1:30'!H89)</f>
        <v>0</v>
      </c>
      <c r="I89" s="14">
        <f>+SUM('1:30'!I89)</f>
        <v>0</v>
      </c>
      <c r="J89" s="14">
        <f>+SUM('1:30'!J89)</f>
        <v>0</v>
      </c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">
        <f>+SUM('1:30'!O89)</f>
        <v>0</v>
      </c>
      <c r="P89" s="146">
        <f t="shared" si="9"/>
        <v>0</v>
      </c>
      <c r="Q89" s="14">
        <f>+SUM('1:30'!Q89)</f>
        <v>0</v>
      </c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14">
        <f>+SUM('1:30'!W89)</f>
        <v>0</v>
      </c>
      <c r="X89" s="14">
        <f>+SUM('1:30'!X89)</f>
        <v>0</v>
      </c>
      <c r="Y89" s="14">
        <f>+SUM('1:30'!Y89)</f>
        <v>0</v>
      </c>
      <c r="Z89" s="14">
        <f>+SUM('1:30'!Z89)</f>
        <v>0</v>
      </c>
      <c r="AA89" s="14">
        <f>+SUM('1:30'!AA89)</f>
        <v>0</v>
      </c>
      <c r="AB89" s="14">
        <f>+SUM('1:30'!AB89)</f>
        <v>0</v>
      </c>
      <c r="AC89" s="14">
        <f>+SUM('1:30'!AC89)</f>
        <v>0</v>
      </c>
    </row>
    <row r="90" spans="1:29" ht="21.95" customHeight="1">
      <c r="A90" s="142">
        <v>300351</v>
      </c>
      <c r="B90" s="135" t="s">
        <v>87</v>
      </c>
      <c r="C90" s="248" t="s">
        <v>106</v>
      </c>
      <c r="D90" s="248" t="s">
        <v>101</v>
      </c>
      <c r="E90" s="148" t="s">
        <v>41</v>
      </c>
      <c r="F90" s="13"/>
      <c r="G90" s="14">
        <f>+SUM('1:30'!G90)</f>
        <v>0</v>
      </c>
      <c r="H90" s="14">
        <f>+SUM('1:30'!H90)</f>
        <v>0</v>
      </c>
      <c r="I90" s="14">
        <f>+SUM('1:30'!I90)</f>
        <v>0</v>
      </c>
      <c r="J90" s="14">
        <f>+SUM('1:30'!J90)</f>
        <v>0</v>
      </c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">
        <f>+SUM('1:30'!O90)</f>
        <v>0</v>
      </c>
      <c r="P90" s="146">
        <f t="shared" si="9"/>
        <v>0</v>
      </c>
      <c r="Q90" s="14">
        <f>+SUM('1:30'!Q90)</f>
        <v>0</v>
      </c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14">
        <f>+SUM('1:30'!W90)</f>
        <v>0</v>
      </c>
      <c r="X90" s="14">
        <f>+SUM('1:30'!X90)</f>
        <v>0</v>
      </c>
      <c r="Y90" s="14">
        <f>+SUM('1:30'!Y90)</f>
        <v>0</v>
      </c>
      <c r="Z90" s="14">
        <f>+SUM('1:30'!Z90)</f>
        <v>0</v>
      </c>
      <c r="AA90" s="14">
        <f>+SUM('1:30'!AA90)</f>
        <v>0</v>
      </c>
      <c r="AB90" s="14">
        <f>+SUM('1:30'!AB90)</f>
        <v>0</v>
      </c>
      <c r="AC90" s="14">
        <f>+SUM('1:30'!AC90)</f>
        <v>0</v>
      </c>
    </row>
    <row r="91" spans="1:29" ht="21.95" customHeight="1">
      <c r="A91" s="142">
        <v>300354</v>
      </c>
      <c r="B91" s="135" t="s">
        <v>87</v>
      </c>
      <c r="C91" s="248" t="s">
        <v>106</v>
      </c>
      <c r="D91" s="248" t="s">
        <v>101</v>
      </c>
      <c r="E91" s="148" t="s">
        <v>66</v>
      </c>
      <c r="F91" s="13"/>
      <c r="G91" s="14">
        <f>+SUM('1:30'!G91)</f>
        <v>0</v>
      </c>
      <c r="H91" s="14">
        <f>+SUM('1:30'!H91)</f>
        <v>0</v>
      </c>
      <c r="I91" s="14">
        <f>+SUM('1:30'!I91)</f>
        <v>0</v>
      </c>
      <c r="J91" s="14">
        <f>+SUM('1:30'!J91)</f>
        <v>0</v>
      </c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">
        <f>+SUM('1:30'!O91)</f>
        <v>0</v>
      </c>
      <c r="P91" s="146">
        <f t="shared" si="9"/>
        <v>0</v>
      </c>
      <c r="Q91" s="14">
        <f>+SUM('1:30'!Q91)</f>
        <v>0</v>
      </c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14">
        <f>+SUM('1:30'!W91)</f>
        <v>0</v>
      </c>
      <c r="X91" s="14">
        <f>+SUM('1:30'!X91)</f>
        <v>0</v>
      </c>
      <c r="Y91" s="14">
        <f>+SUM('1:30'!Y91)</f>
        <v>0</v>
      </c>
      <c r="Z91" s="14">
        <f>+SUM('1:30'!Z91)</f>
        <v>0</v>
      </c>
      <c r="AA91" s="14">
        <f>+SUM('1:30'!AA91)</f>
        <v>0</v>
      </c>
      <c r="AB91" s="14">
        <f>+SUM('1:30'!AB91)</f>
        <v>0</v>
      </c>
      <c r="AC91" s="14">
        <f>+SUM('1:30'!AC91)</f>
        <v>0</v>
      </c>
    </row>
    <row r="92" spans="1:29" ht="21.95" customHeight="1">
      <c r="A92" s="142">
        <v>300250</v>
      </c>
      <c r="B92" s="135" t="s">
        <v>87</v>
      </c>
      <c r="C92" s="248" t="s">
        <v>107</v>
      </c>
      <c r="D92" s="248" t="s">
        <v>101</v>
      </c>
      <c r="E92" s="148" t="s">
        <v>35</v>
      </c>
      <c r="F92" s="13"/>
      <c r="G92" s="14">
        <f>+SUM('1:30'!G92)</f>
        <v>0</v>
      </c>
      <c r="H92" s="14">
        <f>+SUM('1:30'!H92)</f>
        <v>0</v>
      </c>
      <c r="I92" s="14">
        <f>+SUM('1:30'!I92)</f>
        <v>0</v>
      </c>
      <c r="J92" s="14">
        <f>+SUM('1:30'!J92)</f>
        <v>0</v>
      </c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">
        <f>+SUM('1:30'!O92)</f>
        <v>0</v>
      </c>
      <c r="P92" s="146">
        <f t="shared" si="9"/>
        <v>0</v>
      </c>
      <c r="Q92" s="14">
        <f>+SUM('1:30'!Q92)</f>
        <v>0</v>
      </c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14">
        <f>+SUM('1:30'!W92)</f>
        <v>0</v>
      </c>
      <c r="X92" s="14">
        <f>+SUM('1:30'!X92)</f>
        <v>0</v>
      </c>
      <c r="Y92" s="14">
        <f>+SUM('1:30'!Y92)</f>
        <v>0</v>
      </c>
      <c r="Z92" s="14">
        <f>+SUM('1:30'!Z92)</f>
        <v>0</v>
      </c>
      <c r="AA92" s="14">
        <f>+SUM('1:30'!AA92)</f>
        <v>0</v>
      </c>
      <c r="AB92" s="14">
        <f>+SUM('1:30'!AB92)</f>
        <v>0</v>
      </c>
      <c r="AC92" s="14">
        <f>+SUM('1:30'!AC92)</f>
        <v>0</v>
      </c>
    </row>
    <row r="93" spans="1:29" ht="21.95" customHeight="1">
      <c r="A93" s="142">
        <v>300251</v>
      </c>
      <c r="B93" s="135" t="s">
        <v>87</v>
      </c>
      <c r="C93" s="248" t="s">
        <v>107</v>
      </c>
      <c r="D93" s="248" t="s">
        <v>101</v>
      </c>
      <c r="E93" s="148" t="s">
        <v>105</v>
      </c>
      <c r="F93" s="13"/>
      <c r="G93" s="14">
        <f>+SUM('1:30'!G93)</f>
        <v>0</v>
      </c>
      <c r="H93" s="14">
        <f>+SUM('1:30'!H93)</f>
        <v>0</v>
      </c>
      <c r="I93" s="14">
        <f>+SUM('1:30'!I93)</f>
        <v>0</v>
      </c>
      <c r="J93" s="14">
        <f>+SUM('1:30'!J93)</f>
        <v>0</v>
      </c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">
        <f>+SUM('1:30'!O93)</f>
        <v>0</v>
      </c>
      <c r="P93" s="146">
        <f t="shared" si="9"/>
        <v>0</v>
      </c>
      <c r="Q93" s="14">
        <f>+SUM('1:30'!Q93)</f>
        <v>0</v>
      </c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14">
        <f>+SUM('1:30'!W93)</f>
        <v>0</v>
      </c>
      <c r="X93" s="14">
        <f>+SUM('1:30'!X93)</f>
        <v>0</v>
      </c>
      <c r="Y93" s="14">
        <f>+SUM('1:30'!Y93)</f>
        <v>0</v>
      </c>
      <c r="Z93" s="14">
        <f>+SUM('1:30'!Z93)</f>
        <v>0</v>
      </c>
      <c r="AA93" s="14">
        <f>+SUM('1:30'!AA93)</f>
        <v>0</v>
      </c>
      <c r="AB93" s="14">
        <f>+SUM('1:30'!AB93)</f>
        <v>0</v>
      </c>
      <c r="AC93" s="14">
        <f>+SUM('1:30'!AC93)</f>
        <v>0</v>
      </c>
    </row>
    <row r="94" spans="1:29" ht="21.95" customHeight="1">
      <c r="A94" s="142">
        <v>300254</v>
      </c>
      <c r="B94" s="135" t="s">
        <v>87</v>
      </c>
      <c r="C94" s="248" t="s">
        <v>107</v>
      </c>
      <c r="D94" s="248" t="s">
        <v>101</v>
      </c>
      <c r="E94" s="148" t="s">
        <v>41</v>
      </c>
      <c r="F94" s="13"/>
      <c r="G94" s="14">
        <f>+SUM('1:30'!G94)</f>
        <v>0</v>
      </c>
      <c r="H94" s="14">
        <f>+SUM('1:30'!H94)</f>
        <v>0</v>
      </c>
      <c r="I94" s="14">
        <f>+SUM('1:30'!I94)</f>
        <v>0</v>
      </c>
      <c r="J94" s="14">
        <f>+SUM('1:30'!J94)</f>
        <v>0</v>
      </c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">
        <f>+SUM('1:30'!O94)</f>
        <v>0</v>
      </c>
      <c r="P94" s="146">
        <f t="shared" si="9"/>
        <v>0</v>
      </c>
      <c r="Q94" s="14">
        <f>+SUM('1:30'!Q94)</f>
        <v>0</v>
      </c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14">
        <f>+SUM('1:30'!W94)</f>
        <v>0</v>
      </c>
      <c r="X94" s="14">
        <f>+SUM('1:30'!X94)</f>
        <v>0</v>
      </c>
      <c r="Y94" s="14">
        <f>+SUM('1:30'!Y94)</f>
        <v>0</v>
      </c>
      <c r="Z94" s="14">
        <f>+SUM('1:30'!Z94)</f>
        <v>0</v>
      </c>
      <c r="AA94" s="14">
        <f>+SUM('1:30'!AA94)</f>
        <v>0</v>
      </c>
      <c r="AB94" s="14">
        <f>+SUM('1:30'!AB94)</f>
        <v>0</v>
      </c>
      <c r="AC94" s="14">
        <f>+SUM('1:30'!AC94)</f>
        <v>0</v>
      </c>
    </row>
    <row r="95" spans="1:29" ht="21.95" customHeight="1">
      <c r="A95" s="142">
        <v>300253</v>
      </c>
      <c r="B95" s="135" t="s">
        <v>87</v>
      </c>
      <c r="C95" s="248" t="s">
        <v>107</v>
      </c>
      <c r="D95" s="248" t="s">
        <v>101</v>
      </c>
      <c r="E95" s="148" t="s">
        <v>66</v>
      </c>
      <c r="F95" s="13"/>
      <c r="G95" s="14">
        <f>+SUM('1:30'!G95)</f>
        <v>0</v>
      </c>
      <c r="H95" s="14">
        <f>+SUM('1:30'!H95)</f>
        <v>0</v>
      </c>
      <c r="I95" s="14">
        <f>+SUM('1:30'!I95)</f>
        <v>0</v>
      </c>
      <c r="J95" s="14">
        <f>+SUM('1:30'!J95)</f>
        <v>0</v>
      </c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">
        <f>+SUM('1:30'!O95)</f>
        <v>0</v>
      </c>
      <c r="P95" s="146">
        <f t="shared" si="9"/>
        <v>0</v>
      </c>
      <c r="Q95" s="14">
        <f>+SUM('1:30'!Q95)</f>
        <v>0</v>
      </c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14">
        <f>+SUM('1:30'!W95)</f>
        <v>0</v>
      </c>
      <c r="X95" s="14">
        <f>+SUM('1:30'!X95)</f>
        <v>0</v>
      </c>
      <c r="Y95" s="14">
        <f>+SUM('1:30'!Y95)</f>
        <v>0</v>
      </c>
      <c r="Z95" s="14">
        <f>+SUM('1:30'!Z95)</f>
        <v>0</v>
      </c>
      <c r="AA95" s="14">
        <f>+SUM('1:30'!AA95)</f>
        <v>0</v>
      </c>
      <c r="AB95" s="14">
        <f>+SUM('1:30'!AB95)</f>
        <v>0</v>
      </c>
      <c r="AC95" s="14">
        <f>+SUM('1:30'!AC95)</f>
        <v>0</v>
      </c>
    </row>
    <row r="96" spans="1:29" ht="23.25" customHeight="1">
      <c r="A96" s="142">
        <v>300255</v>
      </c>
      <c r="B96" s="135" t="s">
        <v>87</v>
      </c>
      <c r="C96" s="248" t="s">
        <v>107</v>
      </c>
      <c r="D96" s="248" t="s">
        <v>101</v>
      </c>
      <c r="E96" s="148" t="s">
        <v>108</v>
      </c>
      <c r="F96" s="13"/>
      <c r="G96" s="14">
        <f>+SUM('1:30'!G96)</f>
        <v>0</v>
      </c>
      <c r="H96" s="14">
        <f>+SUM('1:30'!H96)</f>
        <v>0</v>
      </c>
      <c r="I96" s="14">
        <f>+SUM('1:30'!I96)</f>
        <v>0</v>
      </c>
      <c r="J96" s="14">
        <f>+SUM('1:30'!J96)</f>
        <v>0</v>
      </c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">
        <f>+SUM('1:30'!O96)</f>
        <v>0</v>
      </c>
      <c r="P96" s="146">
        <f t="shared" si="9"/>
        <v>0</v>
      </c>
      <c r="Q96" s="14">
        <f>+SUM('1:30'!Q96)</f>
        <v>0</v>
      </c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14">
        <f>+SUM('1:30'!W96)</f>
        <v>0</v>
      </c>
      <c r="X96" s="14">
        <f>+SUM('1:30'!X96)</f>
        <v>0</v>
      </c>
      <c r="Y96" s="14">
        <f>+SUM('1:30'!Y96)</f>
        <v>0</v>
      </c>
      <c r="Z96" s="14">
        <f>+SUM('1:30'!Z96)</f>
        <v>0</v>
      </c>
      <c r="AA96" s="14">
        <f>+SUM('1:30'!AA96)</f>
        <v>0</v>
      </c>
      <c r="AB96" s="14">
        <f>+SUM('1:30'!AB96)</f>
        <v>0</v>
      </c>
      <c r="AC96" s="14">
        <f>+SUM('1:30'!AC96)</f>
        <v>0</v>
      </c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4">
        <f>+SUM('1:30'!G97)</f>
        <v>0</v>
      </c>
      <c r="H97" s="14">
        <f>+SUM('1:30'!H97)</f>
        <v>0</v>
      </c>
      <c r="I97" s="14">
        <f>+SUM('1:30'!I97)</f>
        <v>0</v>
      </c>
      <c r="J97" s="14">
        <f>+SUM('1:30'!J97)</f>
        <v>0</v>
      </c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14">
        <f>+SUM('1:30'!O97)</f>
        <v>0</v>
      </c>
      <c r="P97" s="28">
        <f t="shared" si="9"/>
        <v>0</v>
      </c>
      <c r="Q97" s="14">
        <f>+SUM('1:30'!Q97)</f>
        <v>0</v>
      </c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14">
        <f>+SUM('1:30'!W97)</f>
        <v>0</v>
      </c>
      <c r="X97" s="14">
        <f>+SUM('1:30'!X97)</f>
        <v>0</v>
      </c>
      <c r="Y97" s="14">
        <f>+SUM('1:30'!Y97)</f>
        <v>0</v>
      </c>
      <c r="Z97" s="14">
        <f>+SUM('1:30'!Z97)</f>
        <v>0</v>
      </c>
      <c r="AA97" s="14">
        <f>+SUM('1:30'!AA97)</f>
        <v>0</v>
      </c>
      <c r="AB97" s="14">
        <f>+SUM('1:30'!AB97)</f>
        <v>0</v>
      </c>
      <c r="AC97" s="14">
        <f>+SUM('1:30'!AC97)</f>
        <v>0</v>
      </c>
    </row>
    <row r="98" spans="1:29" ht="21.95" customHeight="1">
      <c r="A98" s="142">
        <v>300088</v>
      </c>
      <c r="B98" s="135" t="s">
        <v>87</v>
      </c>
      <c r="C98" s="248" t="s">
        <v>318</v>
      </c>
      <c r="D98" s="248" t="s">
        <v>96</v>
      </c>
      <c r="E98" s="148" t="s">
        <v>39</v>
      </c>
      <c r="F98" s="13"/>
      <c r="G98" s="14">
        <f>+SUM('1:30'!G98)</f>
        <v>2.5</v>
      </c>
      <c r="H98" s="14">
        <f>+SUM('1:30'!H98)</f>
        <v>0</v>
      </c>
      <c r="I98" s="14">
        <f>+SUM('1:30'!I98)</f>
        <v>2.5</v>
      </c>
      <c r="J98" s="14">
        <f>+SUM('1:30'!J98)</f>
        <v>300</v>
      </c>
      <c r="K98" s="146">
        <f t="shared" si="7"/>
        <v>1544.5</v>
      </c>
      <c r="L98" s="146">
        <f t="shared" si="8"/>
        <v>1544.5</v>
      </c>
      <c r="M98" s="146">
        <v>617.79999999999995</v>
      </c>
      <c r="N98" s="146">
        <f>+M98*1000/(123*1*80*60)*T98</f>
        <v>3.1392276422764223</v>
      </c>
      <c r="O98" s="14">
        <f>+SUM('1:30'!O98)</f>
        <v>0.5</v>
      </c>
      <c r="P98" s="146">
        <f t="shared" si="9"/>
        <v>7.8480691056910556</v>
      </c>
      <c r="Q98" s="14">
        <f>+SUM('1:30'!Q98)</f>
        <v>2.5</v>
      </c>
      <c r="R98" s="19">
        <f t="shared" si="10"/>
        <v>0</v>
      </c>
      <c r="S98" s="146">
        <f t="shared" si="11"/>
        <v>-7.8480691056910556</v>
      </c>
      <c r="T98" s="20">
        <v>3</v>
      </c>
      <c r="U98" s="20"/>
      <c r="V98" s="143">
        <f t="array" ref="V98">IF(ISERROR(L98/K98),"",L98/K98)</f>
        <v>1</v>
      </c>
      <c r="W98" s="14">
        <f>+SUM('1:30'!W98)</f>
        <v>0</v>
      </c>
      <c r="X98" s="14">
        <f>+SUM('1:30'!X98)</f>
        <v>4.166666666666667</v>
      </c>
      <c r="Y98" s="14">
        <f>+SUM('1:30'!Y98)</f>
        <v>0</v>
      </c>
      <c r="Z98" s="14">
        <f>+SUM('1:30'!Z98)</f>
        <v>0</v>
      </c>
      <c r="AA98" s="14">
        <f>+SUM('1:30'!AA98)</f>
        <v>0</v>
      </c>
      <c r="AB98" s="14">
        <f>+SUM('1:30'!AB98)</f>
        <v>0</v>
      </c>
      <c r="AC98" s="14">
        <f>+SUM('1:30'!AC98)</f>
        <v>0</v>
      </c>
    </row>
    <row r="99" spans="1:29" ht="21.95" customHeight="1">
      <c r="A99" s="142">
        <v>300089</v>
      </c>
      <c r="B99" s="135" t="s">
        <v>87</v>
      </c>
      <c r="C99" s="248" t="s">
        <v>318</v>
      </c>
      <c r="D99" s="248" t="s">
        <v>96</v>
      </c>
      <c r="E99" s="148" t="s">
        <v>42</v>
      </c>
      <c r="F99" s="13"/>
      <c r="G99" s="14">
        <f>+SUM('1:30'!G99)</f>
        <v>14</v>
      </c>
      <c r="H99" s="14">
        <f>+SUM('1:30'!H99)</f>
        <v>0.875</v>
      </c>
      <c r="I99" s="14">
        <f>+SUM('1:30'!I99)</f>
        <v>13.875</v>
      </c>
      <c r="J99" s="14">
        <f>+SUM('1:30'!J99)</f>
        <v>0</v>
      </c>
      <c r="K99" s="146">
        <f t="shared" si="7"/>
        <v>8660.4</v>
      </c>
      <c r="L99" s="146">
        <f t="shared" si="8"/>
        <v>8583.0750000000007</v>
      </c>
      <c r="M99" s="146">
        <v>618.6</v>
      </c>
      <c r="N99" s="146">
        <f>+M99*1000/(124*1*80*60)*T99</f>
        <v>3.117943548387097</v>
      </c>
      <c r="O99" s="14">
        <f>+SUM('1:30'!O99)</f>
        <v>0</v>
      </c>
      <c r="P99" s="146">
        <f t="shared" si="9"/>
        <v>43.261466733870968</v>
      </c>
      <c r="Q99" s="14">
        <f>+SUM('1:30'!Q99)</f>
        <v>12</v>
      </c>
      <c r="R99" s="19">
        <f t="shared" si="10"/>
        <v>0</v>
      </c>
      <c r="S99" s="146">
        <f t="shared" si="11"/>
        <v>-43.261466733870968</v>
      </c>
      <c r="T99" s="20">
        <v>3</v>
      </c>
      <c r="U99" s="20"/>
      <c r="V99" s="143">
        <f t="array" ref="V99">IF(ISERROR(L99/K99),"",L99/K99)</f>
        <v>0.99107142857142871</v>
      </c>
      <c r="W99" s="14">
        <f>+SUM('1:30'!W99)</f>
        <v>0</v>
      </c>
      <c r="X99" s="14">
        <f>+SUM('1:30'!X99)</f>
        <v>0</v>
      </c>
      <c r="Y99" s="14">
        <f>+SUM('1:30'!Y99)</f>
        <v>0</v>
      </c>
      <c r="Z99" s="14">
        <f>+SUM('1:30'!Z99)</f>
        <v>0</v>
      </c>
      <c r="AA99" s="14">
        <f>+SUM('1:30'!AA99)</f>
        <v>0</v>
      </c>
      <c r="AB99" s="14">
        <f>+SUM('1:30'!AB99)</f>
        <v>0</v>
      </c>
      <c r="AC99" s="14">
        <f>+SUM('1:30'!AC99)</f>
        <v>0</v>
      </c>
    </row>
    <row r="100" spans="1:29" ht="22.5" customHeight="1">
      <c r="A100" s="142">
        <v>300128</v>
      </c>
      <c r="B100" s="135" t="s">
        <v>87</v>
      </c>
      <c r="C100" s="248" t="s">
        <v>112</v>
      </c>
      <c r="D100" s="248" t="s">
        <v>113</v>
      </c>
      <c r="E100" s="148" t="s">
        <v>35</v>
      </c>
      <c r="F100" s="13"/>
      <c r="G100" s="14">
        <f>+SUM('1:30'!G100)</f>
        <v>4.17</v>
      </c>
      <c r="H100" s="14">
        <f>+SUM('1:30'!H100)</f>
        <v>0.16666666666666666</v>
      </c>
      <c r="I100" s="14">
        <f>+SUM('1:30'!I100)</f>
        <v>4.166666666666667</v>
      </c>
      <c r="J100" s="14">
        <f>+SUM('1:30'!J100)</f>
        <v>0</v>
      </c>
      <c r="K100" s="146">
        <f t="shared" si="7"/>
        <v>2590.8209999999999</v>
      </c>
      <c r="L100" s="146">
        <f t="shared" si="8"/>
        <v>2588.75</v>
      </c>
      <c r="M100" s="146">
        <v>621.29999999999995</v>
      </c>
      <c r="N100" s="146">
        <f t="shared" ref="N100:N105" si="12">+M100*1000/(130.5*1*80*60)*T100</f>
        <v>3.9674329501915708</v>
      </c>
      <c r="O100" s="14">
        <f>+SUM('1:30'!O100)</f>
        <v>0</v>
      </c>
      <c r="P100" s="146">
        <f t="shared" si="9"/>
        <v>16.530970625798211</v>
      </c>
      <c r="Q100" s="14">
        <f>+SUM('1:30'!Q100)</f>
        <v>5</v>
      </c>
      <c r="R100" s="19">
        <f t="shared" si="10"/>
        <v>0</v>
      </c>
      <c r="S100" s="146">
        <f t="shared" si="11"/>
        <v>-16.530970625798211</v>
      </c>
      <c r="T100" s="20">
        <v>4</v>
      </c>
      <c r="U100" s="20"/>
      <c r="V100" s="143">
        <f t="array" ref="V100">IF(ISERROR(L100/K100),"",L100/K100)</f>
        <v>0.99920063948840931</v>
      </c>
      <c r="W100" s="14">
        <f>+SUM('1:30'!W100)</f>
        <v>0</v>
      </c>
      <c r="X100" s="14">
        <f>+SUM('1:30'!X100)</f>
        <v>0</v>
      </c>
      <c r="Y100" s="14">
        <f>+SUM('1:30'!Y100)</f>
        <v>0</v>
      </c>
      <c r="Z100" s="14">
        <f>+SUM('1:30'!Z100)</f>
        <v>0</v>
      </c>
      <c r="AA100" s="14">
        <f>+SUM('1:30'!AA100)</f>
        <v>0</v>
      </c>
      <c r="AB100" s="14">
        <f>+SUM('1:30'!AB100)</f>
        <v>0</v>
      </c>
      <c r="AC100" s="14">
        <f>+SUM('1:30'!AC100)</f>
        <v>0</v>
      </c>
    </row>
    <row r="101" spans="1:29" ht="21.95" customHeight="1">
      <c r="A101" s="142">
        <v>300129</v>
      </c>
      <c r="B101" s="135" t="s">
        <v>87</v>
      </c>
      <c r="C101" s="248" t="s">
        <v>112</v>
      </c>
      <c r="D101" s="248" t="s">
        <v>113</v>
      </c>
      <c r="E101" s="148" t="s">
        <v>41</v>
      </c>
      <c r="F101" s="13"/>
      <c r="G101" s="14">
        <f>+SUM('1:30'!G101)</f>
        <v>1.25</v>
      </c>
      <c r="H101" s="14">
        <f>+SUM('1:30'!H101)</f>
        <v>0</v>
      </c>
      <c r="I101" s="14">
        <f>+SUM('1:30'!I101)</f>
        <v>1.25</v>
      </c>
      <c r="J101" s="14">
        <f>+SUM('1:30'!J101)</f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">
        <f>+SUM('1:30'!O101)</f>
        <v>0</v>
      </c>
      <c r="P101" s="146">
        <f t="shared" si="9"/>
        <v>4.9592911877394634</v>
      </c>
      <c r="Q101" s="14">
        <f>+SUM('1:30'!Q101)</f>
        <v>11</v>
      </c>
      <c r="R101" s="19">
        <f t="shared" si="10"/>
        <v>0</v>
      </c>
      <c r="S101" s="146">
        <f t="shared" si="11"/>
        <v>-4.9592911877394634</v>
      </c>
      <c r="T101" s="20">
        <v>4</v>
      </c>
      <c r="U101" s="20"/>
      <c r="V101" s="143">
        <f t="array" ref="V101">IF(ISERROR(L101/K101),"",L101/K101)</f>
        <v>1</v>
      </c>
      <c r="W101" s="14">
        <f>+SUM('1:30'!W101)</f>
        <v>0</v>
      </c>
      <c r="X101" s="14">
        <f>+SUM('1:30'!X101)</f>
        <v>0</v>
      </c>
      <c r="Y101" s="14">
        <f>+SUM('1:30'!Y101)</f>
        <v>0</v>
      </c>
      <c r="Z101" s="14">
        <f>+SUM('1:30'!Z101)</f>
        <v>0</v>
      </c>
      <c r="AA101" s="14">
        <f>+SUM('1:30'!AA101)</f>
        <v>0</v>
      </c>
      <c r="AB101" s="14">
        <f>+SUM('1:30'!AB101)</f>
        <v>0</v>
      </c>
      <c r="AC101" s="14">
        <f>+SUM('1:30'!AC101)</f>
        <v>0</v>
      </c>
    </row>
    <row r="102" spans="1:29" ht="21.95" customHeight="1">
      <c r="A102" s="142">
        <v>300130</v>
      </c>
      <c r="B102" s="135" t="s">
        <v>87</v>
      </c>
      <c r="C102" s="248" t="s">
        <v>112</v>
      </c>
      <c r="D102" s="248" t="s">
        <v>113</v>
      </c>
      <c r="E102" s="148" t="s">
        <v>37</v>
      </c>
      <c r="F102" s="13"/>
      <c r="G102" s="14">
        <f>+SUM('1:30'!G102)</f>
        <v>3</v>
      </c>
      <c r="H102" s="14">
        <f>+SUM('1:30'!H102)</f>
        <v>0</v>
      </c>
      <c r="I102" s="14">
        <f>+SUM('1:30'!I102)</f>
        <v>3</v>
      </c>
      <c r="J102" s="14">
        <f>+SUM('1:30'!J102)</f>
        <v>0</v>
      </c>
      <c r="K102" s="146">
        <f t="shared" si="7"/>
        <v>1863.8999999999999</v>
      </c>
      <c r="L102" s="146">
        <f t="shared" si="8"/>
        <v>1863.8999999999999</v>
      </c>
      <c r="M102" s="146">
        <v>621.29999999999995</v>
      </c>
      <c r="N102" s="146">
        <f t="shared" si="12"/>
        <v>3.9674329501915708</v>
      </c>
      <c r="O102" s="14">
        <f>+SUM('1:30'!O102)</f>
        <v>0</v>
      </c>
      <c r="P102" s="146">
        <f t="shared" si="9"/>
        <v>11.902298850574713</v>
      </c>
      <c r="Q102" s="14">
        <f>+SUM('1:30'!Q102)</f>
        <v>3</v>
      </c>
      <c r="R102" s="19">
        <f t="shared" si="10"/>
        <v>0</v>
      </c>
      <c r="S102" s="146">
        <f t="shared" si="11"/>
        <v>-11.902298850574713</v>
      </c>
      <c r="T102" s="20">
        <v>4</v>
      </c>
      <c r="U102" s="20"/>
      <c r="V102" s="143">
        <f t="array" ref="V102">IF(ISERROR(L102/K102),"",L102/K102)</f>
        <v>1</v>
      </c>
      <c r="W102" s="14">
        <f>+SUM('1:30'!W102)</f>
        <v>0</v>
      </c>
      <c r="X102" s="14">
        <f>+SUM('1:30'!X102)</f>
        <v>0</v>
      </c>
      <c r="Y102" s="14">
        <f>+SUM('1:30'!Y102)</f>
        <v>0</v>
      </c>
      <c r="Z102" s="14">
        <f>+SUM('1:30'!Z102)</f>
        <v>0</v>
      </c>
      <c r="AA102" s="14">
        <f>+SUM('1:30'!AA102)</f>
        <v>0</v>
      </c>
      <c r="AB102" s="14">
        <f>+SUM('1:30'!AB102)</f>
        <v>0</v>
      </c>
      <c r="AC102" s="14">
        <f>+SUM('1:30'!AC102)</f>
        <v>0</v>
      </c>
    </row>
    <row r="103" spans="1:29" ht="21.95" customHeight="1">
      <c r="A103" s="142">
        <v>300423</v>
      </c>
      <c r="B103" s="135" t="s">
        <v>300</v>
      </c>
      <c r="C103" s="259" t="s">
        <v>296</v>
      </c>
      <c r="D103" s="260"/>
      <c r="E103" s="148" t="s">
        <v>297</v>
      </c>
      <c r="F103" s="13"/>
      <c r="G103" s="14">
        <f>+SUM('1:30'!G103)</f>
        <v>8</v>
      </c>
      <c r="H103" s="14">
        <f>+SUM('1:30'!H103)</f>
        <v>0</v>
      </c>
      <c r="I103" s="14">
        <f>+SUM('1:30'!I103)</f>
        <v>8</v>
      </c>
      <c r="J103" s="14">
        <f>+SUM('1:30'!J103)</f>
        <v>0</v>
      </c>
      <c r="K103" s="146">
        <f t="shared" si="7"/>
        <v>4192.8</v>
      </c>
      <c r="L103" s="146">
        <f t="shared" si="8"/>
        <v>4192.8</v>
      </c>
      <c r="M103" s="146">
        <v>524.1</v>
      </c>
      <c r="N103" s="146">
        <f t="shared" si="12"/>
        <v>3.3467432950191571</v>
      </c>
      <c r="O103" s="14">
        <f>+SUM('1:30'!O103)</f>
        <v>0</v>
      </c>
      <c r="P103" s="146">
        <f t="shared" si="9"/>
        <v>26.773946360153257</v>
      </c>
      <c r="Q103" s="14">
        <f>+SUM('1:30'!Q103)</f>
        <v>7.5</v>
      </c>
      <c r="R103" s="19">
        <f t="shared" si="10"/>
        <v>0</v>
      </c>
      <c r="S103" s="146">
        <f t="shared" si="11"/>
        <v>-26.773946360153257</v>
      </c>
      <c r="T103" s="20">
        <v>4</v>
      </c>
      <c r="U103" s="20"/>
      <c r="V103" s="143"/>
      <c r="W103" s="14">
        <f>+SUM('1:30'!W103)</f>
        <v>0</v>
      </c>
      <c r="X103" s="14">
        <f>+SUM('1:30'!X103)</f>
        <v>0</v>
      </c>
      <c r="Y103" s="14">
        <f>+SUM('1:30'!Y103)</f>
        <v>0</v>
      </c>
      <c r="Z103" s="14">
        <f>+SUM('1:30'!Z103)</f>
        <v>0</v>
      </c>
      <c r="AA103" s="14">
        <f>+SUM('1:30'!AA103)</f>
        <v>2</v>
      </c>
      <c r="AB103" s="14">
        <f>+SUM('1:30'!AB103)</f>
        <v>0</v>
      </c>
      <c r="AC103" s="14">
        <f>+SUM('1:30'!AC103)</f>
        <v>0</v>
      </c>
    </row>
    <row r="104" spans="1:29" ht="21.95" customHeight="1">
      <c r="A104" s="142">
        <v>300424</v>
      </c>
      <c r="B104" s="135" t="s">
        <v>300</v>
      </c>
      <c r="C104" s="259" t="s">
        <v>296</v>
      </c>
      <c r="D104" s="260"/>
      <c r="E104" s="148" t="s">
        <v>298</v>
      </c>
      <c r="F104" s="13"/>
      <c r="G104" s="14">
        <f>+SUM('1:30'!G104)</f>
        <v>3.4</v>
      </c>
      <c r="H104" s="14">
        <f>+SUM('1:30'!H104)</f>
        <v>0</v>
      </c>
      <c r="I104" s="14">
        <f>+SUM('1:30'!I104)</f>
        <v>3.4</v>
      </c>
      <c r="J104" s="14">
        <f>+SUM('1:30'!J104)</f>
        <v>300</v>
      </c>
      <c r="K104" s="146">
        <f t="shared" si="7"/>
        <v>1781.94</v>
      </c>
      <c r="L104" s="146">
        <f t="shared" si="8"/>
        <v>1781.94</v>
      </c>
      <c r="M104" s="146">
        <v>524.1</v>
      </c>
      <c r="N104" s="146">
        <f t="shared" si="12"/>
        <v>3.3467432950191571</v>
      </c>
      <c r="O104" s="14">
        <f>+SUM('1:30'!O104)</f>
        <v>0.5</v>
      </c>
      <c r="P104" s="146">
        <f t="shared" si="9"/>
        <v>11.378927203065134</v>
      </c>
      <c r="Q104" s="14">
        <f>+SUM('1:30'!Q104)</f>
        <v>3.5</v>
      </c>
      <c r="R104" s="19">
        <f t="shared" si="10"/>
        <v>0</v>
      </c>
      <c r="S104" s="146">
        <f t="shared" si="11"/>
        <v>-11.378927203065134</v>
      </c>
      <c r="T104" s="20">
        <v>4</v>
      </c>
      <c r="U104" s="20"/>
      <c r="V104" s="143"/>
      <c r="W104" s="14">
        <f>+SUM('1:30'!W104)</f>
        <v>0</v>
      </c>
      <c r="X104" s="14">
        <f>+SUM('1:30'!X104)</f>
        <v>0</v>
      </c>
      <c r="Y104" s="14">
        <f>+SUM('1:30'!Y104)</f>
        <v>0</v>
      </c>
      <c r="Z104" s="14">
        <f>+SUM('1:30'!Z104)</f>
        <v>0</v>
      </c>
      <c r="AA104" s="14">
        <f>+SUM('1:30'!AA104)</f>
        <v>2</v>
      </c>
      <c r="AB104" s="14">
        <f>+SUM('1:30'!AB104)</f>
        <v>0</v>
      </c>
      <c r="AC104" s="14">
        <f>+SUM('1:30'!AC104)</f>
        <v>0</v>
      </c>
    </row>
    <row r="105" spans="1:29" ht="21.95" customHeight="1">
      <c r="A105" s="142">
        <v>300425</v>
      </c>
      <c r="B105" s="135" t="s">
        <v>300</v>
      </c>
      <c r="C105" s="259" t="s">
        <v>296</v>
      </c>
      <c r="D105" s="260"/>
      <c r="E105" s="148" t="s">
        <v>299</v>
      </c>
      <c r="F105" s="13"/>
      <c r="G105" s="14">
        <f>+SUM('1:30'!G105)</f>
        <v>11.6</v>
      </c>
      <c r="H105" s="14">
        <f>+SUM('1:30'!H105)</f>
        <v>0.6</v>
      </c>
      <c r="I105" s="14">
        <f>+SUM('1:30'!I105)</f>
        <v>11.6</v>
      </c>
      <c r="J105" s="14">
        <f>+SUM('1:30'!J105)</f>
        <v>0</v>
      </c>
      <c r="K105" s="146">
        <f t="shared" si="7"/>
        <v>6079.56</v>
      </c>
      <c r="L105" s="146">
        <f t="shared" si="8"/>
        <v>6079.56</v>
      </c>
      <c r="M105" s="146">
        <v>524.1</v>
      </c>
      <c r="N105" s="146">
        <f t="shared" si="12"/>
        <v>3.3467432950191571</v>
      </c>
      <c r="O105" s="14">
        <f>+SUM('1:30'!O105)</f>
        <v>0</v>
      </c>
      <c r="P105" s="146">
        <f t="shared" si="9"/>
        <v>38.822222222222223</v>
      </c>
      <c r="Q105" s="14">
        <f>+SUM('1:30'!Q105)</f>
        <v>11</v>
      </c>
      <c r="R105" s="19">
        <f t="shared" si="10"/>
        <v>0</v>
      </c>
      <c r="S105" s="146">
        <f t="shared" si="11"/>
        <v>-38.822222222222223</v>
      </c>
      <c r="T105" s="20">
        <v>4</v>
      </c>
      <c r="U105" s="20"/>
      <c r="V105" s="143"/>
      <c r="W105" s="14">
        <f>+SUM('1:30'!W105)</f>
        <v>0</v>
      </c>
      <c r="X105" s="14">
        <f>+SUM('1:30'!X105)</f>
        <v>0</v>
      </c>
      <c r="Y105" s="14">
        <f>+SUM('1:30'!Y105)</f>
        <v>0</v>
      </c>
      <c r="Z105" s="14">
        <f>+SUM('1:30'!Z105)</f>
        <v>0</v>
      </c>
      <c r="AA105" s="14">
        <f>+SUM('1:30'!AA105)</f>
        <v>0</v>
      </c>
      <c r="AB105" s="14">
        <f>+SUM('1:30'!AB105)</f>
        <v>0</v>
      </c>
      <c r="AC105" s="14">
        <f>+SUM('1:30'!AC105)</f>
        <v>0</v>
      </c>
    </row>
    <row r="106" spans="1:29" s="3" customFormat="1" ht="21.95" customHeight="1">
      <c r="A106" s="23">
        <v>300390</v>
      </c>
      <c r="B106" s="135" t="s">
        <v>300</v>
      </c>
      <c r="C106" s="262" t="s">
        <v>114</v>
      </c>
      <c r="D106" s="263"/>
      <c r="E106" s="24" t="s">
        <v>115</v>
      </c>
      <c r="F106" s="25"/>
      <c r="G106" s="14">
        <f>+SUM('1:30'!G106)</f>
        <v>9</v>
      </c>
      <c r="H106" s="14">
        <f>+SUM('1:30'!H106)</f>
        <v>0</v>
      </c>
      <c r="I106" s="14">
        <f>+SUM('1:30'!I106)</f>
        <v>9</v>
      </c>
      <c r="J106" s="14">
        <f>+SUM('1:30'!J106)</f>
        <v>0</v>
      </c>
      <c r="K106" s="28">
        <f t="shared" si="7"/>
        <v>3756.6</v>
      </c>
      <c r="L106" s="28">
        <f t="shared" si="8"/>
        <v>3756.6</v>
      </c>
      <c r="M106" s="28">
        <v>417.4</v>
      </c>
      <c r="N106" s="28">
        <f>+M106*1000/(87*1*80*60)*T106</f>
        <v>3.9980842911877397</v>
      </c>
      <c r="O106" s="14">
        <f>+SUM('1:30'!O106)</f>
        <v>0</v>
      </c>
      <c r="P106" s="28">
        <f t="shared" si="9"/>
        <v>35.982758620689658</v>
      </c>
      <c r="Q106" s="14">
        <f>+SUM('1:30'!Q106)</f>
        <v>7</v>
      </c>
      <c r="R106" s="29">
        <f t="shared" si="10"/>
        <v>0</v>
      </c>
      <c r="S106" s="28">
        <f t="shared" si="11"/>
        <v>-35.982758620689658</v>
      </c>
      <c r="T106" s="30">
        <v>4</v>
      </c>
      <c r="U106" s="30"/>
      <c r="V106" s="112">
        <f t="array" ref="V106">IF(ISERROR(L106/K106),"",L106/K106)</f>
        <v>1</v>
      </c>
      <c r="W106" s="14">
        <f>+SUM('1:30'!W106)</f>
        <v>0</v>
      </c>
      <c r="X106" s="14">
        <f>+SUM('1:30'!X106)</f>
        <v>0</v>
      </c>
      <c r="Y106" s="14">
        <f>+SUM('1:30'!Y106)</f>
        <v>0</v>
      </c>
      <c r="Z106" s="14">
        <f>+SUM('1:30'!Z106)</f>
        <v>0</v>
      </c>
      <c r="AA106" s="14">
        <f>+SUM('1:30'!AA106)</f>
        <v>0</v>
      </c>
      <c r="AB106" s="14">
        <f>+SUM('1:30'!AB106)</f>
        <v>0</v>
      </c>
      <c r="AC106" s="14">
        <f>+SUM('1:30'!AC106)</f>
        <v>0</v>
      </c>
    </row>
    <row r="107" spans="1:29" s="3" customFormat="1" ht="21.95" customHeight="1">
      <c r="A107" s="23">
        <v>300391</v>
      </c>
      <c r="B107" s="135" t="s">
        <v>300</v>
      </c>
      <c r="C107" s="262" t="s">
        <v>114</v>
      </c>
      <c r="D107" s="263"/>
      <c r="E107" s="24" t="s">
        <v>117</v>
      </c>
      <c r="F107" s="25"/>
      <c r="G107" s="14">
        <f>+SUM('1:30'!G107)</f>
        <v>0</v>
      </c>
      <c r="H107" s="14">
        <f>+SUM('1:30'!H107)</f>
        <v>0</v>
      </c>
      <c r="I107" s="14">
        <f>+SUM('1:30'!I107)</f>
        <v>0</v>
      </c>
      <c r="J107" s="14">
        <f>+SUM('1:30'!J107)</f>
        <v>0</v>
      </c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14">
        <f>+SUM('1:30'!O107)</f>
        <v>0</v>
      </c>
      <c r="P107" s="28">
        <f t="shared" si="9"/>
        <v>0</v>
      </c>
      <c r="Q107" s="14">
        <f>+SUM('1:30'!Q107)</f>
        <v>0</v>
      </c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14">
        <f>+SUM('1:30'!W107)</f>
        <v>0</v>
      </c>
      <c r="X107" s="14">
        <f>+SUM('1:30'!X107)</f>
        <v>0</v>
      </c>
      <c r="Y107" s="14">
        <f>+SUM('1:30'!Y107)</f>
        <v>0</v>
      </c>
      <c r="Z107" s="14">
        <f>+SUM('1:30'!Z107)</f>
        <v>0</v>
      </c>
      <c r="AA107" s="14">
        <f>+SUM('1:30'!AA107)</f>
        <v>0</v>
      </c>
      <c r="AB107" s="14">
        <f>+SUM('1:30'!AB107)</f>
        <v>0</v>
      </c>
      <c r="AC107" s="14">
        <f>+SUM('1:30'!AC107)</f>
        <v>0</v>
      </c>
    </row>
    <row r="108" spans="1:29" s="3" customFormat="1" ht="21.95" customHeight="1">
      <c r="A108" s="23">
        <v>300431</v>
      </c>
      <c r="B108" s="135" t="s">
        <v>300</v>
      </c>
      <c r="C108" s="262" t="s">
        <v>305</v>
      </c>
      <c r="D108" s="263"/>
      <c r="E108" s="24" t="s">
        <v>306</v>
      </c>
      <c r="F108" s="25"/>
      <c r="G108" s="14">
        <f>+SUM('1:30'!G108)</f>
        <v>5</v>
      </c>
      <c r="H108" s="14">
        <f>+SUM('1:30'!H108)</f>
        <v>0</v>
      </c>
      <c r="I108" s="14">
        <f>+SUM('1:30'!I108)</f>
        <v>5</v>
      </c>
      <c r="J108" s="14">
        <f>+SUM('1:30'!J108)</f>
        <v>0</v>
      </c>
      <c r="K108" s="28">
        <f t="shared" si="7"/>
        <v>3144</v>
      </c>
      <c r="L108" s="28">
        <f t="shared" si="8"/>
        <v>3144</v>
      </c>
      <c r="M108" s="28">
        <v>628.79999999999995</v>
      </c>
      <c r="N108" s="28">
        <f>+M108*1000/(87*1*80*60)*T108</f>
        <v>6.0229885057471266</v>
      </c>
      <c r="O108" s="14">
        <f>+SUM('1:30'!O108)</f>
        <v>0.5</v>
      </c>
      <c r="P108" s="28">
        <f t="shared" si="9"/>
        <v>30.114942528735632</v>
      </c>
      <c r="Q108" s="14">
        <f>+SUM('1:30'!Q108)</f>
        <v>10</v>
      </c>
      <c r="R108" s="29">
        <f t="shared" si="10"/>
        <v>0</v>
      </c>
      <c r="S108" s="28">
        <f t="shared" si="11"/>
        <v>-30.114942528735632</v>
      </c>
      <c r="T108" s="30">
        <v>4</v>
      </c>
      <c r="U108" s="30"/>
      <c r="V108" s="112"/>
      <c r="W108" s="14">
        <f>+SUM('1:30'!W108)</f>
        <v>0</v>
      </c>
      <c r="X108" s="14">
        <f>+SUM('1:30'!X108)</f>
        <v>0</v>
      </c>
      <c r="Y108" s="14">
        <f>+SUM('1:30'!Y108)</f>
        <v>0</v>
      </c>
      <c r="Z108" s="14">
        <f>+SUM('1:30'!Z108)</f>
        <v>0</v>
      </c>
      <c r="AA108" s="14">
        <f>+SUM('1:30'!AA108)</f>
        <v>2</v>
      </c>
      <c r="AB108" s="14">
        <f>+SUM('1:30'!AB108)</f>
        <v>0</v>
      </c>
      <c r="AC108" s="14">
        <f>+SUM('1:30'!AC108)</f>
        <v>0</v>
      </c>
    </row>
    <row r="109" spans="1:29" s="3" customFormat="1" ht="21.95" customHeight="1">
      <c r="A109" s="23">
        <v>300432</v>
      </c>
      <c r="B109" s="135" t="s">
        <v>300</v>
      </c>
      <c r="C109" s="262" t="s">
        <v>305</v>
      </c>
      <c r="D109" s="263"/>
      <c r="E109" s="24" t="s">
        <v>307</v>
      </c>
      <c r="F109" s="25"/>
      <c r="G109" s="14">
        <f>+SUM('1:30'!G109)</f>
        <v>4</v>
      </c>
      <c r="H109" s="14">
        <f>+SUM('1:30'!H109)</f>
        <v>0</v>
      </c>
      <c r="I109" s="14">
        <f>+SUM('1:30'!I109)</f>
        <v>4</v>
      </c>
      <c r="J109" s="14">
        <f>+SUM('1:30'!J109)</f>
        <v>0</v>
      </c>
      <c r="K109" s="28">
        <f t="shared" si="7"/>
        <v>2515.1999999999998</v>
      </c>
      <c r="L109" s="28">
        <f t="shared" si="8"/>
        <v>2515.1999999999998</v>
      </c>
      <c r="M109" s="28">
        <v>628.79999999999995</v>
      </c>
      <c r="N109" s="28">
        <f>+M109*1000/(87*1*80*60)*T109</f>
        <v>6.0229885057471266</v>
      </c>
      <c r="O109" s="14">
        <f>+SUM('1:30'!O109)</f>
        <v>0</v>
      </c>
      <c r="P109" s="28">
        <f t="shared" si="9"/>
        <v>24.091954022988507</v>
      </c>
      <c r="Q109" s="14">
        <f>+SUM('1:30'!Q109)</f>
        <v>12</v>
      </c>
      <c r="R109" s="29">
        <f t="shared" si="10"/>
        <v>0</v>
      </c>
      <c r="S109" s="28">
        <f t="shared" si="11"/>
        <v>-24.091954022988507</v>
      </c>
      <c r="T109" s="30">
        <v>4</v>
      </c>
      <c r="U109" s="30"/>
      <c r="V109" s="112"/>
      <c r="W109" s="14">
        <f>+SUM('1:30'!W109)</f>
        <v>0</v>
      </c>
      <c r="X109" s="14">
        <f>+SUM('1:30'!X109)</f>
        <v>0</v>
      </c>
      <c r="Y109" s="14">
        <f>+SUM('1:30'!Y109)</f>
        <v>0</v>
      </c>
      <c r="Z109" s="14">
        <f>+SUM('1:30'!Z109)</f>
        <v>0</v>
      </c>
      <c r="AA109" s="14">
        <f>+SUM('1:30'!AA109)</f>
        <v>2</v>
      </c>
      <c r="AB109" s="14">
        <f>+SUM('1:30'!AB109)</f>
        <v>0</v>
      </c>
      <c r="AC109" s="14">
        <f>+SUM('1:30'!AC109)</f>
        <v>0</v>
      </c>
    </row>
    <row r="110" spans="1:29" s="3" customFormat="1" ht="21.95" customHeight="1">
      <c r="A110" s="23">
        <v>300433</v>
      </c>
      <c r="B110" s="135" t="s">
        <v>300</v>
      </c>
      <c r="C110" s="262" t="s">
        <v>305</v>
      </c>
      <c r="D110" s="263"/>
      <c r="E110" s="125" t="s">
        <v>308</v>
      </c>
      <c r="F110" s="25"/>
      <c r="G110" s="14">
        <f>+SUM('1:30'!G110)</f>
        <v>0</v>
      </c>
      <c r="H110" s="14">
        <f>+SUM('1:30'!H110)</f>
        <v>0</v>
      </c>
      <c r="I110" s="14">
        <f>+SUM('1:30'!I110)</f>
        <v>0</v>
      </c>
      <c r="J110" s="14">
        <f>+SUM('1:30'!J110)</f>
        <v>0</v>
      </c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14">
        <f>+SUM('1:30'!O110)</f>
        <v>0</v>
      </c>
      <c r="P110" s="28">
        <f t="shared" si="9"/>
        <v>0</v>
      </c>
      <c r="Q110" s="14">
        <f>+SUM('1:30'!Q110)</f>
        <v>0</v>
      </c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14">
        <f>+SUM('1:30'!W110)</f>
        <v>0</v>
      </c>
      <c r="X110" s="14">
        <f>+SUM('1:30'!X110)</f>
        <v>0</v>
      </c>
      <c r="Y110" s="14">
        <f>+SUM('1:30'!Y110)</f>
        <v>0</v>
      </c>
      <c r="Z110" s="14">
        <f>+SUM('1:30'!Z110)</f>
        <v>0</v>
      </c>
      <c r="AA110" s="14">
        <f>+SUM('1:30'!AA110)</f>
        <v>0</v>
      </c>
      <c r="AB110" s="14">
        <f>+SUM('1:30'!AB110)</f>
        <v>0</v>
      </c>
      <c r="AC110" s="14">
        <f>+SUM('1:30'!AC110)</f>
        <v>0</v>
      </c>
    </row>
    <row r="111" spans="1:29" ht="21.95" customHeight="1">
      <c r="A111" s="142">
        <v>300074</v>
      </c>
      <c r="B111" s="135" t="s">
        <v>118</v>
      </c>
      <c r="C111" s="248" t="s">
        <v>119</v>
      </c>
      <c r="D111" s="248" t="s">
        <v>120</v>
      </c>
      <c r="E111" s="148" t="s">
        <v>54</v>
      </c>
      <c r="F111" s="13"/>
      <c r="G111" s="14">
        <f>+SUM('1:30'!G111)</f>
        <v>18</v>
      </c>
      <c r="H111" s="14">
        <f>+SUM('1:30'!H111)</f>
        <v>0.25</v>
      </c>
      <c r="I111" s="14">
        <f>+SUM('1:30'!I111)</f>
        <v>17.75</v>
      </c>
      <c r="J111" s="14">
        <f>+SUM('1:30'!J111)</f>
        <v>100</v>
      </c>
      <c r="K111" s="146">
        <f t="shared" si="7"/>
        <v>5234.4000000000005</v>
      </c>
      <c r="L111" s="146">
        <f t="shared" si="8"/>
        <v>5161.7</v>
      </c>
      <c r="M111" s="146">
        <v>290.8</v>
      </c>
      <c r="N111" s="146">
        <f>+M111*1000/(88*4*13*60)*T111</f>
        <v>3.1774475524475525</v>
      </c>
      <c r="O111" s="14">
        <f>+SUM('1:30'!O111)</f>
        <v>0</v>
      </c>
      <c r="P111" s="146">
        <f t="shared" si="9"/>
        <v>56.39969405594406</v>
      </c>
      <c r="Q111" s="14">
        <f>+SUM('1:30'!Q111)</f>
        <v>19</v>
      </c>
      <c r="R111" s="19">
        <f t="shared" si="10"/>
        <v>0</v>
      </c>
      <c r="S111" s="146">
        <f t="shared" si="11"/>
        <v>-56.39969405594406</v>
      </c>
      <c r="T111" s="20">
        <v>3</v>
      </c>
      <c r="U111" s="20"/>
      <c r="V111" s="143">
        <f t="array" ref="V111">IF(ISERROR(L111/K111),"",L111/K111)</f>
        <v>0.98611111111111094</v>
      </c>
      <c r="W111" s="14">
        <f>+SUM('1:30'!W111)</f>
        <v>0.66666666666666663</v>
      </c>
      <c r="X111" s="14">
        <f>+SUM('1:30'!X111)</f>
        <v>1</v>
      </c>
      <c r="Y111" s="14">
        <f>+SUM('1:30'!Y111)</f>
        <v>0</v>
      </c>
      <c r="Z111" s="14">
        <f>+SUM('1:30'!Z111)</f>
        <v>0</v>
      </c>
      <c r="AA111" s="14">
        <f>+SUM('1:30'!AA111)</f>
        <v>2</v>
      </c>
      <c r="AB111" s="14">
        <f>+SUM('1:30'!AB111)</f>
        <v>0</v>
      </c>
      <c r="AC111" s="14">
        <f>+SUM('1:30'!AC111)</f>
        <v>0</v>
      </c>
    </row>
    <row r="112" spans="1:29" ht="21.95" customHeight="1">
      <c r="A112" s="142">
        <v>300076</v>
      </c>
      <c r="B112" s="135" t="s">
        <v>118</v>
      </c>
      <c r="C112" s="248" t="s">
        <v>119</v>
      </c>
      <c r="D112" s="248" t="s">
        <v>120</v>
      </c>
      <c r="E112" s="148" t="s">
        <v>35</v>
      </c>
      <c r="F112" s="13"/>
      <c r="G112" s="14">
        <f>+SUM('1:30'!G112)</f>
        <v>9.6</v>
      </c>
      <c r="H112" s="14">
        <f>+SUM('1:30'!H112)</f>
        <v>0.9</v>
      </c>
      <c r="I112" s="14">
        <f>+SUM('1:30'!I112)</f>
        <v>9.6</v>
      </c>
      <c r="J112" s="14">
        <f>+SUM('1:30'!J112)</f>
        <v>60</v>
      </c>
      <c r="K112" s="146">
        <f t="shared" si="7"/>
        <v>2909.76</v>
      </c>
      <c r="L112" s="146">
        <f t="shared" si="8"/>
        <v>2909.76</v>
      </c>
      <c r="M112" s="146">
        <v>303.10000000000002</v>
      </c>
      <c r="N112" s="146">
        <f>+M112*1000/(88*4*12*60)*T112</f>
        <v>4.7837752525252526</v>
      </c>
      <c r="O112" s="14">
        <f>+SUM('1:30'!O112)</f>
        <v>0</v>
      </c>
      <c r="P112" s="146">
        <f t="shared" si="9"/>
        <v>45.924242424242422</v>
      </c>
      <c r="Q112" s="14">
        <f>+SUM('1:30'!Q112)</f>
        <v>11</v>
      </c>
      <c r="R112" s="19">
        <f t="shared" si="10"/>
        <v>0</v>
      </c>
      <c r="S112" s="146">
        <f t="shared" si="11"/>
        <v>-45.924242424242422</v>
      </c>
      <c r="T112" s="20">
        <v>4</v>
      </c>
      <c r="U112" s="20"/>
      <c r="V112" s="143">
        <f t="array" ref="V112">IF(ISERROR(L112/K112),"",L112/K112)</f>
        <v>1</v>
      </c>
      <c r="W112" s="14">
        <f>+SUM('1:30'!W112)</f>
        <v>0</v>
      </c>
      <c r="X112" s="14">
        <f>+SUM('1:30'!X112)</f>
        <v>0</v>
      </c>
      <c r="Y112" s="14">
        <f>+SUM('1:30'!Y112)</f>
        <v>0</v>
      </c>
      <c r="Z112" s="14">
        <f>+SUM('1:30'!Z112)</f>
        <v>0</v>
      </c>
      <c r="AA112" s="14">
        <f>+SUM('1:30'!AA112)</f>
        <v>0</v>
      </c>
      <c r="AB112" s="14">
        <f>+SUM('1:30'!AB112)</f>
        <v>0</v>
      </c>
      <c r="AC112" s="14">
        <f>+SUM('1:30'!AC112)</f>
        <v>0</v>
      </c>
    </row>
    <row r="113" spans="1:29" ht="21.95" customHeight="1">
      <c r="A113" s="142">
        <v>300096</v>
      </c>
      <c r="B113" s="135" t="s">
        <v>118</v>
      </c>
      <c r="C113" s="248" t="s">
        <v>121</v>
      </c>
      <c r="D113" s="248" t="s">
        <v>122</v>
      </c>
      <c r="E113" s="148" t="s">
        <v>37</v>
      </c>
      <c r="F113" s="13"/>
      <c r="G113" s="14">
        <f>+SUM('1:30'!G113)</f>
        <v>13.6</v>
      </c>
      <c r="H113" s="14">
        <f>+SUM('1:30'!H113)</f>
        <v>0.6</v>
      </c>
      <c r="I113" s="14">
        <f>+SUM('1:30'!I113)</f>
        <v>13.1</v>
      </c>
      <c r="J113" s="14">
        <f>+SUM('1:30'!J113)</f>
        <v>150</v>
      </c>
      <c r="K113" s="146">
        <f t="shared" si="7"/>
        <v>6529.768</v>
      </c>
      <c r="L113" s="146">
        <f t="shared" si="8"/>
        <v>6289.7029999999995</v>
      </c>
      <c r="M113" s="146">
        <v>480.13</v>
      </c>
      <c r="N113" s="146">
        <f>+M113*1000/(126.5*4*12*60)*T113</f>
        <v>2.6357597716293371</v>
      </c>
      <c r="O113" s="14">
        <f>+SUM('1:30'!O113)</f>
        <v>0</v>
      </c>
      <c r="P113" s="146">
        <f t="shared" si="9"/>
        <v>34.528453008344314</v>
      </c>
      <c r="Q113" s="14">
        <f>+SUM('1:30'!Q113)</f>
        <v>14</v>
      </c>
      <c r="R113" s="19">
        <f t="shared" si="10"/>
        <v>0</v>
      </c>
      <c r="S113" s="146">
        <f t="shared" si="11"/>
        <v>-34.528453008344314</v>
      </c>
      <c r="T113" s="20">
        <v>2</v>
      </c>
      <c r="U113" s="20"/>
      <c r="V113" s="143">
        <f t="array" ref="V113">IF(ISERROR(L113/K113),"",L113/K113)</f>
        <v>0.96323529411764697</v>
      </c>
      <c r="W113" s="14">
        <f>+SUM('1:30'!W113)</f>
        <v>0</v>
      </c>
      <c r="X113" s="14">
        <f>+SUM('1:30'!X113)</f>
        <v>0</v>
      </c>
      <c r="Y113" s="14">
        <f>+SUM('1:30'!Y113)</f>
        <v>0</v>
      </c>
      <c r="Z113" s="14">
        <f>+SUM('1:30'!Z113)</f>
        <v>0</v>
      </c>
      <c r="AA113" s="14">
        <f>+SUM('1:30'!AA113)</f>
        <v>0</v>
      </c>
      <c r="AB113" s="14">
        <f>+SUM('1:30'!AB113)</f>
        <v>0</v>
      </c>
      <c r="AC113" s="14">
        <f>+SUM('1:30'!AC113)</f>
        <v>0</v>
      </c>
    </row>
    <row r="114" spans="1:29" ht="21.95" customHeight="1">
      <c r="A114" s="142"/>
      <c r="B114" s="135" t="s">
        <v>118</v>
      </c>
      <c r="C114" s="248" t="s">
        <v>121</v>
      </c>
      <c r="D114" s="248" t="s">
        <v>122</v>
      </c>
      <c r="E114" s="148" t="s">
        <v>35</v>
      </c>
      <c r="F114" s="13"/>
      <c r="G114" s="14">
        <f>+SUM('1:30'!G114)</f>
        <v>0</v>
      </c>
      <c r="H114" s="14">
        <f>+SUM('1:30'!H114)</f>
        <v>0</v>
      </c>
      <c r="I114" s="14">
        <f>+SUM('1:30'!I114)</f>
        <v>0</v>
      </c>
      <c r="J114" s="14">
        <f>+SUM('1:30'!J114)</f>
        <v>0</v>
      </c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">
        <f>+SUM('1:30'!O114)</f>
        <v>0</v>
      </c>
      <c r="P114" s="146">
        <f t="shared" si="9"/>
        <v>0</v>
      </c>
      <c r="Q114" s="14">
        <f>+SUM('1:30'!Q114)</f>
        <v>0</v>
      </c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14">
        <f>+SUM('1:30'!W114)</f>
        <v>0</v>
      </c>
      <c r="X114" s="14">
        <f>+SUM('1:30'!X114)</f>
        <v>0</v>
      </c>
      <c r="Y114" s="14">
        <f>+SUM('1:30'!Y114)</f>
        <v>0</v>
      </c>
      <c r="Z114" s="14">
        <f>+SUM('1:30'!Z114)</f>
        <v>0</v>
      </c>
      <c r="AA114" s="14">
        <f>+SUM('1:30'!AA114)</f>
        <v>0</v>
      </c>
      <c r="AB114" s="14">
        <f>+SUM('1:30'!AB114)</f>
        <v>0</v>
      </c>
      <c r="AC114" s="14">
        <f>+SUM('1:30'!AC114)</f>
        <v>0</v>
      </c>
    </row>
    <row r="115" spans="1:29" ht="22.5" customHeight="1">
      <c r="A115" s="142">
        <v>300097</v>
      </c>
      <c r="B115" s="135" t="s">
        <v>118</v>
      </c>
      <c r="C115" s="248" t="s">
        <v>121</v>
      </c>
      <c r="D115" s="248" t="s">
        <v>122</v>
      </c>
      <c r="E115" s="148" t="s">
        <v>63</v>
      </c>
      <c r="F115" s="13"/>
      <c r="G115" s="14">
        <f>+SUM('1:30'!G115)</f>
        <v>13.27</v>
      </c>
      <c r="H115" s="14">
        <f>+SUM('1:30'!H115)</f>
        <v>0.26666666666666666</v>
      </c>
      <c r="I115" s="14">
        <f>+SUM('1:30'!I115)</f>
        <v>12.333333333333332</v>
      </c>
      <c r="J115" s="14">
        <f>+SUM('1:30'!J115)</f>
        <v>280</v>
      </c>
      <c r="K115" s="146">
        <f t="shared" si="7"/>
        <v>6371.3251</v>
      </c>
      <c r="L115" s="146">
        <f t="shared" si="8"/>
        <v>5921.6033333333326</v>
      </c>
      <c r="M115" s="146">
        <v>480.13</v>
      </c>
      <c r="N115" s="146">
        <f>+M115*1000/(126.5*4*12*60)*T115</f>
        <v>2.6357597716293371</v>
      </c>
      <c r="O115" s="14">
        <f>+SUM('1:30'!O115)</f>
        <v>0.5</v>
      </c>
      <c r="P115" s="146">
        <f t="shared" si="9"/>
        <v>32.507703850095155</v>
      </c>
      <c r="Q115" s="14">
        <f>+SUM('1:30'!Q115)</f>
        <v>13</v>
      </c>
      <c r="R115" s="19">
        <f t="shared" si="10"/>
        <v>0</v>
      </c>
      <c r="S115" s="146">
        <f t="shared" si="11"/>
        <v>-32.507703850095155</v>
      </c>
      <c r="T115" s="20">
        <v>2</v>
      </c>
      <c r="U115" s="20"/>
      <c r="V115" s="143">
        <f t="array" ref="V115">IF(ISERROR(L115/K115),"",L115/K115)</f>
        <v>0.9294147199196181</v>
      </c>
      <c r="W115" s="14">
        <f>+SUM('1:30'!W115)</f>
        <v>0</v>
      </c>
      <c r="X115" s="14">
        <f>+SUM('1:30'!X115)</f>
        <v>0</v>
      </c>
      <c r="Y115" s="14">
        <f>+SUM('1:30'!Y115)</f>
        <v>0</v>
      </c>
      <c r="Z115" s="14">
        <f>+SUM('1:30'!Z115)</f>
        <v>0</v>
      </c>
      <c r="AA115" s="14">
        <f>+SUM('1:30'!AA115)</f>
        <v>2</v>
      </c>
      <c r="AB115" s="14">
        <f>+SUM('1:30'!AB115)</f>
        <v>0</v>
      </c>
      <c r="AC115" s="14">
        <f>+SUM('1:30'!AC115)</f>
        <v>0</v>
      </c>
    </row>
    <row r="116" spans="1:29" s="2" customFormat="1" ht="21.95" customHeight="1">
      <c r="A116" s="135">
        <v>300294</v>
      </c>
      <c r="B116" s="135" t="s">
        <v>118</v>
      </c>
      <c r="C116" s="248" t="s">
        <v>123</v>
      </c>
      <c r="D116" s="248"/>
      <c r="E116" s="148" t="s">
        <v>41</v>
      </c>
      <c r="F116" s="27"/>
      <c r="G116" s="14">
        <f>+SUM('1:30'!G116)</f>
        <v>0</v>
      </c>
      <c r="H116" s="14">
        <f>+SUM('1:30'!H116)</f>
        <v>0</v>
      </c>
      <c r="I116" s="14">
        <f>+SUM('1:30'!I116)</f>
        <v>0</v>
      </c>
      <c r="J116" s="14">
        <f>+SUM('1:30'!J116)</f>
        <v>0</v>
      </c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">
        <f>+SUM('1:30'!O116)</f>
        <v>0</v>
      </c>
      <c r="P116" s="146">
        <f t="shared" si="9"/>
        <v>0</v>
      </c>
      <c r="Q116" s="14">
        <f>+SUM('1:30'!Q116)</f>
        <v>0</v>
      </c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14">
        <f>+SUM('1:30'!W116)</f>
        <v>0</v>
      </c>
      <c r="X116" s="14">
        <f>+SUM('1:30'!X116)</f>
        <v>0</v>
      </c>
      <c r="Y116" s="14">
        <f>+SUM('1:30'!Y116)</f>
        <v>0</v>
      </c>
      <c r="Z116" s="14">
        <f>+SUM('1:30'!Z116)</f>
        <v>0</v>
      </c>
      <c r="AA116" s="14">
        <f>+SUM('1:30'!AA116)</f>
        <v>0</v>
      </c>
      <c r="AB116" s="14">
        <f>+SUM('1:30'!AB116)</f>
        <v>0</v>
      </c>
      <c r="AC116" s="14">
        <f>+SUM('1:30'!AC116)</f>
        <v>0</v>
      </c>
    </row>
    <row r="117" spans="1:29" s="2" customFormat="1" ht="21.95" customHeight="1">
      <c r="A117" s="135">
        <v>300295</v>
      </c>
      <c r="B117" s="135" t="s">
        <v>124</v>
      </c>
      <c r="C117" s="248" t="s">
        <v>125</v>
      </c>
      <c r="D117" s="248"/>
      <c r="E117" s="148" t="s">
        <v>126</v>
      </c>
      <c r="F117" s="27"/>
      <c r="G117" s="14">
        <f>+SUM('1:30'!G117)</f>
        <v>0</v>
      </c>
      <c r="H117" s="14">
        <f>+SUM('1:30'!H117)</f>
        <v>0</v>
      </c>
      <c r="I117" s="14">
        <f>+SUM('1:30'!I117)</f>
        <v>0</v>
      </c>
      <c r="J117" s="14">
        <f>+SUM('1:30'!J117)</f>
        <v>0</v>
      </c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">
        <f>+SUM('1:30'!O117)</f>
        <v>0</v>
      </c>
      <c r="P117" s="146">
        <f t="shared" si="9"/>
        <v>0</v>
      </c>
      <c r="Q117" s="14">
        <f>+SUM('1:30'!Q117)</f>
        <v>0</v>
      </c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14">
        <f>+SUM('1:30'!W117)</f>
        <v>0</v>
      </c>
      <c r="X117" s="14">
        <f>+SUM('1:30'!X117)</f>
        <v>0</v>
      </c>
      <c r="Y117" s="14">
        <f>+SUM('1:30'!Y117)</f>
        <v>0</v>
      </c>
      <c r="Z117" s="14">
        <f>+SUM('1:30'!Z117)</f>
        <v>0</v>
      </c>
      <c r="AA117" s="14">
        <f>+SUM('1:30'!AA117)</f>
        <v>0</v>
      </c>
      <c r="AB117" s="14">
        <f>+SUM('1:30'!AB117)</f>
        <v>0</v>
      </c>
      <c r="AC117" s="14">
        <f>+SUM('1:30'!AC117)</f>
        <v>0</v>
      </c>
    </row>
    <row r="118" spans="1:29" s="2" customFormat="1" ht="21.95" customHeight="1">
      <c r="A118" s="135">
        <v>300258</v>
      </c>
      <c r="B118" s="135" t="s">
        <v>118</v>
      </c>
      <c r="C118" s="248" t="s">
        <v>123</v>
      </c>
      <c r="D118" s="248"/>
      <c r="E118" s="148" t="s">
        <v>42</v>
      </c>
      <c r="F118" s="27"/>
      <c r="G118" s="14">
        <f>+SUM('1:30'!G118)</f>
        <v>0</v>
      </c>
      <c r="H118" s="14">
        <f>+SUM('1:30'!H118)</f>
        <v>0</v>
      </c>
      <c r="I118" s="14">
        <f>+SUM('1:30'!I118)</f>
        <v>0</v>
      </c>
      <c r="J118" s="14">
        <f>+SUM('1:30'!J118)</f>
        <v>0</v>
      </c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">
        <f>+SUM('1:30'!O118)</f>
        <v>0</v>
      </c>
      <c r="P118" s="146">
        <f t="shared" si="9"/>
        <v>0</v>
      </c>
      <c r="Q118" s="14">
        <f>+SUM('1:30'!Q118)</f>
        <v>0</v>
      </c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14">
        <f>+SUM('1:30'!W118)</f>
        <v>0</v>
      </c>
      <c r="X118" s="14">
        <f>+SUM('1:30'!X118)</f>
        <v>0</v>
      </c>
      <c r="Y118" s="14">
        <f>+SUM('1:30'!Y118)</f>
        <v>0</v>
      </c>
      <c r="Z118" s="14">
        <f>+SUM('1:30'!Z118)</f>
        <v>0</v>
      </c>
      <c r="AA118" s="14">
        <f>+SUM('1:30'!AA118)</f>
        <v>0</v>
      </c>
      <c r="AB118" s="14">
        <f>+SUM('1:30'!AB118)</f>
        <v>0</v>
      </c>
      <c r="AC118" s="14">
        <f>+SUM('1:30'!AC118)</f>
        <v>0</v>
      </c>
    </row>
    <row r="119" spans="1:29" s="2" customFormat="1" ht="21.95" customHeight="1">
      <c r="A119" s="135">
        <v>300256</v>
      </c>
      <c r="B119" s="135" t="s">
        <v>118</v>
      </c>
      <c r="C119" s="248" t="s">
        <v>123</v>
      </c>
      <c r="D119" s="248"/>
      <c r="E119" s="148" t="s">
        <v>74</v>
      </c>
      <c r="F119" s="27"/>
      <c r="G119" s="14">
        <f>+SUM('1:30'!G119)</f>
        <v>0</v>
      </c>
      <c r="H119" s="14">
        <f>+SUM('1:30'!H119)</f>
        <v>0</v>
      </c>
      <c r="I119" s="14">
        <f>+SUM('1:30'!I119)</f>
        <v>0</v>
      </c>
      <c r="J119" s="14">
        <f>+SUM('1:30'!J119)</f>
        <v>0</v>
      </c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">
        <f>+SUM('1:30'!O119)</f>
        <v>0</v>
      </c>
      <c r="P119" s="146">
        <f t="shared" si="9"/>
        <v>0</v>
      </c>
      <c r="Q119" s="14">
        <f>+SUM('1:30'!Q119)</f>
        <v>0</v>
      </c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14">
        <f>+SUM('1:30'!W119)</f>
        <v>0</v>
      </c>
      <c r="X119" s="14">
        <f>+SUM('1:30'!X119)</f>
        <v>0</v>
      </c>
      <c r="Y119" s="14">
        <f>+SUM('1:30'!Y119)</f>
        <v>0</v>
      </c>
      <c r="Z119" s="14">
        <f>+SUM('1:30'!Z119)</f>
        <v>0</v>
      </c>
      <c r="AA119" s="14">
        <f>+SUM('1:30'!AA119)</f>
        <v>0</v>
      </c>
      <c r="AB119" s="14">
        <f>+SUM('1:30'!AB119)</f>
        <v>0</v>
      </c>
      <c r="AC119" s="14">
        <f>+SUM('1:30'!AC119)</f>
        <v>0</v>
      </c>
    </row>
    <row r="120" spans="1:29" s="2" customFormat="1" ht="21.95" customHeight="1">
      <c r="A120" s="135">
        <v>300259</v>
      </c>
      <c r="B120" s="135" t="s">
        <v>118</v>
      </c>
      <c r="C120" s="248" t="s">
        <v>123</v>
      </c>
      <c r="D120" s="248"/>
      <c r="E120" s="148" t="s">
        <v>40</v>
      </c>
      <c r="F120" s="27"/>
      <c r="G120" s="14">
        <f>+SUM('1:30'!G120)</f>
        <v>0</v>
      </c>
      <c r="H120" s="14">
        <f>+SUM('1:30'!H120)</f>
        <v>0</v>
      </c>
      <c r="I120" s="14">
        <f>+SUM('1:30'!I120)</f>
        <v>0</v>
      </c>
      <c r="J120" s="14">
        <f>+SUM('1:30'!J120)</f>
        <v>0</v>
      </c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">
        <f>+SUM('1:30'!O120)</f>
        <v>0</v>
      </c>
      <c r="P120" s="146">
        <f t="shared" si="9"/>
        <v>0</v>
      </c>
      <c r="Q120" s="14">
        <f>+SUM('1:30'!Q120)</f>
        <v>0</v>
      </c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14">
        <f>+SUM('1:30'!W120)</f>
        <v>0</v>
      </c>
      <c r="X120" s="14">
        <f>+SUM('1:30'!X120)</f>
        <v>0</v>
      </c>
      <c r="Y120" s="14">
        <f>+SUM('1:30'!Y120)</f>
        <v>0</v>
      </c>
      <c r="Z120" s="14">
        <f>+SUM('1:30'!Z120)</f>
        <v>0</v>
      </c>
      <c r="AA120" s="14">
        <f>+SUM('1:30'!AA120)</f>
        <v>0</v>
      </c>
      <c r="AB120" s="14">
        <f>+SUM('1:30'!AB120)</f>
        <v>0</v>
      </c>
      <c r="AC120" s="14">
        <f>+SUM('1:30'!AC120)</f>
        <v>0</v>
      </c>
    </row>
    <row r="121" spans="1:29" s="2" customFormat="1" ht="21.95" customHeight="1">
      <c r="A121" s="135">
        <v>300345</v>
      </c>
      <c r="B121" s="135" t="s">
        <v>118</v>
      </c>
      <c r="C121" s="248" t="s">
        <v>127</v>
      </c>
      <c r="D121" s="248"/>
      <c r="E121" s="148" t="s">
        <v>74</v>
      </c>
      <c r="F121" s="27"/>
      <c r="G121" s="14">
        <f>+SUM('1:30'!G121)</f>
        <v>0</v>
      </c>
      <c r="H121" s="14">
        <f>+SUM('1:30'!H121)</f>
        <v>0</v>
      </c>
      <c r="I121" s="14">
        <f>+SUM('1:30'!I121)</f>
        <v>0</v>
      </c>
      <c r="J121" s="14">
        <f>+SUM('1:30'!J121)</f>
        <v>0</v>
      </c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14">
        <f>+SUM('1:30'!O121)</f>
        <v>0</v>
      </c>
      <c r="P121" s="146">
        <f t="shared" si="9"/>
        <v>0</v>
      </c>
      <c r="Q121" s="14">
        <f>+SUM('1:30'!Q121)</f>
        <v>0</v>
      </c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14">
        <f>+SUM('1:30'!W121)</f>
        <v>0</v>
      </c>
      <c r="X121" s="14">
        <f>+SUM('1:30'!X121)</f>
        <v>0</v>
      </c>
      <c r="Y121" s="14">
        <f>+SUM('1:30'!Y121)</f>
        <v>0</v>
      </c>
      <c r="Z121" s="14">
        <f>+SUM('1:30'!Z121)</f>
        <v>0</v>
      </c>
      <c r="AA121" s="14">
        <f>+SUM('1:30'!AA121)</f>
        <v>0</v>
      </c>
      <c r="AB121" s="14">
        <f>+SUM('1:30'!AB121)</f>
        <v>0</v>
      </c>
      <c r="AC121" s="14">
        <f>+SUM('1:30'!AC121)</f>
        <v>0</v>
      </c>
    </row>
    <row r="122" spans="1:29" s="2" customFormat="1" ht="21.95" customHeight="1">
      <c r="A122" s="135">
        <v>300346</v>
      </c>
      <c r="B122" s="135" t="s">
        <v>118</v>
      </c>
      <c r="C122" s="248" t="s">
        <v>127</v>
      </c>
      <c r="D122" s="248"/>
      <c r="E122" s="148" t="s">
        <v>42</v>
      </c>
      <c r="F122" s="27"/>
      <c r="G122" s="14">
        <f>+SUM('1:30'!G122)</f>
        <v>0</v>
      </c>
      <c r="H122" s="14">
        <f>+SUM('1:30'!H122)</f>
        <v>0</v>
      </c>
      <c r="I122" s="14">
        <f>+SUM('1:30'!I122)</f>
        <v>0</v>
      </c>
      <c r="J122" s="14">
        <f>+SUM('1:30'!J122)</f>
        <v>0</v>
      </c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14">
        <f>+SUM('1:30'!O122)</f>
        <v>0</v>
      </c>
      <c r="P122" s="146">
        <f t="shared" si="9"/>
        <v>0</v>
      </c>
      <c r="Q122" s="14">
        <f>+SUM('1:30'!Q122)</f>
        <v>0</v>
      </c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14">
        <f>+SUM('1:30'!W122)</f>
        <v>0</v>
      </c>
      <c r="X122" s="14">
        <f>+SUM('1:30'!X122)</f>
        <v>0</v>
      </c>
      <c r="Y122" s="14">
        <f>+SUM('1:30'!Y122)</f>
        <v>0</v>
      </c>
      <c r="Z122" s="14">
        <f>+SUM('1:30'!Z122)</f>
        <v>0</v>
      </c>
      <c r="AA122" s="14">
        <f>+SUM('1:30'!AA122)</f>
        <v>0</v>
      </c>
      <c r="AB122" s="14">
        <f>+SUM('1:30'!AB122)</f>
        <v>0</v>
      </c>
      <c r="AC122" s="14">
        <f>+SUM('1:30'!AC122)</f>
        <v>0</v>
      </c>
    </row>
    <row r="123" spans="1:29" s="2" customFormat="1" ht="21.95" customHeight="1">
      <c r="A123" s="135">
        <v>300347</v>
      </c>
      <c r="B123" s="135" t="s">
        <v>118</v>
      </c>
      <c r="C123" s="248" t="s">
        <v>127</v>
      </c>
      <c r="D123" s="248"/>
      <c r="E123" s="148" t="s">
        <v>41</v>
      </c>
      <c r="F123" s="27"/>
      <c r="G123" s="14">
        <f>+SUM('1:30'!G123)</f>
        <v>0</v>
      </c>
      <c r="H123" s="14">
        <f>+SUM('1:30'!H123)</f>
        <v>0</v>
      </c>
      <c r="I123" s="14">
        <f>+SUM('1:30'!I123)</f>
        <v>0</v>
      </c>
      <c r="J123" s="14">
        <f>+SUM('1:30'!J123)</f>
        <v>0</v>
      </c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14">
        <f>+SUM('1:30'!O123)</f>
        <v>0</v>
      </c>
      <c r="P123" s="146">
        <f t="shared" si="9"/>
        <v>0</v>
      </c>
      <c r="Q123" s="14">
        <f>+SUM('1:30'!Q123)</f>
        <v>0</v>
      </c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14">
        <f>+SUM('1:30'!W123)</f>
        <v>0</v>
      </c>
      <c r="X123" s="14">
        <f>+SUM('1:30'!X123)</f>
        <v>0</v>
      </c>
      <c r="Y123" s="14">
        <f>+SUM('1:30'!Y123)</f>
        <v>0</v>
      </c>
      <c r="Z123" s="14">
        <f>+SUM('1:30'!Z123)</f>
        <v>0</v>
      </c>
      <c r="AA123" s="14">
        <f>+SUM('1:30'!AA123)</f>
        <v>0</v>
      </c>
      <c r="AB123" s="14">
        <f>+SUM('1:30'!AB123)</f>
        <v>0</v>
      </c>
      <c r="AC123" s="14">
        <f>+SUM('1:30'!AC123)</f>
        <v>0</v>
      </c>
    </row>
    <row r="124" spans="1:29" s="2" customFormat="1" ht="21.95" customHeight="1">
      <c r="A124" s="135">
        <v>300348</v>
      </c>
      <c r="B124" s="135" t="s">
        <v>118</v>
      </c>
      <c r="C124" s="248" t="s">
        <v>127</v>
      </c>
      <c r="D124" s="248"/>
      <c r="E124" s="148" t="s">
        <v>126</v>
      </c>
      <c r="F124" s="27"/>
      <c r="G124" s="14">
        <f>+SUM('1:30'!G124)</f>
        <v>0</v>
      </c>
      <c r="H124" s="14">
        <f>+SUM('1:30'!H124)</f>
        <v>0</v>
      </c>
      <c r="I124" s="14">
        <f>+SUM('1:30'!I124)</f>
        <v>0</v>
      </c>
      <c r="J124" s="14">
        <f>+SUM('1:30'!J124)</f>
        <v>0</v>
      </c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14">
        <f>+SUM('1:30'!O124)</f>
        <v>0</v>
      </c>
      <c r="P124" s="146">
        <f t="shared" si="9"/>
        <v>0</v>
      </c>
      <c r="Q124" s="14">
        <f>+SUM('1:30'!Q124)</f>
        <v>0</v>
      </c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14">
        <f>+SUM('1:30'!W124)</f>
        <v>0</v>
      </c>
      <c r="X124" s="14">
        <f>+SUM('1:30'!X124)</f>
        <v>0</v>
      </c>
      <c r="Y124" s="14">
        <f>+SUM('1:30'!Y124)</f>
        <v>0</v>
      </c>
      <c r="Z124" s="14">
        <f>+SUM('1:30'!Z124)</f>
        <v>0</v>
      </c>
      <c r="AA124" s="14">
        <f>+SUM('1:30'!AA124)</f>
        <v>0</v>
      </c>
      <c r="AB124" s="14">
        <f>+SUM('1:30'!AB124)</f>
        <v>0</v>
      </c>
      <c r="AC124" s="14">
        <f>+SUM('1:30'!AC124)</f>
        <v>0</v>
      </c>
    </row>
    <row r="125" spans="1:29" s="2" customFormat="1" ht="21.95" customHeight="1">
      <c r="A125" s="135">
        <v>300349</v>
      </c>
      <c r="B125" s="135" t="s">
        <v>118</v>
      </c>
      <c r="C125" s="248" t="s">
        <v>127</v>
      </c>
      <c r="D125" s="248"/>
      <c r="E125" s="148" t="s">
        <v>40</v>
      </c>
      <c r="F125" s="27"/>
      <c r="G125" s="14">
        <f>+SUM('1:30'!G125)</f>
        <v>0</v>
      </c>
      <c r="H125" s="14">
        <f>+SUM('1:30'!H125)</f>
        <v>0</v>
      </c>
      <c r="I125" s="14">
        <f>+SUM('1:30'!I125)</f>
        <v>0</v>
      </c>
      <c r="J125" s="14">
        <f>+SUM('1:30'!J125)</f>
        <v>0</v>
      </c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14">
        <f>+SUM('1:30'!O125)</f>
        <v>0</v>
      </c>
      <c r="P125" s="146">
        <f t="shared" si="9"/>
        <v>0</v>
      </c>
      <c r="Q125" s="14">
        <f>+SUM('1:30'!Q125)</f>
        <v>0</v>
      </c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14">
        <f>+SUM('1:30'!W125)</f>
        <v>0</v>
      </c>
      <c r="X125" s="14">
        <f>+SUM('1:30'!X125)</f>
        <v>0</v>
      </c>
      <c r="Y125" s="14">
        <f>+SUM('1:30'!Y125)</f>
        <v>0</v>
      </c>
      <c r="Z125" s="14">
        <f>+SUM('1:30'!Z125)</f>
        <v>0</v>
      </c>
      <c r="AA125" s="14">
        <f>+SUM('1:30'!AA125)</f>
        <v>0</v>
      </c>
      <c r="AB125" s="14">
        <f>+SUM('1:30'!AB125)</f>
        <v>0</v>
      </c>
      <c r="AC125" s="14">
        <f>+SUM('1:30'!AC125)</f>
        <v>0</v>
      </c>
    </row>
    <row r="126" spans="1:29" s="2" customFormat="1" ht="21.95" customHeight="1">
      <c r="A126" s="135">
        <v>300298</v>
      </c>
      <c r="B126" s="135" t="s">
        <v>118</v>
      </c>
      <c r="C126" s="248" t="s">
        <v>128</v>
      </c>
      <c r="D126" s="248"/>
      <c r="E126" s="148" t="s">
        <v>54</v>
      </c>
      <c r="F126" s="27"/>
      <c r="G126" s="14">
        <f>+SUM('1:30'!G126)</f>
        <v>0</v>
      </c>
      <c r="H126" s="14">
        <f>+SUM('1:30'!H126)</f>
        <v>0</v>
      </c>
      <c r="I126" s="14">
        <f>+SUM('1:30'!I126)</f>
        <v>0</v>
      </c>
      <c r="J126" s="14">
        <f>+SUM('1:30'!J126)</f>
        <v>0</v>
      </c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">
        <f>+SUM('1:30'!O126)</f>
        <v>0</v>
      </c>
      <c r="P126" s="146">
        <f t="shared" si="9"/>
        <v>0</v>
      </c>
      <c r="Q126" s="14">
        <f>+SUM('1:30'!Q126)</f>
        <v>0</v>
      </c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14">
        <f>+SUM('1:30'!W126)</f>
        <v>0</v>
      </c>
      <c r="X126" s="14">
        <f>+SUM('1:30'!X126)</f>
        <v>0</v>
      </c>
      <c r="Y126" s="14">
        <f>+SUM('1:30'!Y126)</f>
        <v>0</v>
      </c>
      <c r="Z126" s="14">
        <f>+SUM('1:30'!Z126)</f>
        <v>0</v>
      </c>
      <c r="AA126" s="14">
        <f>+SUM('1:30'!AA126)</f>
        <v>0</v>
      </c>
      <c r="AB126" s="14">
        <f>+SUM('1:30'!AB126)</f>
        <v>0</v>
      </c>
      <c r="AC126" s="14">
        <f>+SUM('1:30'!AC126)</f>
        <v>0</v>
      </c>
    </row>
    <row r="127" spans="1:29" s="2" customFormat="1" ht="21.95" customHeight="1">
      <c r="A127" s="135">
        <v>300299</v>
      </c>
      <c r="B127" s="135" t="s">
        <v>118</v>
      </c>
      <c r="C127" s="248" t="s">
        <v>128</v>
      </c>
      <c r="D127" s="248"/>
      <c r="E127" s="148" t="s">
        <v>39</v>
      </c>
      <c r="F127" s="27"/>
      <c r="G127" s="14">
        <f>+SUM('1:30'!G127)</f>
        <v>0</v>
      </c>
      <c r="H127" s="14">
        <f>+SUM('1:30'!H127)</f>
        <v>0</v>
      </c>
      <c r="I127" s="14">
        <f>+SUM('1:30'!I127)</f>
        <v>0</v>
      </c>
      <c r="J127" s="14">
        <f>+SUM('1:30'!J127)</f>
        <v>0</v>
      </c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">
        <f>+SUM('1:30'!O127)</f>
        <v>0</v>
      </c>
      <c r="P127" s="146">
        <f t="shared" si="9"/>
        <v>0</v>
      </c>
      <c r="Q127" s="14">
        <f>+SUM('1:30'!Q127)</f>
        <v>0</v>
      </c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14">
        <f>+SUM('1:30'!W127)</f>
        <v>0</v>
      </c>
      <c r="X127" s="14">
        <f>+SUM('1:30'!X127)</f>
        <v>0</v>
      </c>
      <c r="Y127" s="14">
        <f>+SUM('1:30'!Y127)</f>
        <v>0</v>
      </c>
      <c r="Z127" s="14">
        <f>+SUM('1:30'!Z127)</f>
        <v>0</v>
      </c>
      <c r="AA127" s="14">
        <f>+SUM('1:30'!AA127)</f>
        <v>0</v>
      </c>
      <c r="AB127" s="14">
        <f>+SUM('1:30'!AB127)</f>
        <v>0</v>
      </c>
      <c r="AC127" s="14">
        <f>+SUM('1:30'!AC127)</f>
        <v>0</v>
      </c>
    </row>
    <row r="128" spans="1:29" s="2" customFormat="1" ht="21.95" customHeight="1">
      <c r="A128" s="135">
        <v>300296</v>
      </c>
      <c r="B128" s="135" t="s">
        <v>118</v>
      </c>
      <c r="C128" s="248" t="s">
        <v>128</v>
      </c>
      <c r="D128" s="248"/>
      <c r="E128" s="148" t="s">
        <v>41</v>
      </c>
      <c r="F128" s="27"/>
      <c r="G128" s="14">
        <f>+SUM('1:30'!G128)</f>
        <v>0</v>
      </c>
      <c r="H128" s="14">
        <f>+SUM('1:30'!H128)</f>
        <v>0</v>
      </c>
      <c r="I128" s="14">
        <f>+SUM('1:30'!I128)</f>
        <v>0</v>
      </c>
      <c r="J128" s="14">
        <f>+SUM('1:30'!J128)</f>
        <v>0</v>
      </c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">
        <f>+SUM('1:30'!O128)</f>
        <v>0</v>
      </c>
      <c r="P128" s="146">
        <f t="shared" si="9"/>
        <v>0</v>
      </c>
      <c r="Q128" s="14">
        <f>+SUM('1:30'!Q128)</f>
        <v>0</v>
      </c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14">
        <f>+SUM('1:30'!W128)</f>
        <v>0</v>
      </c>
      <c r="X128" s="14">
        <f>+SUM('1:30'!X128)</f>
        <v>0</v>
      </c>
      <c r="Y128" s="14">
        <f>+SUM('1:30'!Y128)</f>
        <v>0</v>
      </c>
      <c r="Z128" s="14">
        <f>+SUM('1:30'!Z128)</f>
        <v>0</v>
      </c>
      <c r="AA128" s="14">
        <f>+SUM('1:30'!AA128)</f>
        <v>0</v>
      </c>
      <c r="AB128" s="14">
        <f>+SUM('1:30'!AB128)</f>
        <v>0</v>
      </c>
      <c r="AC128" s="14">
        <f>+SUM('1:30'!AC128)</f>
        <v>0</v>
      </c>
    </row>
    <row r="129" spans="1:29" s="2" customFormat="1" ht="21.95" customHeight="1">
      <c r="A129" s="135">
        <v>300297</v>
      </c>
      <c r="B129" s="135" t="s">
        <v>118</v>
      </c>
      <c r="C129" s="248" t="s">
        <v>128</v>
      </c>
      <c r="D129" s="248"/>
      <c r="E129" s="148" t="s">
        <v>37</v>
      </c>
      <c r="F129" s="27"/>
      <c r="G129" s="14">
        <f>+SUM('1:30'!G129)</f>
        <v>0</v>
      </c>
      <c r="H129" s="14">
        <f>+SUM('1:30'!H129)</f>
        <v>0</v>
      </c>
      <c r="I129" s="14">
        <f>+SUM('1:30'!I129)</f>
        <v>0</v>
      </c>
      <c r="J129" s="14">
        <f>+SUM('1:30'!J129)</f>
        <v>0</v>
      </c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">
        <f>+SUM('1:30'!O129)</f>
        <v>0</v>
      </c>
      <c r="P129" s="146">
        <f t="shared" si="9"/>
        <v>0</v>
      </c>
      <c r="Q129" s="14">
        <f>+SUM('1:30'!Q129)</f>
        <v>0</v>
      </c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14">
        <f>+SUM('1:30'!W129)</f>
        <v>0</v>
      </c>
      <c r="X129" s="14">
        <f>+SUM('1:30'!X129)</f>
        <v>0</v>
      </c>
      <c r="Y129" s="14">
        <f>+SUM('1:30'!Y129)</f>
        <v>0</v>
      </c>
      <c r="Z129" s="14">
        <f>+SUM('1:30'!Z129)</f>
        <v>0</v>
      </c>
      <c r="AA129" s="14">
        <f>+SUM('1:30'!AA129)</f>
        <v>0</v>
      </c>
      <c r="AB129" s="14">
        <f>+SUM('1:30'!AB129)</f>
        <v>0</v>
      </c>
      <c r="AC129" s="14">
        <f>+SUM('1:30'!AC129)</f>
        <v>0</v>
      </c>
    </row>
    <row r="130" spans="1:29" s="2" customFormat="1" ht="21.95" customHeight="1">
      <c r="A130" s="135">
        <v>300340</v>
      </c>
      <c r="B130" s="135" t="s">
        <v>118</v>
      </c>
      <c r="C130" s="259" t="s">
        <v>129</v>
      </c>
      <c r="D130" s="260"/>
      <c r="E130" s="148" t="s">
        <v>41</v>
      </c>
      <c r="F130" s="27"/>
      <c r="G130" s="14">
        <f>+SUM('1:30'!G130)</f>
        <v>0</v>
      </c>
      <c r="H130" s="14">
        <f>+SUM('1:30'!H130)</f>
        <v>0</v>
      </c>
      <c r="I130" s="14">
        <f>+SUM('1:30'!I130)</f>
        <v>0</v>
      </c>
      <c r="J130" s="14">
        <f>+SUM('1:30'!J130)</f>
        <v>0</v>
      </c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">
        <f>+SUM('1:30'!O130)</f>
        <v>0</v>
      </c>
      <c r="P130" s="146">
        <f t="shared" si="9"/>
        <v>0</v>
      </c>
      <c r="Q130" s="14">
        <f>+SUM('1:30'!Q130)</f>
        <v>0</v>
      </c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14">
        <f>+SUM('1:30'!W130)</f>
        <v>0</v>
      </c>
      <c r="X130" s="14">
        <f>+SUM('1:30'!X130)</f>
        <v>0</v>
      </c>
      <c r="Y130" s="14">
        <f>+SUM('1:30'!Y130)</f>
        <v>0</v>
      </c>
      <c r="Z130" s="14">
        <f>+SUM('1:30'!Z130)</f>
        <v>0</v>
      </c>
      <c r="AA130" s="14">
        <f>+SUM('1:30'!AA130)</f>
        <v>0</v>
      </c>
      <c r="AB130" s="14">
        <f>+SUM('1:30'!AB130)</f>
        <v>0</v>
      </c>
      <c r="AC130" s="14">
        <f>+SUM('1:30'!AC130)</f>
        <v>0</v>
      </c>
    </row>
    <row r="131" spans="1:29" s="2" customFormat="1" ht="21.95" customHeight="1">
      <c r="A131" s="135">
        <v>300339</v>
      </c>
      <c r="B131" s="135" t="s">
        <v>118</v>
      </c>
      <c r="C131" s="259" t="s">
        <v>129</v>
      </c>
      <c r="D131" s="260"/>
      <c r="E131" s="148" t="s">
        <v>39</v>
      </c>
      <c r="F131" s="27"/>
      <c r="G131" s="14">
        <f>+SUM('1:30'!G131)</f>
        <v>0</v>
      </c>
      <c r="H131" s="14">
        <f>+SUM('1:30'!H131)</f>
        <v>0</v>
      </c>
      <c r="I131" s="14">
        <f>+SUM('1:30'!I131)</f>
        <v>0</v>
      </c>
      <c r="J131" s="14">
        <f>+SUM('1:30'!J131)</f>
        <v>0</v>
      </c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">
        <f>+SUM('1:30'!O131)</f>
        <v>0</v>
      </c>
      <c r="P131" s="146">
        <f t="shared" si="9"/>
        <v>0</v>
      </c>
      <c r="Q131" s="14">
        <f>+SUM('1:30'!Q131)</f>
        <v>0</v>
      </c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14">
        <f>+SUM('1:30'!W131)</f>
        <v>0</v>
      </c>
      <c r="X131" s="14">
        <f>+SUM('1:30'!X131)</f>
        <v>0</v>
      </c>
      <c r="Y131" s="14">
        <f>+SUM('1:30'!Y131)</f>
        <v>0</v>
      </c>
      <c r="Z131" s="14">
        <f>+SUM('1:30'!Z131)</f>
        <v>0</v>
      </c>
      <c r="AA131" s="14">
        <f>+SUM('1:30'!AA131)</f>
        <v>0</v>
      </c>
      <c r="AB131" s="14">
        <f>+SUM('1:30'!AB131)</f>
        <v>0</v>
      </c>
      <c r="AC131" s="14">
        <f>+SUM('1:30'!AC131)</f>
        <v>0</v>
      </c>
    </row>
    <row r="132" spans="1:29" s="2" customFormat="1" ht="21.95" customHeight="1">
      <c r="A132" s="135">
        <v>300303</v>
      </c>
      <c r="B132" s="135" t="s">
        <v>118</v>
      </c>
      <c r="C132" s="248" t="s">
        <v>130</v>
      </c>
      <c r="D132" s="248" t="s">
        <v>131</v>
      </c>
      <c r="E132" s="148" t="s">
        <v>57</v>
      </c>
      <c r="F132" s="27"/>
      <c r="G132" s="14">
        <f>+SUM('1:30'!G132)</f>
        <v>0</v>
      </c>
      <c r="H132" s="14">
        <f>+SUM('1:30'!H132)</f>
        <v>0</v>
      </c>
      <c r="I132" s="14">
        <f>+SUM('1:30'!I132)</f>
        <v>0</v>
      </c>
      <c r="J132" s="14">
        <f>+SUM('1:30'!J132)</f>
        <v>0</v>
      </c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">
        <f>+SUM('1:30'!O132)</f>
        <v>0</v>
      </c>
      <c r="P132" s="146">
        <f t="shared" si="9"/>
        <v>0</v>
      </c>
      <c r="Q132" s="14">
        <f>+SUM('1:30'!Q132)</f>
        <v>0</v>
      </c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14">
        <f>+SUM('1:30'!W132)</f>
        <v>0</v>
      </c>
      <c r="X132" s="14">
        <f>+SUM('1:30'!X132)</f>
        <v>0</v>
      </c>
      <c r="Y132" s="14">
        <f>+SUM('1:30'!Y132)</f>
        <v>0</v>
      </c>
      <c r="Z132" s="14">
        <f>+SUM('1:30'!Z132)</f>
        <v>0</v>
      </c>
      <c r="AA132" s="14">
        <f>+SUM('1:30'!AA132)</f>
        <v>0</v>
      </c>
      <c r="AB132" s="14">
        <f>+SUM('1:30'!AB132)</f>
        <v>0</v>
      </c>
      <c r="AC132" s="14">
        <f>+SUM('1:30'!AC132)</f>
        <v>0</v>
      </c>
    </row>
    <row r="133" spans="1:29" s="2" customFormat="1" ht="21.95" customHeight="1">
      <c r="A133" s="135">
        <v>300302</v>
      </c>
      <c r="B133" s="135" t="s">
        <v>118</v>
      </c>
      <c r="C133" s="248" t="s">
        <v>130</v>
      </c>
      <c r="D133" s="248" t="s">
        <v>131</v>
      </c>
      <c r="E133" s="148" t="s">
        <v>117</v>
      </c>
      <c r="F133" s="27"/>
      <c r="G133" s="14">
        <f>+SUM('1:30'!G133)</f>
        <v>0</v>
      </c>
      <c r="H133" s="14">
        <f>+SUM('1:30'!H133)</f>
        <v>0</v>
      </c>
      <c r="I133" s="14">
        <f>+SUM('1:30'!I133)</f>
        <v>0</v>
      </c>
      <c r="J133" s="14">
        <f>+SUM('1:30'!J133)</f>
        <v>0</v>
      </c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">
        <f>+SUM('1:30'!O133)</f>
        <v>0</v>
      </c>
      <c r="P133" s="146">
        <f t="shared" si="9"/>
        <v>0</v>
      </c>
      <c r="Q133" s="14">
        <f>+SUM('1:30'!Q133)</f>
        <v>0</v>
      </c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14">
        <f>+SUM('1:30'!W133)</f>
        <v>0</v>
      </c>
      <c r="X133" s="14">
        <f>+SUM('1:30'!X133)</f>
        <v>0</v>
      </c>
      <c r="Y133" s="14">
        <f>+SUM('1:30'!Y133)</f>
        <v>0</v>
      </c>
      <c r="Z133" s="14">
        <f>+SUM('1:30'!Z133)</f>
        <v>0</v>
      </c>
      <c r="AA133" s="14">
        <f>+SUM('1:30'!AA133)</f>
        <v>0</v>
      </c>
      <c r="AB133" s="14">
        <f>+SUM('1:30'!AB133)</f>
        <v>0</v>
      </c>
      <c r="AC133" s="14">
        <f>+SUM('1:30'!AC133)</f>
        <v>0</v>
      </c>
    </row>
    <row r="134" spans="1:29" s="2" customFormat="1" ht="21.95" customHeight="1">
      <c r="A134" s="135">
        <v>300301</v>
      </c>
      <c r="B134" s="135" t="s">
        <v>118</v>
      </c>
      <c r="C134" s="248" t="s">
        <v>130</v>
      </c>
      <c r="D134" s="248" t="s">
        <v>131</v>
      </c>
      <c r="E134" s="148" t="s">
        <v>132</v>
      </c>
      <c r="F134" s="27"/>
      <c r="G134" s="14">
        <f>+SUM('1:30'!G134)</f>
        <v>0</v>
      </c>
      <c r="H134" s="14">
        <f>+SUM('1:30'!H134)</f>
        <v>0</v>
      </c>
      <c r="I134" s="14">
        <f>+SUM('1:30'!I134)</f>
        <v>0</v>
      </c>
      <c r="J134" s="14">
        <f>+SUM('1:30'!J134)</f>
        <v>0</v>
      </c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">
        <f>+SUM('1:30'!O134)</f>
        <v>0</v>
      </c>
      <c r="P134" s="146">
        <f t="shared" si="9"/>
        <v>0</v>
      </c>
      <c r="Q134" s="14">
        <f>+SUM('1:30'!Q134)</f>
        <v>0</v>
      </c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14">
        <f>+SUM('1:30'!W134)</f>
        <v>0</v>
      </c>
      <c r="X134" s="14">
        <f>+SUM('1:30'!X134)</f>
        <v>0</v>
      </c>
      <c r="Y134" s="14">
        <f>+SUM('1:30'!Y134)</f>
        <v>0</v>
      </c>
      <c r="Z134" s="14">
        <f>+SUM('1:30'!Z134)</f>
        <v>0</v>
      </c>
      <c r="AA134" s="14">
        <f>+SUM('1:30'!AA134)</f>
        <v>0</v>
      </c>
      <c r="AB134" s="14">
        <f>+SUM('1:30'!AB134)</f>
        <v>0</v>
      </c>
      <c r="AC134" s="14">
        <f>+SUM('1:30'!AC134)</f>
        <v>0</v>
      </c>
    </row>
    <row r="135" spans="1:29" s="2" customFormat="1" ht="21.95" customHeight="1">
      <c r="A135" s="142">
        <v>300304</v>
      </c>
      <c r="B135" s="135" t="s">
        <v>118</v>
      </c>
      <c r="C135" s="248" t="s">
        <v>130</v>
      </c>
      <c r="D135" s="248"/>
      <c r="E135" s="148" t="s">
        <v>133</v>
      </c>
      <c r="F135" s="27"/>
      <c r="G135" s="14">
        <f>+SUM('1:30'!G135)</f>
        <v>0</v>
      </c>
      <c r="H135" s="14">
        <f>+SUM('1:30'!H135)</f>
        <v>0</v>
      </c>
      <c r="I135" s="14">
        <f>+SUM('1:30'!I135)</f>
        <v>0</v>
      </c>
      <c r="J135" s="14">
        <f>+SUM('1:30'!J135)</f>
        <v>0</v>
      </c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">
        <f>+SUM('1:30'!O135)</f>
        <v>0</v>
      </c>
      <c r="P135" s="146">
        <f t="shared" si="9"/>
        <v>0</v>
      </c>
      <c r="Q135" s="14">
        <f>+SUM('1:30'!Q135)</f>
        <v>0</v>
      </c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14">
        <f>+SUM('1:30'!W135)</f>
        <v>0</v>
      </c>
      <c r="X135" s="14">
        <f>+SUM('1:30'!X135)</f>
        <v>0</v>
      </c>
      <c r="Y135" s="14">
        <f>+SUM('1:30'!Y135)</f>
        <v>0</v>
      </c>
      <c r="Z135" s="14">
        <f>+SUM('1:30'!Z135)</f>
        <v>0</v>
      </c>
      <c r="AA135" s="14">
        <f>+SUM('1:30'!AA135)</f>
        <v>0</v>
      </c>
      <c r="AB135" s="14">
        <f>+SUM('1:30'!AB135)</f>
        <v>0</v>
      </c>
      <c r="AC135" s="14">
        <f>+SUM('1:30'!AC135)</f>
        <v>0</v>
      </c>
    </row>
    <row r="136" spans="1:29" s="2" customFormat="1" ht="21.95" customHeight="1">
      <c r="A136" s="142">
        <v>300300</v>
      </c>
      <c r="B136" s="135" t="s">
        <v>118</v>
      </c>
      <c r="C136" s="248" t="s">
        <v>130</v>
      </c>
      <c r="D136" s="248" t="s">
        <v>131</v>
      </c>
      <c r="E136" s="148" t="s">
        <v>54</v>
      </c>
      <c r="F136" s="27"/>
      <c r="G136" s="14">
        <f>+SUM('1:30'!G136)</f>
        <v>0</v>
      </c>
      <c r="H136" s="14">
        <f>+SUM('1:30'!H136)</f>
        <v>0</v>
      </c>
      <c r="I136" s="14">
        <f>+SUM('1:30'!I136)</f>
        <v>0</v>
      </c>
      <c r="J136" s="14">
        <f>+SUM('1:30'!J136)</f>
        <v>0</v>
      </c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">
        <f>+SUM('1:30'!O136)</f>
        <v>0</v>
      </c>
      <c r="P136" s="146">
        <f t="shared" si="9"/>
        <v>0</v>
      </c>
      <c r="Q136" s="14">
        <f>+SUM('1:30'!Q136)</f>
        <v>0</v>
      </c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14">
        <f>+SUM('1:30'!W136)</f>
        <v>0</v>
      </c>
      <c r="X136" s="14">
        <f>+SUM('1:30'!X136)</f>
        <v>0</v>
      </c>
      <c r="Y136" s="14">
        <f>+SUM('1:30'!Y136)</f>
        <v>0</v>
      </c>
      <c r="Z136" s="14">
        <f>+SUM('1:30'!Z136)</f>
        <v>0</v>
      </c>
      <c r="AA136" s="14">
        <f>+SUM('1:30'!AA136)</f>
        <v>0</v>
      </c>
      <c r="AB136" s="14">
        <f>+SUM('1:30'!AB136)</f>
        <v>0</v>
      </c>
      <c r="AC136" s="14">
        <f>+SUM('1:30'!AC136)</f>
        <v>0</v>
      </c>
    </row>
    <row r="137" spans="1:29" s="2" customFormat="1" ht="21.95" customHeight="1">
      <c r="A137" s="142">
        <v>300085</v>
      </c>
      <c r="B137" s="135">
        <v>6503</v>
      </c>
      <c r="C137" s="248" t="s">
        <v>134</v>
      </c>
      <c r="D137" s="248" t="s">
        <v>131</v>
      </c>
      <c r="E137" s="148" t="s">
        <v>135</v>
      </c>
      <c r="F137" s="27"/>
      <c r="G137" s="14">
        <f>+SUM('1:30'!G137)</f>
        <v>12.92</v>
      </c>
      <c r="H137" s="14">
        <f>+SUM('1:30'!H137)</f>
        <v>0.91666666666666663</v>
      </c>
      <c r="I137" s="14">
        <f>+SUM('1:30'!I137)</f>
        <v>12.916666666666666</v>
      </c>
      <c r="J137" s="14">
        <f>+SUM('1:30'!J137)</f>
        <v>0</v>
      </c>
      <c r="K137" s="146">
        <f t="shared" si="7"/>
        <v>5094.3559999999998</v>
      </c>
      <c r="L137" s="146">
        <f t="shared" si="8"/>
        <v>5093.041666666667</v>
      </c>
      <c r="M137" s="146">
        <v>394.3</v>
      </c>
      <c r="N137" s="146">
        <f>+M137*1000/(104.2*4*15*60)*T137</f>
        <v>6.3067818298144598</v>
      </c>
      <c r="O137" s="14">
        <f>+SUM('1:30'!O137)</f>
        <v>0</v>
      </c>
      <c r="P137" s="146">
        <f t="shared" si="9"/>
        <v>81.462598635103433</v>
      </c>
      <c r="Q137" s="14">
        <f>+SUM('1:30'!Q137)</f>
        <v>15</v>
      </c>
      <c r="R137" s="19">
        <f t="shared" si="10"/>
        <v>0</v>
      </c>
      <c r="S137" s="146">
        <f t="shared" si="11"/>
        <v>-81.462598635103433</v>
      </c>
      <c r="T137" s="20">
        <v>6</v>
      </c>
      <c r="U137" s="20"/>
      <c r="V137" s="143">
        <f t="array" ref="V137">IF(ISERROR(L137/K137),"",L137/K137)</f>
        <v>0.99974200206398356</v>
      </c>
      <c r="W137" s="14">
        <f>+SUM('1:30'!W137)</f>
        <v>0</v>
      </c>
      <c r="X137" s="14">
        <f>+SUM('1:30'!X137)</f>
        <v>0</v>
      </c>
      <c r="Y137" s="14">
        <f>+SUM('1:30'!Y137)</f>
        <v>0</v>
      </c>
      <c r="Z137" s="14">
        <f>+SUM('1:30'!Z137)</f>
        <v>0</v>
      </c>
      <c r="AA137" s="14">
        <f>+SUM('1:30'!AA137)</f>
        <v>2</v>
      </c>
      <c r="AB137" s="14">
        <f>+SUM('1:30'!AB137)</f>
        <v>0</v>
      </c>
      <c r="AC137" s="14">
        <f>+SUM('1:30'!AC137)</f>
        <v>0</v>
      </c>
    </row>
    <row r="138" spans="1:29" s="2" customFormat="1" ht="21.95" customHeight="1">
      <c r="A138" s="142">
        <v>300087</v>
      </c>
      <c r="B138" s="135" t="s">
        <v>118</v>
      </c>
      <c r="C138" s="248" t="s">
        <v>134</v>
      </c>
      <c r="D138" s="248" t="s">
        <v>131</v>
      </c>
      <c r="E138" s="148" t="s">
        <v>80</v>
      </c>
      <c r="F138" s="27"/>
      <c r="G138" s="14">
        <f>+SUM('1:30'!G138)</f>
        <v>3</v>
      </c>
      <c r="H138" s="14">
        <f>+SUM('1:30'!H138)</f>
        <v>0</v>
      </c>
      <c r="I138" s="14">
        <f>+SUM('1:30'!I138)</f>
        <v>2.8333333333333335</v>
      </c>
      <c r="J138" s="14">
        <f>+SUM('1:30'!J138)</f>
        <v>50</v>
      </c>
      <c r="K138" s="146">
        <f t="shared" si="7"/>
        <v>1140.3000000000002</v>
      </c>
      <c r="L138" s="146">
        <f t="shared" si="8"/>
        <v>1076.95</v>
      </c>
      <c r="M138" s="146">
        <v>380.1</v>
      </c>
      <c r="N138" s="146">
        <f>+M138*1000/(104.2*4*16*60)*T138</f>
        <v>4.7497300863723604</v>
      </c>
      <c r="O138" s="14">
        <f>+SUM('1:30'!O138)</f>
        <v>0.5</v>
      </c>
      <c r="P138" s="146">
        <f t="shared" si="9"/>
        <v>13.457568578055021</v>
      </c>
      <c r="Q138" s="14">
        <f>+SUM('1:30'!Q138)</f>
        <v>3</v>
      </c>
      <c r="R138" s="19">
        <f t="shared" si="10"/>
        <v>0</v>
      </c>
      <c r="S138" s="146">
        <f t="shared" si="11"/>
        <v>-13.457568578055021</v>
      </c>
      <c r="T138" s="20">
        <v>5</v>
      </c>
      <c r="U138" s="20"/>
      <c r="V138" s="143">
        <f t="array" ref="V138">IF(ISERROR(L138/K138),"",L138/K138)</f>
        <v>0.94444444444444431</v>
      </c>
      <c r="W138" s="14">
        <f>+SUM('1:30'!W138)</f>
        <v>0</v>
      </c>
      <c r="X138" s="14">
        <f>+SUM('1:30'!X138)</f>
        <v>0</v>
      </c>
      <c r="Y138" s="14">
        <f>+SUM('1:30'!Y138)</f>
        <v>0</v>
      </c>
      <c r="Z138" s="14">
        <f>+SUM('1:30'!Z138)</f>
        <v>0</v>
      </c>
      <c r="AA138" s="14">
        <f>+SUM('1:30'!AA138)</f>
        <v>2</v>
      </c>
      <c r="AB138" s="14">
        <f>+SUM('1:30'!AB138)</f>
        <v>0</v>
      </c>
      <c r="AC138" s="14">
        <f>+SUM('1:30'!AC138)</f>
        <v>0</v>
      </c>
    </row>
    <row r="139" spans="1:29" s="2" customFormat="1" ht="21" customHeight="1">
      <c r="A139" s="142">
        <v>300387</v>
      </c>
      <c r="B139" s="135" t="s">
        <v>136</v>
      </c>
      <c r="C139" s="259" t="s">
        <v>137</v>
      </c>
      <c r="D139" s="260"/>
      <c r="E139" s="148" t="s">
        <v>57</v>
      </c>
      <c r="F139" s="27"/>
      <c r="G139" s="14">
        <f>+SUM('1:30'!G139)</f>
        <v>12</v>
      </c>
      <c r="H139" s="14">
        <f>+SUM('1:30'!H139)</f>
        <v>0</v>
      </c>
      <c r="I139" s="14">
        <f>+SUM('1:30'!I139)</f>
        <v>12</v>
      </c>
      <c r="J139" s="14">
        <f>+SUM('1:30'!J139)</f>
        <v>0</v>
      </c>
      <c r="K139" s="146">
        <f t="shared" si="7"/>
        <v>4227.4800000000005</v>
      </c>
      <c r="L139" s="146">
        <f t="shared" si="8"/>
        <v>4227.4800000000005</v>
      </c>
      <c r="M139" s="146">
        <v>352.29</v>
      </c>
      <c r="N139" s="146">
        <f>+M139*1000/(104.2*4*16*60)*T139</f>
        <v>4.4022162907869484</v>
      </c>
      <c r="O139" s="14">
        <f>+SUM('1:30'!O139)</f>
        <v>0</v>
      </c>
      <c r="P139" s="146">
        <f t="shared" si="9"/>
        <v>52.826595489443378</v>
      </c>
      <c r="Q139" s="14">
        <f>+SUM('1:30'!Q139)</f>
        <v>12</v>
      </c>
      <c r="R139" s="19">
        <f t="shared" si="10"/>
        <v>0</v>
      </c>
      <c r="S139" s="146">
        <f t="shared" si="11"/>
        <v>-52.826595489443378</v>
      </c>
      <c r="T139" s="20">
        <v>5</v>
      </c>
      <c r="U139" s="20"/>
      <c r="V139" s="143">
        <f t="array" ref="V139">IF(ISERROR(L139/K139),"",L139/K139)</f>
        <v>1</v>
      </c>
      <c r="W139" s="14">
        <f>+SUM('1:30'!W139)</f>
        <v>0</v>
      </c>
      <c r="X139" s="14">
        <f>+SUM('1:30'!X139)</f>
        <v>0</v>
      </c>
      <c r="Y139" s="14">
        <f>+SUM('1:30'!Y139)</f>
        <v>0</v>
      </c>
      <c r="Z139" s="14">
        <f>+SUM('1:30'!Z139)</f>
        <v>0</v>
      </c>
      <c r="AA139" s="14">
        <f>+SUM('1:30'!AA139)</f>
        <v>2</v>
      </c>
      <c r="AB139" s="14">
        <f>+SUM('1:30'!AB139)</f>
        <v>0</v>
      </c>
      <c r="AC139" s="14">
        <f>+SUM('1:30'!AC139)</f>
        <v>0</v>
      </c>
    </row>
    <row r="140" spans="1:29" s="2" customFormat="1" ht="21.95" customHeight="1">
      <c r="A140" s="142">
        <v>300388</v>
      </c>
      <c r="B140" s="135" t="s">
        <v>138</v>
      </c>
      <c r="C140" s="259" t="s">
        <v>137</v>
      </c>
      <c r="D140" s="260"/>
      <c r="E140" s="148" t="s">
        <v>117</v>
      </c>
      <c r="F140" s="27"/>
      <c r="G140" s="14">
        <f>+SUM('1:30'!G140)</f>
        <v>3</v>
      </c>
      <c r="H140" s="14">
        <f>+SUM('1:30'!H140)</f>
        <v>0</v>
      </c>
      <c r="I140" s="14">
        <f>+SUM('1:30'!I140)</f>
        <v>3</v>
      </c>
      <c r="J140" s="14">
        <f>+SUM('1:30'!J140)</f>
        <v>0</v>
      </c>
      <c r="K140" s="146">
        <f t="shared" si="7"/>
        <v>1056.8700000000001</v>
      </c>
      <c r="L140" s="146">
        <f t="shared" si="8"/>
        <v>1056.8700000000001</v>
      </c>
      <c r="M140" s="146">
        <v>352.29</v>
      </c>
      <c r="N140" s="146">
        <f>+M140*1000/(104.2*4*16*60)*T140</f>
        <v>4.4022162907869484</v>
      </c>
      <c r="O140" s="14">
        <f>+SUM('1:30'!O140)</f>
        <v>0.5</v>
      </c>
      <c r="P140" s="146">
        <f t="shared" si="9"/>
        <v>13.206648872360844</v>
      </c>
      <c r="Q140" s="14">
        <f>+SUM('1:30'!Q140)</f>
        <v>4</v>
      </c>
      <c r="R140" s="19">
        <f t="shared" si="10"/>
        <v>0</v>
      </c>
      <c r="S140" s="146">
        <f t="shared" si="11"/>
        <v>-13.206648872360844</v>
      </c>
      <c r="T140" s="20">
        <v>5</v>
      </c>
      <c r="U140" s="20"/>
      <c r="V140" s="143">
        <f t="array" ref="V140">IF(ISERROR(L140/K140),"",L140/K140)</f>
        <v>1</v>
      </c>
      <c r="W140" s="14">
        <f>+SUM('1:30'!W140)</f>
        <v>0</v>
      </c>
      <c r="X140" s="14">
        <f>+SUM('1:30'!X140)</f>
        <v>0</v>
      </c>
      <c r="Y140" s="14">
        <f>+SUM('1:30'!Y140)</f>
        <v>0</v>
      </c>
      <c r="Z140" s="14">
        <f>+SUM('1:30'!Z140)</f>
        <v>0</v>
      </c>
      <c r="AA140" s="14">
        <f>+SUM('1:30'!AA140)</f>
        <v>0</v>
      </c>
      <c r="AB140" s="14">
        <f>+SUM('1:30'!AB140)</f>
        <v>0</v>
      </c>
      <c r="AC140" s="14">
        <f>+SUM('1:30'!AC140)</f>
        <v>0</v>
      </c>
    </row>
    <row r="141" spans="1:29" s="2" customFormat="1" ht="21.95" customHeight="1">
      <c r="A141" s="142">
        <v>300123</v>
      </c>
      <c r="B141" s="135" t="s">
        <v>118</v>
      </c>
      <c r="C141" s="248" t="s">
        <v>139</v>
      </c>
      <c r="D141" s="248" t="s">
        <v>140</v>
      </c>
      <c r="E141" s="148" t="s">
        <v>135</v>
      </c>
      <c r="F141" s="27"/>
      <c r="G141" s="14">
        <f>+SUM('1:30'!G141)</f>
        <v>20</v>
      </c>
      <c r="H141" s="14">
        <f>+SUM('1:30'!H141)</f>
        <v>0.32500000000000001</v>
      </c>
      <c r="I141" s="14">
        <f>+SUM('1:30'!I141)</f>
        <v>16.5</v>
      </c>
      <c r="J141" s="14">
        <f>+SUM('1:30'!J141)</f>
        <v>330</v>
      </c>
      <c r="K141" s="146">
        <f t="shared" si="7"/>
        <v>11140</v>
      </c>
      <c r="L141" s="146">
        <f t="shared" si="8"/>
        <v>9190.5</v>
      </c>
      <c r="M141" s="146">
        <v>557</v>
      </c>
      <c r="N141" s="146">
        <f>+M141*1000/(126.5*4*15*60)*T141</f>
        <v>6.1155028546332888</v>
      </c>
      <c r="O141" s="14">
        <f>+SUM('1:30'!O141)</f>
        <v>0.5</v>
      </c>
      <c r="P141" s="146">
        <f t="shared" si="9"/>
        <v>100.90579710144927</v>
      </c>
      <c r="Q141" s="14">
        <f>+SUM('1:30'!Q141)</f>
        <v>24.5</v>
      </c>
      <c r="R141" s="19">
        <f t="shared" si="10"/>
        <v>0</v>
      </c>
      <c r="S141" s="146">
        <f t="shared" si="11"/>
        <v>-100.90579710144927</v>
      </c>
      <c r="T141" s="20">
        <v>5</v>
      </c>
      <c r="U141" s="20"/>
      <c r="V141" s="143">
        <f t="array" ref="V141">IF(ISERROR(L141/K141),"",L141/K141)</f>
        <v>0.82499999999999996</v>
      </c>
      <c r="W141" s="14">
        <f>+SUM('1:30'!W141)</f>
        <v>0</v>
      </c>
      <c r="X141" s="14">
        <f>+SUM('1:30'!X141)</f>
        <v>0</v>
      </c>
      <c r="Y141" s="14">
        <f>+SUM('1:30'!Y141)</f>
        <v>0</v>
      </c>
      <c r="Z141" s="14">
        <f>+SUM('1:30'!Z141)</f>
        <v>0</v>
      </c>
      <c r="AA141" s="14">
        <f>+SUM('1:30'!AA141)</f>
        <v>0</v>
      </c>
      <c r="AB141" s="14">
        <f>+SUM('1:30'!AB141)</f>
        <v>0</v>
      </c>
      <c r="AC141" s="14">
        <f>+SUM('1:30'!AC141)</f>
        <v>0</v>
      </c>
    </row>
    <row r="142" spans="1:29" s="2" customFormat="1" ht="21.95" customHeight="1">
      <c r="A142" s="142">
        <v>300270</v>
      </c>
      <c r="B142" s="135" t="s">
        <v>118</v>
      </c>
      <c r="C142" s="248" t="s">
        <v>141</v>
      </c>
      <c r="D142" s="248"/>
      <c r="E142" s="148" t="s">
        <v>142</v>
      </c>
      <c r="F142" s="27"/>
      <c r="G142" s="14">
        <f>+SUM('1:30'!G142)</f>
        <v>0</v>
      </c>
      <c r="H142" s="14">
        <f>+SUM('1:30'!H142)</f>
        <v>0</v>
      </c>
      <c r="I142" s="14">
        <f>+SUM('1:30'!I142)</f>
        <v>0</v>
      </c>
      <c r="J142" s="14">
        <f>+SUM('1:30'!J142)</f>
        <v>0</v>
      </c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">
        <f>+SUM('1:30'!O142)</f>
        <v>0</v>
      </c>
      <c r="P142" s="146">
        <f t="shared" si="9"/>
        <v>0</v>
      </c>
      <c r="Q142" s="14">
        <f>+SUM('1:30'!Q142)</f>
        <v>0</v>
      </c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14">
        <f>+SUM('1:30'!W142)</f>
        <v>0</v>
      </c>
      <c r="X142" s="14">
        <f>+SUM('1:30'!X142)</f>
        <v>0</v>
      </c>
      <c r="Y142" s="14">
        <f>+SUM('1:30'!Y142)</f>
        <v>0</v>
      </c>
      <c r="Z142" s="14">
        <f>+SUM('1:30'!Z142)</f>
        <v>0</v>
      </c>
      <c r="AA142" s="14">
        <f>+SUM('1:30'!AA142)</f>
        <v>0</v>
      </c>
      <c r="AB142" s="14">
        <f>+SUM('1:30'!AB142)</f>
        <v>0</v>
      </c>
      <c r="AC142" s="14">
        <f>+SUM('1:30'!AC142)</f>
        <v>0</v>
      </c>
    </row>
    <row r="143" spans="1:29" s="2" customFormat="1" ht="21.95" customHeight="1">
      <c r="A143" s="142">
        <v>300336</v>
      </c>
      <c r="B143" s="135" t="s">
        <v>136</v>
      </c>
      <c r="C143" s="248" t="s">
        <v>143</v>
      </c>
      <c r="D143" s="248"/>
      <c r="E143" s="148" t="s">
        <v>84</v>
      </c>
      <c r="F143" s="27"/>
      <c r="G143" s="14">
        <f>+SUM('1:30'!G143)</f>
        <v>0</v>
      </c>
      <c r="H143" s="14">
        <f>+SUM('1:30'!H143)</f>
        <v>0</v>
      </c>
      <c r="I143" s="14">
        <f>+SUM('1:30'!I143)</f>
        <v>0</v>
      </c>
      <c r="J143" s="14">
        <f>+SUM('1:30'!J143)</f>
        <v>0</v>
      </c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">
        <f>+SUM('1:30'!O143)</f>
        <v>0</v>
      </c>
      <c r="P143" s="146">
        <f t="shared" si="9"/>
        <v>0</v>
      </c>
      <c r="Q143" s="14">
        <f>+SUM('1:30'!Q143)</f>
        <v>0</v>
      </c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14">
        <f>+SUM('1:30'!W143)</f>
        <v>0</v>
      </c>
      <c r="X143" s="14">
        <f>+SUM('1:30'!X143)</f>
        <v>0</v>
      </c>
      <c r="Y143" s="14">
        <f>+SUM('1:30'!Y143)</f>
        <v>0</v>
      </c>
      <c r="Z143" s="14">
        <f>+SUM('1:30'!Z143)</f>
        <v>0</v>
      </c>
      <c r="AA143" s="14">
        <f>+SUM('1:30'!AA143)</f>
        <v>0</v>
      </c>
      <c r="AB143" s="14">
        <f>+SUM('1:30'!AB143)</f>
        <v>0</v>
      </c>
      <c r="AC143" s="14">
        <f>+SUM('1:30'!AC143)</f>
        <v>0</v>
      </c>
    </row>
    <row r="144" spans="1:29" s="2" customFormat="1" ht="21.95" customHeight="1">
      <c r="A144" s="142">
        <v>300337</v>
      </c>
      <c r="B144" s="135" t="s">
        <v>138</v>
      </c>
      <c r="C144" s="248" t="s">
        <v>143</v>
      </c>
      <c r="D144" s="248"/>
      <c r="E144" s="148" t="s">
        <v>49</v>
      </c>
      <c r="F144" s="27"/>
      <c r="G144" s="14">
        <f>+SUM('1:30'!G144)</f>
        <v>0</v>
      </c>
      <c r="H144" s="14">
        <f>+SUM('1:30'!H144)</f>
        <v>0</v>
      </c>
      <c r="I144" s="14">
        <f>+SUM('1:30'!I144)</f>
        <v>0</v>
      </c>
      <c r="J144" s="14">
        <f>+SUM('1:30'!J144)</f>
        <v>0</v>
      </c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">
        <f>+SUM('1:30'!O144)</f>
        <v>0</v>
      </c>
      <c r="P144" s="146">
        <f t="shared" si="9"/>
        <v>0</v>
      </c>
      <c r="Q144" s="14">
        <f>+SUM('1:30'!Q144)</f>
        <v>0</v>
      </c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14">
        <f>+SUM('1:30'!W144)</f>
        <v>0</v>
      </c>
      <c r="X144" s="14">
        <f>+SUM('1:30'!X144)</f>
        <v>0</v>
      </c>
      <c r="Y144" s="14">
        <f>+SUM('1:30'!Y144)</f>
        <v>0</v>
      </c>
      <c r="Z144" s="14">
        <f>+SUM('1:30'!Z144)</f>
        <v>0</v>
      </c>
      <c r="AA144" s="14">
        <f>+SUM('1:30'!AA144)</f>
        <v>0</v>
      </c>
      <c r="AB144" s="14">
        <f>+SUM('1:30'!AB144)</f>
        <v>0</v>
      </c>
      <c r="AC144" s="14">
        <f>+SUM('1:30'!AC144)</f>
        <v>0</v>
      </c>
    </row>
    <row r="145" spans="1:29" s="2" customFormat="1" ht="21.95" customHeight="1">
      <c r="A145" s="142">
        <v>300338</v>
      </c>
      <c r="B145" s="135" t="s">
        <v>144</v>
      </c>
      <c r="C145" s="248" t="s">
        <v>143</v>
      </c>
      <c r="D145" s="248"/>
      <c r="E145" s="148" t="s">
        <v>85</v>
      </c>
      <c r="F145" s="27"/>
      <c r="G145" s="14">
        <f>+SUM('1:30'!G145)</f>
        <v>0</v>
      </c>
      <c r="H145" s="14">
        <f>+SUM('1:30'!H145)</f>
        <v>0</v>
      </c>
      <c r="I145" s="14">
        <f>+SUM('1:30'!I145)</f>
        <v>0</v>
      </c>
      <c r="J145" s="14">
        <f>+SUM('1:30'!J145)</f>
        <v>0</v>
      </c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">
        <f>+SUM('1:30'!O145)</f>
        <v>0</v>
      </c>
      <c r="P145" s="146">
        <f t="shared" si="9"/>
        <v>0</v>
      </c>
      <c r="Q145" s="14">
        <f>+SUM('1:30'!Q145)</f>
        <v>0</v>
      </c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14">
        <f>+SUM('1:30'!W145)</f>
        <v>0</v>
      </c>
      <c r="X145" s="14">
        <f>+SUM('1:30'!X145)</f>
        <v>0</v>
      </c>
      <c r="Y145" s="14">
        <f>+SUM('1:30'!Y145)</f>
        <v>0</v>
      </c>
      <c r="Z145" s="14">
        <f>+SUM('1:30'!Z145)</f>
        <v>0</v>
      </c>
      <c r="AA145" s="14">
        <f>+SUM('1:30'!AA145)</f>
        <v>0</v>
      </c>
      <c r="AB145" s="14">
        <f>+SUM('1:30'!AB145)</f>
        <v>0</v>
      </c>
      <c r="AC145" s="14">
        <f>+SUM('1:30'!AC145)</f>
        <v>0</v>
      </c>
    </row>
    <row r="146" spans="1:29" s="2" customFormat="1" ht="21.95" customHeight="1">
      <c r="A146" s="142">
        <v>300309</v>
      </c>
      <c r="B146" s="135">
        <v>6504</v>
      </c>
      <c r="C146" s="248" t="s">
        <v>145</v>
      </c>
      <c r="D146" s="248"/>
      <c r="E146" s="148" t="s">
        <v>47</v>
      </c>
      <c r="F146" s="27"/>
      <c r="G146" s="14">
        <f>+SUM('1:30'!G146)</f>
        <v>0</v>
      </c>
      <c r="H146" s="14">
        <f>+SUM('1:30'!H146)</f>
        <v>0</v>
      </c>
      <c r="I146" s="14">
        <f>+SUM('1:30'!I146)</f>
        <v>0</v>
      </c>
      <c r="J146" s="14">
        <f>+SUM('1:30'!J146)</f>
        <v>0</v>
      </c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">
        <f>+SUM('1:30'!O146)</f>
        <v>0</v>
      </c>
      <c r="P146" s="146">
        <f t="shared" si="9"/>
        <v>0</v>
      </c>
      <c r="Q146" s="14">
        <f>+SUM('1:30'!Q146)</f>
        <v>0</v>
      </c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14">
        <f>+SUM('1:30'!W146)</f>
        <v>0</v>
      </c>
      <c r="X146" s="14">
        <f>+SUM('1:30'!X146)</f>
        <v>0</v>
      </c>
      <c r="Y146" s="14">
        <f>+SUM('1:30'!Y146)</f>
        <v>0</v>
      </c>
      <c r="Z146" s="14">
        <f>+SUM('1:30'!Z146)</f>
        <v>0</v>
      </c>
      <c r="AA146" s="14">
        <f>+SUM('1:30'!AA146)</f>
        <v>0</v>
      </c>
      <c r="AB146" s="14">
        <f>+SUM('1:30'!AB146)</f>
        <v>0</v>
      </c>
      <c r="AC146" s="14">
        <f>+SUM('1:30'!AC146)</f>
        <v>0</v>
      </c>
    </row>
    <row r="147" spans="1:29" s="2" customFormat="1" ht="21.95" customHeight="1">
      <c r="A147" s="142">
        <v>300310</v>
      </c>
      <c r="B147" s="135">
        <v>6504</v>
      </c>
      <c r="C147" s="248" t="s">
        <v>145</v>
      </c>
      <c r="D147" s="248"/>
      <c r="E147" s="148" t="s">
        <v>146</v>
      </c>
      <c r="F147" s="27"/>
      <c r="G147" s="14">
        <f>+SUM('1:30'!G147)</f>
        <v>0</v>
      </c>
      <c r="H147" s="14">
        <f>+SUM('1:30'!H147)</f>
        <v>0</v>
      </c>
      <c r="I147" s="14">
        <f>+SUM('1:30'!I147)</f>
        <v>0</v>
      </c>
      <c r="J147" s="14">
        <f>+SUM('1:30'!J147)</f>
        <v>0</v>
      </c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">
        <f>+SUM('1:30'!O147)</f>
        <v>0</v>
      </c>
      <c r="P147" s="146">
        <f t="shared" si="9"/>
        <v>0</v>
      </c>
      <c r="Q147" s="14">
        <f>+SUM('1:30'!Q147)</f>
        <v>0</v>
      </c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14">
        <f>+SUM('1:30'!W147)</f>
        <v>0</v>
      </c>
      <c r="X147" s="14">
        <f>+SUM('1:30'!X147)</f>
        <v>0</v>
      </c>
      <c r="Y147" s="14">
        <f>+SUM('1:30'!Y147)</f>
        <v>0</v>
      </c>
      <c r="Z147" s="14">
        <f>+SUM('1:30'!Z147)</f>
        <v>0</v>
      </c>
      <c r="AA147" s="14">
        <f>+SUM('1:30'!AA147)</f>
        <v>0</v>
      </c>
      <c r="AB147" s="14">
        <f>+SUM('1:30'!AB147)</f>
        <v>0</v>
      </c>
      <c r="AC147" s="14">
        <f>+SUM('1:30'!AC147)</f>
        <v>0</v>
      </c>
    </row>
    <row r="148" spans="1:29" s="2" customFormat="1" ht="21.95" customHeight="1">
      <c r="A148" s="142">
        <v>300312</v>
      </c>
      <c r="B148" s="135">
        <v>6504</v>
      </c>
      <c r="C148" s="248" t="s">
        <v>145</v>
      </c>
      <c r="D148" s="248"/>
      <c r="E148" s="148" t="s">
        <v>147</v>
      </c>
      <c r="F148" s="27"/>
      <c r="G148" s="14">
        <f>+SUM('1:30'!G148)</f>
        <v>0</v>
      </c>
      <c r="H148" s="14">
        <f>+SUM('1:30'!H148)</f>
        <v>0</v>
      </c>
      <c r="I148" s="14">
        <f>+SUM('1:30'!I148)</f>
        <v>0</v>
      </c>
      <c r="J148" s="14">
        <f>+SUM('1:30'!J148)</f>
        <v>0</v>
      </c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">
        <f>+SUM('1:30'!O148)</f>
        <v>0</v>
      </c>
      <c r="P148" s="146">
        <f t="shared" si="9"/>
        <v>0</v>
      </c>
      <c r="Q148" s="14">
        <f>+SUM('1:30'!Q148)</f>
        <v>0</v>
      </c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14">
        <f>+SUM('1:30'!W148)</f>
        <v>0</v>
      </c>
      <c r="X148" s="14">
        <f>+SUM('1:30'!X148)</f>
        <v>0</v>
      </c>
      <c r="Y148" s="14">
        <f>+SUM('1:30'!Y148)</f>
        <v>0</v>
      </c>
      <c r="Z148" s="14">
        <f>+SUM('1:30'!Z148)</f>
        <v>0</v>
      </c>
      <c r="AA148" s="14">
        <f>+SUM('1:30'!AA148)</f>
        <v>0</v>
      </c>
      <c r="AB148" s="14">
        <f>+SUM('1:30'!AB148)</f>
        <v>0</v>
      </c>
      <c r="AC148" s="14">
        <f>+SUM('1:30'!AC148)</f>
        <v>0</v>
      </c>
    </row>
    <row r="149" spans="1:29" s="2" customFormat="1" ht="21.95" customHeight="1">
      <c r="A149" s="142">
        <v>300311</v>
      </c>
      <c r="B149" s="135">
        <v>6504</v>
      </c>
      <c r="C149" s="259" t="s">
        <v>145</v>
      </c>
      <c r="D149" s="260"/>
      <c r="E149" s="148" t="s">
        <v>74</v>
      </c>
      <c r="F149" s="27"/>
      <c r="G149" s="14">
        <f>+SUM('1:30'!G149)</f>
        <v>0</v>
      </c>
      <c r="H149" s="14">
        <f>+SUM('1:30'!H149)</f>
        <v>0</v>
      </c>
      <c r="I149" s="14">
        <f>+SUM('1:30'!I149)</f>
        <v>0</v>
      </c>
      <c r="J149" s="14">
        <f>+SUM('1:30'!J149)</f>
        <v>0</v>
      </c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">
        <f>+SUM('1:30'!O149)</f>
        <v>0</v>
      </c>
      <c r="P149" s="146">
        <f t="shared" si="9"/>
        <v>0</v>
      </c>
      <c r="Q149" s="14">
        <f>+SUM('1:30'!Q149)</f>
        <v>0</v>
      </c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14">
        <f>+SUM('1:30'!W149)</f>
        <v>0</v>
      </c>
      <c r="X149" s="14">
        <f>+SUM('1:30'!X149)</f>
        <v>0</v>
      </c>
      <c r="Y149" s="14">
        <f>+SUM('1:30'!Y149)</f>
        <v>0</v>
      </c>
      <c r="Z149" s="14">
        <f>+SUM('1:30'!Z149)</f>
        <v>0</v>
      </c>
      <c r="AA149" s="14">
        <f>+SUM('1:30'!AA149)</f>
        <v>0</v>
      </c>
      <c r="AB149" s="14">
        <f>+SUM('1:30'!AB149)</f>
        <v>0</v>
      </c>
      <c r="AC149" s="14">
        <f>+SUM('1:30'!AC149)</f>
        <v>0</v>
      </c>
    </row>
    <row r="150" spans="1:29" s="2" customFormat="1" ht="21.95" customHeight="1">
      <c r="A150" s="142">
        <v>300399</v>
      </c>
      <c r="B150" s="135">
        <v>18501</v>
      </c>
      <c r="C150" s="264" t="s">
        <v>148</v>
      </c>
      <c r="D150" s="265"/>
      <c r="E150" s="32" t="s">
        <v>41</v>
      </c>
      <c r="F150" s="27"/>
      <c r="G150" s="14">
        <f>+SUM('1:30'!G150)</f>
        <v>0</v>
      </c>
      <c r="H150" s="14">
        <f>+SUM('1:30'!H150)</f>
        <v>0</v>
      </c>
      <c r="I150" s="14">
        <f>+SUM('1:30'!I150)</f>
        <v>0</v>
      </c>
      <c r="J150" s="14">
        <f>+SUM('1:30'!J150)</f>
        <v>0</v>
      </c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">
        <f>+SUM('1:30'!O150)</f>
        <v>0</v>
      </c>
      <c r="P150" s="146">
        <f t="shared" si="9"/>
        <v>0</v>
      </c>
      <c r="Q150" s="14">
        <f>+SUM('1:30'!Q150)</f>
        <v>0</v>
      </c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14">
        <f>+SUM('1:30'!W150)</f>
        <v>0</v>
      </c>
      <c r="X150" s="14">
        <f>+SUM('1:30'!X150)</f>
        <v>0</v>
      </c>
      <c r="Y150" s="14">
        <f>+SUM('1:30'!Y150)</f>
        <v>0</v>
      </c>
      <c r="Z150" s="14">
        <f>+SUM('1:30'!Z150)</f>
        <v>0</v>
      </c>
      <c r="AA150" s="14">
        <f>+SUM('1:30'!AA150)</f>
        <v>0</v>
      </c>
      <c r="AB150" s="14">
        <f>+SUM('1:30'!AB150)</f>
        <v>0</v>
      </c>
      <c r="AC150" s="14">
        <f>+SUM('1:30'!AC150)</f>
        <v>0</v>
      </c>
    </row>
    <row r="151" spans="1:29" s="2" customFormat="1" ht="21.95" customHeight="1">
      <c r="A151" s="142">
        <v>300400</v>
      </c>
      <c r="B151" s="135">
        <v>18501</v>
      </c>
      <c r="C151" s="264" t="s">
        <v>148</v>
      </c>
      <c r="D151" s="265"/>
      <c r="E151" s="32" t="s">
        <v>66</v>
      </c>
      <c r="F151" s="27"/>
      <c r="G151" s="14">
        <f>+SUM('1:30'!G151)</f>
        <v>0</v>
      </c>
      <c r="H151" s="14">
        <f>+SUM('1:30'!H151)</f>
        <v>0</v>
      </c>
      <c r="I151" s="14">
        <f>+SUM('1:30'!I151)</f>
        <v>0</v>
      </c>
      <c r="J151" s="14">
        <f>+SUM('1:30'!J151)</f>
        <v>0</v>
      </c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">
        <f>+SUM('1:30'!O151)</f>
        <v>0</v>
      </c>
      <c r="P151" s="146">
        <f t="shared" si="9"/>
        <v>0</v>
      </c>
      <c r="Q151" s="14">
        <f>+SUM('1:30'!Q151)</f>
        <v>0</v>
      </c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14">
        <f>+SUM('1:30'!W151)</f>
        <v>0</v>
      </c>
      <c r="X151" s="14">
        <f>+SUM('1:30'!X151)</f>
        <v>0</v>
      </c>
      <c r="Y151" s="14">
        <f>+SUM('1:30'!Y151)</f>
        <v>0</v>
      </c>
      <c r="Z151" s="14">
        <f>+SUM('1:30'!Z151)</f>
        <v>0</v>
      </c>
      <c r="AA151" s="14">
        <f>+SUM('1:30'!AA151)</f>
        <v>0</v>
      </c>
      <c r="AB151" s="14">
        <f>+SUM('1:30'!AB151)</f>
        <v>0</v>
      </c>
      <c r="AC151" s="14">
        <f>+SUM('1:30'!AC151)</f>
        <v>0</v>
      </c>
    </row>
    <row r="152" spans="1:29" s="2" customFormat="1" ht="21.95" customHeight="1">
      <c r="A152" s="142">
        <v>300401</v>
      </c>
      <c r="B152" s="135">
        <v>18501</v>
      </c>
      <c r="C152" s="264" t="s">
        <v>148</v>
      </c>
      <c r="D152" s="265"/>
      <c r="E152" s="32" t="s">
        <v>149</v>
      </c>
      <c r="F152" s="27"/>
      <c r="G152" s="14">
        <f>+SUM('1:30'!G152)</f>
        <v>0</v>
      </c>
      <c r="H152" s="14">
        <f>+SUM('1:30'!H152)</f>
        <v>0</v>
      </c>
      <c r="I152" s="14">
        <f>+SUM('1:30'!I152)</f>
        <v>0</v>
      </c>
      <c r="J152" s="14">
        <f>+SUM('1:30'!J152)</f>
        <v>0</v>
      </c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">
        <f>+SUM('1:30'!O152)</f>
        <v>0</v>
      </c>
      <c r="P152" s="146">
        <f t="shared" si="9"/>
        <v>0</v>
      </c>
      <c r="Q152" s="14">
        <f>+SUM('1:30'!Q152)</f>
        <v>0</v>
      </c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14">
        <f>+SUM('1:30'!W152)</f>
        <v>0</v>
      </c>
      <c r="X152" s="14">
        <f>+SUM('1:30'!X152)</f>
        <v>0</v>
      </c>
      <c r="Y152" s="14">
        <f>+SUM('1:30'!Y152)</f>
        <v>0</v>
      </c>
      <c r="Z152" s="14">
        <f>+SUM('1:30'!Z152)</f>
        <v>0</v>
      </c>
      <c r="AA152" s="14">
        <f>+SUM('1:30'!AA152)</f>
        <v>0</v>
      </c>
      <c r="AB152" s="14">
        <f>+SUM('1:30'!AB152)</f>
        <v>0</v>
      </c>
      <c r="AC152" s="14">
        <f>+SUM('1:30'!AC152)</f>
        <v>0</v>
      </c>
    </row>
    <row r="153" spans="1:29" s="2" customFormat="1" ht="21.95" customHeight="1">
      <c r="A153" s="142">
        <v>300402</v>
      </c>
      <c r="B153" s="135">
        <v>18501</v>
      </c>
      <c r="C153" s="264" t="s">
        <v>150</v>
      </c>
      <c r="D153" s="265"/>
      <c r="E153" s="32" t="s">
        <v>151</v>
      </c>
      <c r="F153" s="27"/>
      <c r="G153" s="14">
        <f>+SUM('1:30'!G153)</f>
        <v>0</v>
      </c>
      <c r="H153" s="14">
        <f>+SUM('1:30'!H153)</f>
        <v>0</v>
      </c>
      <c r="I153" s="14">
        <f>+SUM('1:30'!I153)</f>
        <v>0</v>
      </c>
      <c r="J153" s="14">
        <f>+SUM('1:30'!J153)</f>
        <v>0</v>
      </c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">
        <f>+SUM('1:30'!O153)</f>
        <v>0</v>
      </c>
      <c r="P153" s="146">
        <f t="shared" si="9"/>
        <v>0</v>
      </c>
      <c r="Q153" s="14">
        <f>+SUM('1:30'!Q153)</f>
        <v>0</v>
      </c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14">
        <f>+SUM('1:30'!W153)</f>
        <v>0</v>
      </c>
      <c r="X153" s="14">
        <f>+SUM('1:30'!X153)</f>
        <v>0</v>
      </c>
      <c r="Y153" s="14">
        <f>+SUM('1:30'!Y153)</f>
        <v>0</v>
      </c>
      <c r="Z153" s="14">
        <f>+SUM('1:30'!Z153)</f>
        <v>0</v>
      </c>
      <c r="AA153" s="14">
        <f>+SUM('1:30'!AA153)</f>
        <v>0</v>
      </c>
      <c r="AB153" s="14">
        <f>+SUM('1:30'!AB153)</f>
        <v>0</v>
      </c>
      <c r="AC153" s="14">
        <f>+SUM('1:30'!AC153)</f>
        <v>0</v>
      </c>
    </row>
    <row r="154" spans="1:29" s="2" customFormat="1" ht="21.95" customHeight="1">
      <c r="A154" s="142">
        <v>300403</v>
      </c>
      <c r="B154" s="135">
        <v>18501</v>
      </c>
      <c r="C154" s="264" t="s">
        <v>150</v>
      </c>
      <c r="D154" s="265"/>
      <c r="E154" s="32" t="s">
        <v>152</v>
      </c>
      <c r="F154" s="27"/>
      <c r="G154" s="14">
        <f>+SUM('1:30'!G154)</f>
        <v>0</v>
      </c>
      <c r="H154" s="14">
        <f>+SUM('1:30'!H154)</f>
        <v>0</v>
      </c>
      <c r="I154" s="14">
        <f>+SUM('1:30'!I154)</f>
        <v>0</v>
      </c>
      <c r="J154" s="14">
        <f>+SUM('1:30'!J154)</f>
        <v>0</v>
      </c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">
        <f>+SUM('1:30'!O154)</f>
        <v>0</v>
      </c>
      <c r="P154" s="146">
        <f t="shared" ref="P154:P190" si="17">N154*I154+O154*U154</f>
        <v>0</v>
      </c>
      <c r="Q154" s="14">
        <f>+SUM('1:30'!Q154)</f>
        <v>0</v>
      </c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14">
        <f>+SUM('1:30'!W154)</f>
        <v>0</v>
      </c>
      <c r="X154" s="14">
        <f>+SUM('1:30'!X154)</f>
        <v>0</v>
      </c>
      <c r="Y154" s="14">
        <f>+SUM('1:30'!Y154)</f>
        <v>0</v>
      </c>
      <c r="Z154" s="14">
        <f>+SUM('1:30'!Z154)</f>
        <v>0</v>
      </c>
      <c r="AA154" s="14">
        <f>+SUM('1:30'!AA154)</f>
        <v>0</v>
      </c>
      <c r="AB154" s="14">
        <f>+SUM('1:30'!AB154)</f>
        <v>0</v>
      </c>
      <c r="AC154" s="14">
        <f>+SUM('1:30'!AC154)</f>
        <v>0</v>
      </c>
    </row>
    <row r="155" spans="1:29" s="2" customFormat="1" ht="21.95" customHeight="1">
      <c r="A155" s="142">
        <v>300404</v>
      </c>
      <c r="B155" s="135">
        <v>18501</v>
      </c>
      <c r="C155" s="264" t="s">
        <v>150</v>
      </c>
      <c r="D155" s="265"/>
      <c r="E155" s="32" t="s">
        <v>70</v>
      </c>
      <c r="F155" s="27"/>
      <c r="G155" s="14">
        <f>+SUM('1:30'!G155)</f>
        <v>0</v>
      </c>
      <c r="H155" s="14">
        <f>+SUM('1:30'!H155)</f>
        <v>0</v>
      </c>
      <c r="I155" s="14">
        <f>+SUM('1:30'!I155)</f>
        <v>0</v>
      </c>
      <c r="J155" s="14">
        <f>+SUM('1:30'!J155)</f>
        <v>0</v>
      </c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">
        <f>+SUM('1:30'!O155)</f>
        <v>0</v>
      </c>
      <c r="P155" s="146">
        <f t="shared" si="17"/>
        <v>0</v>
      </c>
      <c r="Q155" s="14">
        <f>+SUM('1:30'!Q155)</f>
        <v>0</v>
      </c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14">
        <f>+SUM('1:30'!W155)</f>
        <v>0</v>
      </c>
      <c r="X155" s="14">
        <f>+SUM('1:30'!X155)</f>
        <v>0</v>
      </c>
      <c r="Y155" s="14">
        <f>+SUM('1:30'!Y155)</f>
        <v>0</v>
      </c>
      <c r="Z155" s="14">
        <f>+SUM('1:30'!Z155)</f>
        <v>0</v>
      </c>
      <c r="AA155" s="14">
        <f>+SUM('1:30'!AA155)</f>
        <v>0</v>
      </c>
      <c r="AB155" s="14">
        <f>+SUM('1:30'!AB155)</f>
        <v>0</v>
      </c>
      <c r="AC155" s="14">
        <f>+SUM('1:30'!AC155)</f>
        <v>0</v>
      </c>
    </row>
    <row r="156" spans="1:29" s="2" customFormat="1" ht="21.95" customHeight="1">
      <c r="A156" s="142">
        <v>300405</v>
      </c>
      <c r="B156" s="135">
        <v>18501</v>
      </c>
      <c r="C156" s="264" t="s">
        <v>150</v>
      </c>
      <c r="D156" s="265"/>
      <c r="E156" s="32" t="s">
        <v>35</v>
      </c>
      <c r="F156" s="27"/>
      <c r="G156" s="14">
        <f>+SUM('1:30'!G156)</f>
        <v>0</v>
      </c>
      <c r="H156" s="14">
        <f>+SUM('1:30'!H156)</f>
        <v>0</v>
      </c>
      <c r="I156" s="14">
        <f>+SUM('1:30'!I156)</f>
        <v>0</v>
      </c>
      <c r="J156" s="14">
        <f>+SUM('1:30'!J156)</f>
        <v>0</v>
      </c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">
        <f>+SUM('1:30'!O156)</f>
        <v>0</v>
      </c>
      <c r="P156" s="146">
        <f t="shared" si="17"/>
        <v>0</v>
      </c>
      <c r="Q156" s="14">
        <f>+SUM('1:30'!Q156)</f>
        <v>0</v>
      </c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14">
        <f>+SUM('1:30'!W156)</f>
        <v>0</v>
      </c>
      <c r="X156" s="14">
        <f>+SUM('1:30'!X156)</f>
        <v>0</v>
      </c>
      <c r="Y156" s="14">
        <f>+SUM('1:30'!Y156)</f>
        <v>0</v>
      </c>
      <c r="Z156" s="14">
        <f>+SUM('1:30'!Z156)</f>
        <v>0</v>
      </c>
      <c r="AA156" s="14">
        <f>+SUM('1:30'!AA156)</f>
        <v>0</v>
      </c>
      <c r="AB156" s="14">
        <f>+SUM('1:30'!AB156)</f>
        <v>0</v>
      </c>
      <c r="AC156" s="14">
        <f>+SUM('1:30'!AC156)</f>
        <v>0</v>
      </c>
    </row>
    <row r="157" spans="1:29" s="2" customFormat="1" ht="21.95" customHeight="1">
      <c r="A157" s="142">
        <v>300372</v>
      </c>
      <c r="B157" s="135">
        <v>18501</v>
      </c>
      <c r="C157" s="259" t="s">
        <v>153</v>
      </c>
      <c r="D157" s="260"/>
      <c r="E157" s="148" t="s">
        <v>47</v>
      </c>
      <c r="F157" s="27"/>
      <c r="G157" s="14">
        <f>+SUM('1:30'!G157)</f>
        <v>0</v>
      </c>
      <c r="H157" s="14">
        <f>+SUM('1:30'!H157)</f>
        <v>0</v>
      </c>
      <c r="I157" s="14">
        <f>+SUM('1:30'!I157)</f>
        <v>0</v>
      </c>
      <c r="J157" s="14">
        <f>+SUM('1:30'!J157)</f>
        <v>0</v>
      </c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">
        <f>+SUM('1:30'!O157)</f>
        <v>0</v>
      </c>
      <c r="P157" s="146">
        <f t="shared" si="17"/>
        <v>0</v>
      </c>
      <c r="Q157" s="14">
        <f>+SUM('1:30'!Q157)</f>
        <v>0</v>
      </c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14">
        <f>+SUM('1:30'!W157)</f>
        <v>0</v>
      </c>
      <c r="X157" s="14">
        <f>+SUM('1:30'!X157)</f>
        <v>0</v>
      </c>
      <c r="Y157" s="14">
        <f>+SUM('1:30'!Y157)</f>
        <v>0</v>
      </c>
      <c r="Z157" s="14">
        <f>+SUM('1:30'!Z157)</f>
        <v>0</v>
      </c>
      <c r="AA157" s="14">
        <f>+SUM('1:30'!AA157)</f>
        <v>0</v>
      </c>
      <c r="AB157" s="14">
        <f>+SUM('1:30'!AB157)</f>
        <v>0</v>
      </c>
      <c r="AC157" s="14">
        <f>+SUM('1:30'!AC157)</f>
        <v>0</v>
      </c>
    </row>
    <row r="158" spans="1:29" s="2" customFormat="1" ht="21.95" customHeight="1">
      <c r="A158" s="142">
        <v>300373</v>
      </c>
      <c r="B158" s="135">
        <v>18501</v>
      </c>
      <c r="C158" s="259" t="s">
        <v>153</v>
      </c>
      <c r="D158" s="260"/>
      <c r="E158" s="148" t="s">
        <v>146</v>
      </c>
      <c r="F158" s="27"/>
      <c r="G158" s="14">
        <f>+SUM('1:30'!G158)</f>
        <v>0</v>
      </c>
      <c r="H158" s="14">
        <f>+SUM('1:30'!H158)</f>
        <v>0</v>
      </c>
      <c r="I158" s="14">
        <f>+SUM('1:30'!I158)</f>
        <v>0</v>
      </c>
      <c r="J158" s="14">
        <f>+SUM('1:30'!J158)</f>
        <v>0</v>
      </c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">
        <f>+SUM('1:30'!O158)</f>
        <v>0</v>
      </c>
      <c r="P158" s="146">
        <f t="shared" si="17"/>
        <v>0</v>
      </c>
      <c r="Q158" s="14">
        <f>+SUM('1:30'!Q158)</f>
        <v>0</v>
      </c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14">
        <f>+SUM('1:30'!W158)</f>
        <v>0</v>
      </c>
      <c r="X158" s="14">
        <f>+SUM('1:30'!X158)</f>
        <v>0</v>
      </c>
      <c r="Y158" s="14">
        <f>+SUM('1:30'!Y158)</f>
        <v>0</v>
      </c>
      <c r="Z158" s="14">
        <f>+SUM('1:30'!Z158)</f>
        <v>0</v>
      </c>
      <c r="AA158" s="14">
        <f>+SUM('1:30'!AA158)</f>
        <v>0</v>
      </c>
      <c r="AB158" s="14">
        <f>+SUM('1:30'!AB158)</f>
        <v>0</v>
      </c>
      <c r="AC158" s="14">
        <f>+SUM('1:30'!AC158)</f>
        <v>0</v>
      </c>
    </row>
    <row r="159" spans="1:29" s="2" customFormat="1" ht="21.95" customHeight="1">
      <c r="A159" s="142">
        <v>300374</v>
      </c>
      <c r="B159" s="135">
        <v>18501</v>
      </c>
      <c r="C159" s="259" t="s">
        <v>153</v>
      </c>
      <c r="D159" s="260"/>
      <c r="E159" s="148" t="s">
        <v>147</v>
      </c>
      <c r="F159" s="27"/>
      <c r="G159" s="14">
        <f>+SUM('1:30'!G159)</f>
        <v>0</v>
      </c>
      <c r="H159" s="14">
        <f>+SUM('1:30'!H159)</f>
        <v>0</v>
      </c>
      <c r="I159" s="14">
        <f>+SUM('1:30'!I159)</f>
        <v>0</v>
      </c>
      <c r="J159" s="14">
        <f>+SUM('1:30'!J159)</f>
        <v>0</v>
      </c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">
        <f>+SUM('1:30'!O159)</f>
        <v>0</v>
      </c>
      <c r="P159" s="146">
        <f t="shared" si="17"/>
        <v>0</v>
      </c>
      <c r="Q159" s="14">
        <f>+SUM('1:30'!Q159)</f>
        <v>0</v>
      </c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14">
        <f>+SUM('1:30'!W159)</f>
        <v>0</v>
      </c>
      <c r="X159" s="14">
        <f>+SUM('1:30'!X159)</f>
        <v>0</v>
      </c>
      <c r="Y159" s="14">
        <f>+SUM('1:30'!Y159)</f>
        <v>0</v>
      </c>
      <c r="Z159" s="14">
        <f>+SUM('1:30'!Z159)</f>
        <v>0</v>
      </c>
      <c r="AA159" s="14">
        <f>+SUM('1:30'!AA159)</f>
        <v>0</v>
      </c>
      <c r="AB159" s="14">
        <f>+SUM('1:30'!AB159)</f>
        <v>0</v>
      </c>
      <c r="AC159" s="14">
        <f>+SUM('1:30'!AC159)</f>
        <v>0</v>
      </c>
    </row>
    <row r="160" spans="1:29" s="2" customFormat="1" ht="21.95" customHeight="1">
      <c r="A160" s="142">
        <v>300375</v>
      </c>
      <c r="B160" s="135">
        <v>18501</v>
      </c>
      <c r="C160" s="259" t="s">
        <v>153</v>
      </c>
      <c r="D160" s="260"/>
      <c r="E160" s="148" t="s">
        <v>74</v>
      </c>
      <c r="F160" s="27"/>
      <c r="G160" s="14">
        <f>+SUM('1:30'!G160)</f>
        <v>0</v>
      </c>
      <c r="H160" s="14">
        <f>+SUM('1:30'!H160)</f>
        <v>0</v>
      </c>
      <c r="I160" s="14">
        <f>+SUM('1:30'!I160)</f>
        <v>0</v>
      </c>
      <c r="J160" s="14">
        <f>+SUM('1:30'!J160)</f>
        <v>0</v>
      </c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">
        <f>+SUM('1:30'!O160)</f>
        <v>0</v>
      </c>
      <c r="P160" s="146">
        <f t="shared" si="17"/>
        <v>0</v>
      </c>
      <c r="Q160" s="14">
        <f>+SUM('1:30'!Q160)</f>
        <v>0</v>
      </c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14">
        <f>+SUM('1:30'!W160)</f>
        <v>0</v>
      </c>
      <c r="X160" s="14">
        <f>+SUM('1:30'!X160)</f>
        <v>0</v>
      </c>
      <c r="Y160" s="14">
        <f>+SUM('1:30'!Y160)</f>
        <v>0</v>
      </c>
      <c r="Z160" s="14">
        <f>+SUM('1:30'!Z160)</f>
        <v>0</v>
      </c>
      <c r="AA160" s="14">
        <f>+SUM('1:30'!AA160)</f>
        <v>0</v>
      </c>
      <c r="AB160" s="14">
        <f>+SUM('1:30'!AB160)</f>
        <v>0</v>
      </c>
      <c r="AC160" s="14">
        <f>+SUM('1:30'!AC160)</f>
        <v>0</v>
      </c>
    </row>
    <row r="161" spans="1:29" s="2" customFormat="1" ht="21.95" customHeight="1">
      <c r="A161" s="142">
        <v>300341</v>
      </c>
      <c r="B161" s="135">
        <v>18501</v>
      </c>
      <c r="C161" s="266" t="s">
        <v>154</v>
      </c>
      <c r="D161" s="267"/>
      <c r="E161" s="148" t="s">
        <v>39</v>
      </c>
      <c r="F161" s="27"/>
      <c r="G161" s="14">
        <f>+SUM('1:30'!G161)</f>
        <v>0</v>
      </c>
      <c r="H161" s="14">
        <f>+SUM('1:30'!H161)</f>
        <v>0</v>
      </c>
      <c r="I161" s="14">
        <f>+SUM('1:30'!I161)</f>
        <v>0</v>
      </c>
      <c r="J161" s="14">
        <f>+SUM('1:30'!J161)</f>
        <v>0</v>
      </c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">
        <f>+SUM('1:30'!O161)</f>
        <v>0</v>
      </c>
      <c r="P161" s="146">
        <f t="shared" si="17"/>
        <v>0</v>
      </c>
      <c r="Q161" s="14">
        <f>+SUM('1:30'!Q161)</f>
        <v>0</v>
      </c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14">
        <f>+SUM('1:30'!W161)</f>
        <v>0</v>
      </c>
      <c r="X161" s="14">
        <f>+SUM('1:30'!X161)</f>
        <v>0</v>
      </c>
      <c r="Y161" s="14">
        <f>+SUM('1:30'!Y161)</f>
        <v>0</v>
      </c>
      <c r="Z161" s="14">
        <f>+SUM('1:30'!Z161)</f>
        <v>0</v>
      </c>
      <c r="AA161" s="14">
        <f>+SUM('1:30'!AA161)</f>
        <v>0</v>
      </c>
      <c r="AB161" s="14">
        <f>+SUM('1:30'!AB161)</f>
        <v>0</v>
      </c>
      <c r="AC161" s="14">
        <f>+SUM('1:30'!AC161)</f>
        <v>0</v>
      </c>
    </row>
    <row r="162" spans="1:29" s="2" customFormat="1" ht="21.95" customHeight="1">
      <c r="A162" s="142">
        <v>300342</v>
      </c>
      <c r="B162" s="135">
        <v>18501</v>
      </c>
      <c r="C162" s="266" t="s">
        <v>154</v>
      </c>
      <c r="D162" s="267"/>
      <c r="E162" s="148" t="s">
        <v>80</v>
      </c>
      <c r="F162" s="27"/>
      <c r="G162" s="14">
        <f>+SUM('1:30'!G162)</f>
        <v>0</v>
      </c>
      <c r="H162" s="14">
        <f>+SUM('1:30'!H162)</f>
        <v>0</v>
      </c>
      <c r="I162" s="14">
        <f>+SUM('1:30'!I162)</f>
        <v>0</v>
      </c>
      <c r="J162" s="14">
        <f>+SUM('1:30'!J162)</f>
        <v>0</v>
      </c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">
        <f>+SUM('1:30'!O162)</f>
        <v>0</v>
      </c>
      <c r="P162" s="146">
        <f t="shared" si="17"/>
        <v>0</v>
      </c>
      <c r="Q162" s="14">
        <f>+SUM('1:30'!Q162)</f>
        <v>0</v>
      </c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14">
        <f>+SUM('1:30'!W162)</f>
        <v>0</v>
      </c>
      <c r="X162" s="14">
        <f>+SUM('1:30'!X162)</f>
        <v>0</v>
      </c>
      <c r="Y162" s="14">
        <f>+SUM('1:30'!Y162)</f>
        <v>0</v>
      </c>
      <c r="Z162" s="14">
        <f>+SUM('1:30'!Z162)</f>
        <v>0</v>
      </c>
      <c r="AA162" s="14">
        <f>+SUM('1:30'!AA162)</f>
        <v>0</v>
      </c>
      <c r="AB162" s="14">
        <f>+SUM('1:30'!AB162)</f>
        <v>0</v>
      </c>
      <c r="AC162" s="14">
        <f>+SUM('1:30'!AC162)</f>
        <v>0</v>
      </c>
    </row>
    <row r="163" spans="1:29" s="2" customFormat="1" ht="21.95" customHeight="1">
      <c r="A163" s="142">
        <v>300343</v>
      </c>
      <c r="B163" s="135">
        <v>18501</v>
      </c>
      <c r="C163" s="266" t="s">
        <v>154</v>
      </c>
      <c r="D163" s="267"/>
      <c r="E163" s="148" t="s">
        <v>35</v>
      </c>
      <c r="F163" s="27"/>
      <c r="G163" s="14">
        <f>+SUM('1:30'!G163)</f>
        <v>0</v>
      </c>
      <c r="H163" s="14">
        <f>+SUM('1:30'!H163)</f>
        <v>0</v>
      </c>
      <c r="I163" s="14">
        <f>+SUM('1:30'!I163)</f>
        <v>0</v>
      </c>
      <c r="J163" s="14">
        <f>+SUM('1:30'!J163)</f>
        <v>0</v>
      </c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">
        <f>+SUM('1:30'!O163)</f>
        <v>0</v>
      </c>
      <c r="P163" s="146">
        <f t="shared" si="17"/>
        <v>0</v>
      </c>
      <c r="Q163" s="14">
        <f>+SUM('1:30'!Q163)</f>
        <v>0</v>
      </c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14">
        <f>+SUM('1:30'!W163)</f>
        <v>0</v>
      </c>
      <c r="X163" s="14">
        <f>+SUM('1:30'!X163)</f>
        <v>0</v>
      </c>
      <c r="Y163" s="14">
        <f>+SUM('1:30'!Y163)</f>
        <v>0</v>
      </c>
      <c r="Z163" s="14">
        <f>+SUM('1:30'!Z163)</f>
        <v>0</v>
      </c>
      <c r="AA163" s="14">
        <f>+SUM('1:30'!AA163)</f>
        <v>0</v>
      </c>
      <c r="AB163" s="14">
        <f>+SUM('1:30'!AB163)</f>
        <v>0</v>
      </c>
      <c r="AC163" s="14">
        <f>+SUM('1:30'!AC163)</f>
        <v>0</v>
      </c>
    </row>
    <row r="164" spans="1:29" s="2" customFormat="1" ht="21.95" customHeight="1">
      <c r="A164" s="142">
        <v>300344</v>
      </c>
      <c r="B164" s="135">
        <v>18501</v>
      </c>
      <c r="C164" s="266" t="s">
        <v>154</v>
      </c>
      <c r="D164" s="267"/>
      <c r="E164" s="148" t="s">
        <v>40</v>
      </c>
      <c r="F164" s="27"/>
      <c r="G164" s="14">
        <f>+SUM('1:30'!G164)</f>
        <v>0</v>
      </c>
      <c r="H164" s="14">
        <f>+SUM('1:30'!H164)</f>
        <v>0</v>
      </c>
      <c r="I164" s="14">
        <f>+SUM('1:30'!I164)</f>
        <v>0</v>
      </c>
      <c r="J164" s="14">
        <f>+SUM('1:30'!J164)</f>
        <v>0</v>
      </c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">
        <f>+SUM('1:30'!O164)</f>
        <v>0</v>
      </c>
      <c r="P164" s="146">
        <f t="shared" si="17"/>
        <v>0</v>
      </c>
      <c r="Q164" s="14">
        <f>+SUM('1:30'!Q164)</f>
        <v>0</v>
      </c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14">
        <f>+SUM('1:30'!W164)</f>
        <v>0</v>
      </c>
      <c r="X164" s="14">
        <f>+SUM('1:30'!X164)</f>
        <v>0</v>
      </c>
      <c r="Y164" s="14">
        <f>+SUM('1:30'!Y164)</f>
        <v>0</v>
      </c>
      <c r="Z164" s="14">
        <f>+SUM('1:30'!Z164)</f>
        <v>0</v>
      </c>
      <c r="AA164" s="14">
        <f>+SUM('1:30'!AA164)</f>
        <v>0</v>
      </c>
      <c r="AB164" s="14">
        <f>+SUM('1:30'!AB164)</f>
        <v>0</v>
      </c>
      <c r="AC164" s="14">
        <f>+SUM('1:30'!AC164)</f>
        <v>0</v>
      </c>
    </row>
    <row r="165" spans="1:29" s="2" customFormat="1" ht="21.95" customHeight="1">
      <c r="A165" s="142">
        <v>300396</v>
      </c>
      <c r="B165" s="135">
        <v>18501</v>
      </c>
      <c r="C165" s="268" t="s">
        <v>155</v>
      </c>
      <c r="D165" s="269"/>
      <c r="E165" s="32" t="s">
        <v>41</v>
      </c>
      <c r="F165" s="27"/>
      <c r="G165" s="14">
        <f>+SUM('1:30'!G165)</f>
        <v>0</v>
      </c>
      <c r="H165" s="14">
        <f>+SUM('1:30'!H165)</f>
        <v>0</v>
      </c>
      <c r="I165" s="14">
        <f>+SUM('1:30'!I165)</f>
        <v>0</v>
      </c>
      <c r="J165" s="14">
        <f>+SUM('1:30'!J165)</f>
        <v>0</v>
      </c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">
        <f>+SUM('1:30'!O165)</f>
        <v>0</v>
      </c>
      <c r="P165" s="146">
        <f t="shared" si="17"/>
        <v>0</v>
      </c>
      <c r="Q165" s="14">
        <f>+SUM('1:30'!Q165)</f>
        <v>0</v>
      </c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14">
        <f>+SUM('1:30'!W165)</f>
        <v>0</v>
      </c>
      <c r="X165" s="14">
        <f>+SUM('1:30'!X165)</f>
        <v>0</v>
      </c>
      <c r="Y165" s="14">
        <f>+SUM('1:30'!Y165)</f>
        <v>0</v>
      </c>
      <c r="Z165" s="14">
        <f>+SUM('1:30'!Z165)</f>
        <v>0</v>
      </c>
      <c r="AA165" s="14">
        <f>+SUM('1:30'!AA165)</f>
        <v>0</v>
      </c>
      <c r="AB165" s="14">
        <f>+SUM('1:30'!AB165)</f>
        <v>0</v>
      </c>
      <c r="AC165" s="14">
        <f>+SUM('1:30'!AC165)</f>
        <v>0</v>
      </c>
    </row>
    <row r="166" spans="1:29" s="2" customFormat="1" ht="21.95" customHeight="1">
      <c r="A166" s="142">
        <v>300397</v>
      </c>
      <c r="B166" s="135">
        <v>18501</v>
      </c>
      <c r="C166" s="268" t="s">
        <v>155</v>
      </c>
      <c r="D166" s="269"/>
      <c r="E166" s="32" t="s">
        <v>66</v>
      </c>
      <c r="F166" s="27"/>
      <c r="G166" s="14">
        <f>+SUM('1:30'!G166)</f>
        <v>0</v>
      </c>
      <c r="H166" s="14">
        <f>+SUM('1:30'!H166)</f>
        <v>0</v>
      </c>
      <c r="I166" s="14">
        <f>+SUM('1:30'!I166)</f>
        <v>0</v>
      </c>
      <c r="J166" s="14">
        <f>+SUM('1:30'!J166)</f>
        <v>0</v>
      </c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">
        <f>+SUM('1:30'!O166)</f>
        <v>0</v>
      </c>
      <c r="P166" s="146">
        <f t="shared" si="17"/>
        <v>0</v>
      </c>
      <c r="Q166" s="14">
        <f>+SUM('1:30'!Q166)</f>
        <v>0</v>
      </c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14">
        <f>+SUM('1:30'!W166)</f>
        <v>0</v>
      </c>
      <c r="X166" s="14">
        <f>+SUM('1:30'!X166)</f>
        <v>0</v>
      </c>
      <c r="Y166" s="14">
        <f>+SUM('1:30'!Y166)</f>
        <v>0</v>
      </c>
      <c r="Z166" s="14">
        <f>+SUM('1:30'!Z166)</f>
        <v>0</v>
      </c>
      <c r="AA166" s="14">
        <f>+SUM('1:30'!AA166)</f>
        <v>0</v>
      </c>
      <c r="AB166" s="14">
        <f>+SUM('1:30'!AB166)</f>
        <v>0</v>
      </c>
      <c r="AC166" s="14">
        <f>+SUM('1:30'!AC166)</f>
        <v>0</v>
      </c>
    </row>
    <row r="167" spans="1:29" s="2" customFormat="1" ht="21.95" customHeight="1">
      <c r="A167" s="142">
        <v>300398</v>
      </c>
      <c r="B167" s="135">
        <v>18501</v>
      </c>
      <c r="C167" s="268" t="s">
        <v>155</v>
      </c>
      <c r="D167" s="269"/>
      <c r="E167" s="32" t="s">
        <v>149</v>
      </c>
      <c r="F167" s="27"/>
      <c r="G167" s="14">
        <f>+SUM('1:30'!G167)</f>
        <v>0</v>
      </c>
      <c r="H167" s="14">
        <f>+SUM('1:30'!H167)</f>
        <v>0</v>
      </c>
      <c r="I167" s="14">
        <f>+SUM('1:30'!I167)</f>
        <v>0</v>
      </c>
      <c r="J167" s="14">
        <f>+SUM('1:30'!J167)</f>
        <v>0</v>
      </c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">
        <f>+SUM('1:30'!O167)</f>
        <v>0</v>
      </c>
      <c r="P167" s="146">
        <f t="shared" si="17"/>
        <v>0</v>
      </c>
      <c r="Q167" s="14">
        <f>+SUM('1:30'!Q167)</f>
        <v>0</v>
      </c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14">
        <f>+SUM('1:30'!W167)</f>
        <v>0</v>
      </c>
      <c r="X167" s="14">
        <f>+SUM('1:30'!X167)</f>
        <v>0</v>
      </c>
      <c r="Y167" s="14">
        <f>+SUM('1:30'!Y167)</f>
        <v>0</v>
      </c>
      <c r="Z167" s="14">
        <f>+SUM('1:30'!Z167)</f>
        <v>0</v>
      </c>
      <c r="AA167" s="14">
        <f>+SUM('1:30'!AA167)</f>
        <v>0</v>
      </c>
      <c r="AB167" s="14">
        <f>+SUM('1:30'!AB167)</f>
        <v>0</v>
      </c>
      <c r="AC167" s="14">
        <f>+SUM('1:30'!AC167)</f>
        <v>0</v>
      </c>
    </row>
    <row r="168" spans="1:29" s="2" customFormat="1" ht="21.95" customHeight="1">
      <c r="A168" s="142">
        <v>300271</v>
      </c>
      <c r="B168" s="135">
        <v>18501</v>
      </c>
      <c r="C168" s="248" t="s">
        <v>156</v>
      </c>
      <c r="D168" s="248"/>
      <c r="E168" s="148" t="s">
        <v>142</v>
      </c>
      <c r="F168" s="27"/>
      <c r="G168" s="14">
        <f>+SUM('1:30'!G168)</f>
        <v>0</v>
      </c>
      <c r="H168" s="14">
        <f>+SUM('1:30'!H168)</f>
        <v>0</v>
      </c>
      <c r="I168" s="14">
        <f>+SUM('1:30'!I168)</f>
        <v>0</v>
      </c>
      <c r="J168" s="14">
        <f>+SUM('1:30'!J168)</f>
        <v>0</v>
      </c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">
        <f>+SUM('1:30'!O168)</f>
        <v>0</v>
      </c>
      <c r="P168" s="146">
        <f t="shared" si="17"/>
        <v>0</v>
      </c>
      <c r="Q168" s="14">
        <f>+SUM('1:30'!Q168)</f>
        <v>0</v>
      </c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14">
        <f>+SUM('1:30'!W168)</f>
        <v>0</v>
      </c>
      <c r="X168" s="14">
        <f>+SUM('1:30'!X168)</f>
        <v>0</v>
      </c>
      <c r="Y168" s="14">
        <f>+SUM('1:30'!Y168)</f>
        <v>0</v>
      </c>
      <c r="Z168" s="14">
        <f>+SUM('1:30'!Z168)</f>
        <v>0</v>
      </c>
      <c r="AA168" s="14">
        <f>+SUM('1:30'!AA168)</f>
        <v>0</v>
      </c>
      <c r="AB168" s="14">
        <f>+SUM('1:30'!AB168)</f>
        <v>0</v>
      </c>
      <c r="AC168" s="14">
        <f>+SUM('1:30'!AC168)</f>
        <v>0</v>
      </c>
    </row>
    <row r="169" spans="1:29" s="2" customFormat="1" ht="21.95" customHeight="1">
      <c r="A169" s="142">
        <v>300009</v>
      </c>
      <c r="B169" s="135">
        <v>18501</v>
      </c>
      <c r="C169" s="248" t="s">
        <v>157</v>
      </c>
      <c r="D169" s="248" t="s">
        <v>158</v>
      </c>
      <c r="E169" s="148" t="s">
        <v>135</v>
      </c>
      <c r="F169" s="27"/>
      <c r="G169" s="14">
        <f>+SUM('1:30'!G169)</f>
        <v>15.3</v>
      </c>
      <c r="H169" s="14">
        <f>+SUM('1:30'!H169)</f>
        <v>0.3</v>
      </c>
      <c r="I169" s="14">
        <f>+SUM('1:30'!I169)</f>
        <v>15.3</v>
      </c>
      <c r="J169" s="14">
        <f>+SUM('1:30'!J169)</f>
        <v>0</v>
      </c>
      <c r="K169" s="146">
        <f t="shared" si="15"/>
        <v>7968.24</v>
      </c>
      <c r="L169" s="146">
        <f t="shared" si="16"/>
        <v>7968.24</v>
      </c>
      <c r="M169" s="15">
        <v>520.79999999999995</v>
      </c>
      <c r="N169" s="146">
        <f>+M169*1000/(188*4*13*60)*T169</f>
        <v>5.3273322422258591</v>
      </c>
      <c r="O169" s="14">
        <f>+SUM('1:30'!O169)</f>
        <v>0.5</v>
      </c>
      <c r="P169" s="146">
        <f t="shared" si="17"/>
        <v>81.508183306055642</v>
      </c>
      <c r="Q169" s="14">
        <f>+SUM('1:30'!Q169)</f>
        <v>17</v>
      </c>
      <c r="R169" s="19">
        <f t="shared" si="18"/>
        <v>0</v>
      </c>
      <c r="S169" s="146">
        <f t="shared" si="19"/>
        <v>-81.508183306055642</v>
      </c>
      <c r="T169" s="20">
        <v>6</v>
      </c>
      <c r="U169" s="20"/>
      <c r="V169" s="143">
        <f t="array" ref="V169">IF(ISERROR(L169/K169),"",L169/K169)</f>
        <v>1</v>
      </c>
      <c r="W169" s="14">
        <f>+SUM('1:30'!W169)</f>
        <v>0</v>
      </c>
      <c r="X169" s="14">
        <f>+SUM('1:30'!X169)</f>
        <v>0</v>
      </c>
      <c r="Y169" s="14">
        <f>+SUM('1:30'!Y169)</f>
        <v>0</v>
      </c>
      <c r="Z169" s="14">
        <f>+SUM('1:30'!Z169)</f>
        <v>0</v>
      </c>
      <c r="AA169" s="14">
        <f>+SUM('1:30'!AA169)</f>
        <v>2</v>
      </c>
      <c r="AB169" s="14">
        <f>+SUM('1:30'!AB169)</f>
        <v>0</v>
      </c>
      <c r="AC169" s="14">
        <f>+SUM('1:30'!AC169)</f>
        <v>0</v>
      </c>
    </row>
    <row r="170" spans="1:29" s="2" customFormat="1" ht="21.95" customHeight="1">
      <c r="A170" s="142">
        <v>300010</v>
      </c>
      <c r="B170" s="135">
        <v>18501</v>
      </c>
      <c r="C170" s="248" t="s">
        <v>157</v>
      </c>
      <c r="D170" s="248" t="s">
        <v>158</v>
      </c>
      <c r="E170" s="148" t="s">
        <v>80</v>
      </c>
      <c r="F170" s="27"/>
      <c r="G170" s="14">
        <f>+SUM('1:30'!G170)</f>
        <v>9.4499999999999993</v>
      </c>
      <c r="H170" s="14">
        <f>+SUM('1:30'!H170)</f>
        <v>0.45</v>
      </c>
      <c r="I170" s="14">
        <f>+SUM('1:30'!I170)</f>
        <v>9.4499999999999993</v>
      </c>
      <c r="J170" s="14">
        <f>+SUM('1:30'!J170)</f>
        <v>0</v>
      </c>
      <c r="K170" s="146">
        <f t="shared" si="15"/>
        <v>5017.0049999999992</v>
      </c>
      <c r="L170" s="146">
        <f t="shared" si="16"/>
        <v>5017.0049999999992</v>
      </c>
      <c r="M170" s="15">
        <v>530.9</v>
      </c>
      <c r="N170" s="146">
        <f>+M170*1000/(188*4*13*60)*T170</f>
        <v>4.5255387343153304</v>
      </c>
      <c r="O170" s="14">
        <f>+SUM('1:30'!O170)</f>
        <v>0</v>
      </c>
      <c r="P170" s="146">
        <f t="shared" si="17"/>
        <v>42.766341039279872</v>
      </c>
      <c r="Q170" s="14">
        <f>+SUM('1:30'!Q170)</f>
        <v>9</v>
      </c>
      <c r="R170" s="19">
        <f t="shared" si="18"/>
        <v>0</v>
      </c>
      <c r="S170" s="146">
        <f t="shared" si="19"/>
        <v>-42.766341039279872</v>
      </c>
      <c r="T170" s="20">
        <v>5</v>
      </c>
      <c r="U170" s="20"/>
      <c r="V170" s="143">
        <f t="array" ref="V170">IF(ISERROR(L170/K170),"",L170/K170)</f>
        <v>1</v>
      </c>
      <c r="W170" s="14">
        <f>+SUM('1:30'!W170)</f>
        <v>0</v>
      </c>
      <c r="X170" s="14">
        <f>+SUM('1:30'!X170)</f>
        <v>0</v>
      </c>
      <c r="Y170" s="14">
        <f>+SUM('1:30'!Y170)</f>
        <v>0</v>
      </c>
      <c r="Z170" s="14">
        <f>+SUM('1:30'!Z170)</f>
        <v>0</v>
      </c>
      <c r="AA170" s="14">
        <f>+SUM('1:30'!AA170)</f>
        <v>0</v>
      </c>
      <c r="AB170" s="14">
        <f>+SUM('1:30'!AB170)</f>
        <v>0</v>
      </c>
      <c r="AC170" s="14">
        <f>+SUM('1:30'!AC170)</f>
        <v>0</v>
      </c>
    </row>
    <row r="171" spans="1:29" s="2" customFormat="1" ht="21.95" customHeight="1">
      <c r="A171" s="142">
        <v>300305</v>
      </c>
      <c r="B171" s="135">
        <v>18501</v>
      </c>
      <c r="C171" s="248" t="s">
        <v>159</v>
      </c>
      <c r="D171" s="248" t="s">
        <v>160</v>
      </c>
      <c r="E171" s="148" t="s">
        <v>57</v>
      </c>
      <c r="F171" s="27"/>
      <c r="G171" s="14">
        <f>+SUM('1:30'!G171)</f>
        <v>0</v>
      </c>
      <c r="H171" s="14">
        <f>+SUM('1:30'!H171)</f>
        <v>0</v>
      </c>
      <c r="I171" s="14">
        <f>+SUM('1:30'!I171)</f>
        <v>0</v>
      </c>
      <c r="J171" s="14">
        <f>+SUM('1:30'!J171)</f>
        <v>0</v>
      </c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">
        <f>+SUM('1:30'!O171)</f>
        <v>0</v>
      </c>
      <c r="P171" s="146">
        <f t="shared" si="17"/>
        <v>0</v>
      </c>
      <c r="Q171" s="14">
        <f>+SUM('1:30'!Q171)</f>
        <v>0</v>
      </c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14">
        <f>+SUM('1:30'!W171)</f>
        <v>0</v>
      </c>
      <c r="X171" s="14">
        <f>+SUM('1:30'!X171)</f>
        <v>0</v>
      </c>
      <c r="Y171" s="14">
        <f>+SUM('1:30'!Y171)</f>
        <v>0</v>
      </c>
      <c r="Z171" s="14">
        <f>+SUM('1:30'!Z171)</f>
        <v>0</v>
      </c>
      <c r="AA171" s="14">
        <f>+SUM('1:30'!AA171)</f>
        <v>0</v>
      </c>
      <c r="AB171" s="14">
        <f>+SUM('1:30'!AB171)</f>
        <v>0</v>
      </c>
      <c r="AC171" s="14">
        <f>+SUM('1:30'!AC171)</f>
        <v>0</v>
      </c>
    </row>
    <row r="172" spans="1:29" s="2" customFormat="1" ht="22.5" customHeight="1">
      <c r="A172" s="142">
        <v>300306</v>
      </c>
      <c r="B172" s="135">
        <v>18501</v>
      </c>
      <c r="C172" s="248" t="s">
        <v>159</v>
      </c>
      <c r="D172" s="248" t="s">
        <v>160</v>
      </c>
      <c r="E172" s="148" t="s">
        <v>117</v>
      </c>
      <c r="F172" s="27"/>
      <c r="G172" s="14">
        <f>+SUM('1:30'!G172)</f>
        <v>0</v>
      </c>
      <c r="H172" s="14">
        <f>+SUM('1:30'!H172)</f>
        <v>0</v>
      </c>
      <c r="I172" s="14">
        <f>+SUM('1:30'!I172)</f>
        <v>0</v>
      </c>
      <c r="J172" s="14">
        <f>+SUM('1:30'!J172)</f>
        <v>0</v>
      </c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">
        <f>+SUM('1:30'!O172)</f>
        <v>0</v>
      </c>
      <c r="P172" s="146">
        <f t="shared" si="17"/>
        <v>0</v>
      </c>
      <c r="Q172" s="14">
        <f>+SUM('1:30'!Q172)</f>
        <v>0</v>
      </c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14">
        <f>+SUM('1:30'!W172)</f>
        <v>0</v>
      </c>
      <c r="X172" s="14">
        <f>+SUM('1:30'!X172)</f>
        <v>0</v>
      </c>
      <c r="Y172" s="14">
        <f>+SUM('1:30'!Y172)</f>
        <v>0</v>
      </c>
      <c r="Z172" s="14">
        <f>+SUM('1:30'!Z172)</f>
        <v>0</v>
      </c>
      <c r="AA172" s="14">
        <f>+SUM('1:30'!AA172)</f>
        <v>0</v>
      </c>
      <c r="AB172" s="14">
        <f>+SUM('1:30'!AB172)</f>
        <v>0</v>
      </c>
      <c r="AC172" s="14">
        <f>+SUM('1:30'!AC172)</f>
        <v>0</v>
      </c>
    </row>
    <row r="173" spans="1:29" s="2" customFormat="1" ht="21.95" customHeight="1">
      <c r="A173" s="142">
        <v>300307</v>
      </c>
      <c r="B173" s="135">
        <v>18501</v>
      </c>
      <c r="C173" s="248" t="s">
        <v>159</v>
      </c>
      <c r="D173" s="248" t="s">
        <v>160</v>
      </c>
      <c r="E173" s="148" t="s">
        <v>133</v>
      </c>
      <c r="F173" s="27"/>
      <c r="G173" s="14">
        <f>+SUM('1:30'!G173)</f>
        <v>0</v>
      </c>
      <c r="H173" s="14">
        <f>+SUM('1:30'!H173)</f>
        <v>0</v>
      </c>
      <c r="I173" s="14">
        <f>+SUM('1:30'!I173)</f>
        <v>0</v>
      </c>
      <c r="J173" s="14">
        <f>+SUM('1:30'!J173)</f>
        <v>0</v>
      </c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">
        <f>+SUM('1:30'!O173)</f>
        <v>0</v>
      </c>
      <c r="P173" s="146">
        <f t="shared" si="17"/>
        <v>0</v>
      </c>
      <c r="Q173" s="14">
        <f>+SUM('1:30'!Q173)</f>
        <v>0</v>
      </c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14">
        <f>+SUM('1:30'!W173)</f>
        <v>0</v>
      </c>
      <c r="X173" s="14">
        <f>+SUM('1:30'!X173)</f>
        <v>0</v>
      </c>
      <c r="Y173" s="14">
        <f>+SUM('1:30'!Y173)</f>
        <v>0</v>
      </c>
      <c r="Z173" s="14">
        <f>+SUM('1:30'!Z173)</f>
        <v>0</v>
      </c>
      <c r="AA173" s="14">
        <f>+SUM('1:30'!AA173)</f>
        <v>0</v>
      </c>
      <c r="AB173" s="14">
        <f>+SUM('1:30'!AB173)</f>
        <v>0</v>
      </c>
      <c r="AC173" s="14">
        <f>+SUM('1:30'!AC173)</f>
        <v>0</v>
      </c>
    </row>
    <row r="174" spans="1:29" s="2" customFormat="1" ht="21.95" customHeight="1">
      <c r="A174" s="142">
        <v>300308</v>
      </c>
      <c r="B174" s="135">
        <v>18501</v>
      </c>
      <c r="C174" s="248" t="s">
        <v>159</v>
      </c>
      <c r="D174" s="248" t="s">
        <v>160</v>
      </c>
      <c r="E174" s="148" t="s">
        <v>132</v>
      </c>
      <c r="F174" s="27"/>
      <c r="G174" s="14">
        <f>+SUM('1:30'!G174)</f>
        <v>0</v>
      </c>
      <c r="H174" s="14">
        <f>+SUM('1:30'!H174)</f>
        <v>0</v>
      </c>
      <c r="I174" s="14">
        <f>+SUM('1:30'!I174)</f>
        <v>0</v>
      </c>
      <c r="J174" s="14">
        <f>+SUM('1:30'!J174)</f>
        <v>0</v>
      </c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">
        <f>+SUM('1:30'!O174)</f>
        <v>0</v>
      </c>
      <c r="P174" s="146">
        <f t="shared" si="17"/>
        <v>0</v>
      </c>
      <c r="Q174" s="14">
        <f>+SUM('1:30'!Q174)</f>
        <v>0</v>
      </c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14">
        <f>+SUM('1:30'!W174)</f>
        <v>0</v>
      </c>
      <c r="X174" s="14">
        <f>+SUM('1:30'!X174)</f>
        <v>0</v>
      </c>
      <c r="Y174" s="14">
        <f>+SUM('1:30'!Y174)</f>
        <v>0</v>
      </c>
      <c r="Z174" s="14">
        <f>+SUM('1:30'!Z174)</f>
        <v>0</v>
      </c>
      <c r="AA174" s="14">
        <f>+SUM('1:30'!AA174)</f>
        <v>0</v>
      </c>
      <c r="AB174" s="14">
        <f>+SUM('1:30'!AB174)</f>
        <v>0</v>
      </c>
      <c r="AC174" s="14">
        <f>+SUM('1:30'!AC174)</f>
        <v>0</v>
      </c>
    </row>
    <row r="175" spans="1:29" s="2" customFormat="1" ht="21.95" customHeight="1">
      <c r="A175" s="142">
        <v>300182</v>
      </c>
      <c r="B175" s="135">
        <v>18501</v>
      </c>
      <c r="C175" s="248" t="s">
        <v>161</v>
      </c>
      <c r="D175" s="248" t="s">
        <v>160</v>
      </c>
      <c r="E175" s="148" t="s">
        <v>80</v>
      </c>
      <c r="F175" s="27"/>
      <c r="G175" s="14">
        <f>+SUM('1:30'!G175)</f>
        <v>3</v>
      </c>
      <c r="H175" s="14">
        <f>+SUM('1:30'!H175)</f>
        <v>0</v>
      </c>
      <c r="I175" s="14">
        <f>+SUM('1:30'!I175)</f>
        <v>3</v>
      </c>
      <c r="J175" s="14">
        <f>+SUM('1:30'!J175)</f>
        <v>0</v>
      </c>
      <c r="K175" s="146">
        <f t="shared" si="15"/>
        <v>1947.3000000000002</v>
      </c>
      <c r="L175" s="146">
        <f t="shared" si="16"/>
        <v>1947.3000000000002</v>
      </c>
      <c r="M175" s="15">
        <v>649.1</v>
      </c>
      <c r="N175" s="146">
        <f t="shared" si="21"/>
        <v>5.1496255394770252</v>
      </c>
      <c r="O175" s="14">
        <f>+SUM('1:30'!O175)</f>
        <v>0</v>
      </c>
      <c r="P175" s="146">
        <f t="shared" si="17"/>
        <v>15.448876618431076</v>
      </c>
      <c r="Q175" s="14">
        <f>+SUM('1:30'!Q175)</f>
        <v>4.5</v>
      </c>
      <c r="R175" s="19">
        <f t="shared" si="18"/>
        <v>0</v>
      </c>
      <c r="S175" s="146">
        <f t="shared" si="19"/>
        <v>-15.448876618431076</v>
      </c>
      <c r="T175" s="20">
        <v>5</v>
      </c>
      <c r="U175" s="20"/>
      <c r="V175" s="143">
        <f t="array" ref="V175">IF(ISERROR(L175/K175),"",L175/K175)</f>
        <v>1</v>
      </c>
      <c r="W175" s="14">
        <f>+SUM('1:30'!W175)</f>
        <v>0</v>
      </c>
      <c r="X175" s="14">
        <f>+SUM('1:30'!X175)</f>
        <v>0</v>
      </c>
      <c r="Y175" s="14">
        <f>+SUM('1:30'!Y175)</f>
        <v>0</v>
      </c>
      <c r="Z175" s="14">
        <f>+SUM('1:30'!Z175)</f>
        <v>0</v>
      </c>
      <c r="AA175" s="14">
        <f>+SUM('1:30'!AA175)</f>
        <v>2</v>
      </c>
      <c r="AB175" s="14">
        <f>+SUM('1:30'!AB175)</f>
        <v>0</v>
      </c>
      <c r="AC175" s="14">
        <f>+SUM('1:30'!AC175)</f>
        <v>0</v>
      </c>
    </row>
    <row r="176" spans="1:29" s="2" customFormat="1" ht="21.95" customHeight="1">
      <c r="A176" s="142">
        <v>300185</v>
      </c>
      <c r="B176" s="135">
        <v>18501</v>
      </c>
      <c r="C176" s="248" t="s">
        <v>161</v>
      </c>
      <c r="D176" s="248" t="s">
        <v>160</v>
      </c>
      <c r="E176" s="148" t="s">
        <v>135</v>
      </c>
      <c r="F176" s="27"/>
      <c r="G176" s="14">
        <f>+SUM('1:30'!G176)</f>
        <v>0</v>
      </c>
      <c r="H176" s="14">
        <f>+SUM('1:30'!H176)</f>
        <v>0</v>
      </c>
      <c r="I176" s="14">
        <f>+SUM('1:30'!I176)</f>
        <v>0</v>
      </c>
      <c r="J176" s="14">
        <f>+SUM('1:30'!J176)</f>
        <v>0</v>
      </c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">
        <f>+SUM('1:30'!O176)</f>
        <v>0</v>
      </c>
      <c r="P176" s="146">
        <f t="shared" si="17"/>
        <v>0</v>
      </c>
      <c r="Q176" s="14">
        <f>+SUM('1:30'!Q176)</f>
        <v>0</v>
      </c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14">
        <f>+SUM('1:30'!W176)</f>
        <v>0</v>
      </c>
      <c r="X176" s="14">
        <f>+SUM('1:30'!X176)</f>
        <v>0</v>
      </c>
      <c r="Y176" s="14">
        <f>+SUM('1:30'!Y176)</f>
        <v>0</v>
      </c>
      <c r="Z176" s="14">
        <f>+SUM('1:30'!Z176)</f>
        <v>0</v>
      </c>
      <c r="AA176" s="14">
        <f>+SUM('1:30'!AA176)</f>
        <v>0</v>
      </c>
      <c r="AB176" s="14">
        <f>+SUM('1:30'!AB176)</f>
        <v>0</v>
      </c>
      <c r="AC176" s="14">
        <f>+SUM('1:30'!AC176)</f>
        <v>0</v>
      </c>
    </row>
    <row r="177" spans="1:29" s="2" customFormat="1" ht="21.95" customHeight="1">
      <c r="A177" s="142">
        <v>300272</v>
      </c>
      <c r="B177" s="135">
        <v>18502</v>
      </c>
      <c r="C177" s="248" t="s">
        <v>162</v>
      </c>
      <c r="D177" s="248"/>
      <c r="E177" s="148" t="s">
        <v>42</v>
      </c>
      <c r="F177" s="27"/>
      <c r="G177" s="14">
        <f>+SUM('1:30'!G177)</f>
        <v>0</v>
      </c>
      <c r="H177" s="14">
        <f>+SUM('1:30'!H177)</f>
        <v>0</v>
      </c>
      <c r="I177" s="14">
        <f>+SUM('1:30'!I177)</f>
        <v>0</v>
      </c>
      <c r="J177" s="14">
        <f>+SUM('1:30'!J177)</f>
        <v>0</v>
      </c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">
        <f>+SUM('1:30'!O177)</f>
        <v>0</v>
      </c>
      <c r="P177" s="146">
        <f t="shared" si="17"/>
        <v>0</v>
      </c>
      <c r="Q177" s="14">
        <f>+SUM('1:30'!Q177)</f>
        <v>0</v>
      </c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14">
        <f>+SUM('1:30'!W177)</f>
        <v>0</v>
      </c>
      <c r="X177" s="14">
        <f>+SUM('1:30'!X177)</f>
        <v>0</v>
      </c>
      <c r="Y177" s="14">
        <f>+SUM('1:30'!Y177)</f>
        <v>0</v>
      </c>
      <c r="Z177" s="14">
        <f>+SUM('1:30'!Z177)</f>
        <v>0</v>
      </c>
      <c r="AA177" s="14">
        <f>+SUM('1:30'!AA177)</f>
        <v>0</v>
      </c>
      <c r="AB177" s="14">
        <f>+SUM('1:30'!AB177)</f>
        <v>0</v>
      </c>
      <c r="AC177" s="14">
        <f>+SUM('1:30'!AC177)</f>
        <v>0</v>
      </c>
    </row>
    <row r="178" spans="1:29" s="2" customFormat="1" ht="21.95" customHeight="1">
      <c r="A178" s="142">
        <v>300273</v>
      </c>
      <c r="B178" s="135">
        <v>18502</v>
      </c>
      <c r="C178" s="248" t="s">
        <v>162</v>
      </c>
      <c r="D178" s="248"/>
      <c r="E178" s="148" t="s">
        <v>163</v>
      </c>
      <c r="F178" s="27"/>
      <c r="G178" s="14">
        <f>+SUM('1:30'!G178)</f>
        <v>0</v>
      </c>
      <c r="H178" s="14">
        <f>+SUM('1:30'!H178)</f>
        <v>0</v>
      </c>
      <c r="I178" s="14">
        <f>+SUM('1:30'!I178)</f>
        <v>0</v>
      </c>
      <c r="J178" s="14">
        <f>+SUM('1:30'!J178)</f>
        <v>0</v>
      </c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">
        <f>+SUM('1:30'!O178)</f>
        <v>0</v>
      </c>
      <c r="P178" s="146">
        <f t="shared" si="17"/>
        <v>0</v>
      </c>
      <c r="Q178" s="14">
        <f>+SUM('1:30'!Q178)</f>
        <v>0</v>
      </c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14">
        <f>+SUM('1:30'!W178)</f>
        <v>0</v>
      </c>
      <c r="X178" s="14">
        <f>+SUM('1:30'!X178)</f>
        <v>0</v>
      </c>
      <c r="Y178" s="14">
        <f>+SUM('1:30'!Y178)</f>
        <v>0</v>
      </c>
      <c r="Z178" s="14">
        <f>+SUM('1:30'!Z178)</f>
        <v>0</v>
      </c>
      <c r="AA178" s="14">
        <f>+SUM('1:30'!AA178)</f>
        <v>0</v>
      </c>
      <c r="AB178" s="14">
        <f>+SUM('1:30'!AB178)</f>
        <v>0</v>
      </c>
      <c r="AC178" s="14">
        <f>+SUM('1:30'!AC178)</f>
        <v>0</v>
      </c>
    </row>
    <row r="179" spans="1:29" s="2" customFormat="1" ht="21.95" customHeight="1">
      <c r="A179" s="142">
        <v>300274</v>
      </c>
      <c r="B179" s="135">
        <v>18502</v>
      </c>
      <c r="C179" s="248" t="s">
        <v>162</v>
      </c>
      <c r="D179" s="248"/>
      <c r="E179" s="148" t="s">
        <v>146</v>
      </c>
      <c r="F179" s="27"/>
      <c r="G179" s="14">
        <f>+SUM('1:30'!G179)</f>
        <v>0</v>
      </c>
      <c r="H179" s="14">
        <f>+SUM('1:30'!H179)</f>
        <v>0</v>
      </c>
      <c r="I179" s="14">
        <f>+SUM('1:30'!I179)</f>
        <v>0</v>
      </c>
      <c r="J179" s="14">
        <f>+SUM('1:30'!J179)</f>
        <v>0</v>
      </c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">
        <f>+SUM('1:30'!O179)</f>
        <v>0</v>
      </c>
      <c r="P179" s="146">
        <f t="shared" si="17"/>
        <v>0</v>
      </c>
      <c r="Q179" s="14">
        <f>+SUM('1:30'!Q179)</f>
        <v>0</v>
      </c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14">
        <f>+SUM('1:30'!W179)</f>
        <v>0</v>
      </c>
      <c r="X179" s="14">
        <f>+SUM('1:30'!X179)</f>
        <v>0</v>
      </c>
      <c r="Y179" s="14">
        <f>+SUM('1:30'!Y179)</f>
        <v>0</v>
      </c>
      <c r="Z179" s="14">
        <f>+SUM('1:30'!Z179)</f>
        <v>0</v>
      </c>
      <c r="AA179" s="14">
        <f>+SUM('1:30'!AA179)</f>
        <v>0</v>
      </c>
      <c r="AB179" s="14">
        <f>+SUM('1:30'!AB179)</f>
        <v>0</v>
      </c>
      <c r="AC179" s="14">
        <f>+SUM('1:30'!AC179)</f>
        <v>0</v>
      </c>
    </row>
    <row r="180" spans="1:29" s="2" customFormat="1" ht="21.95" customHeight="1">
      <c r="A180" s="142">
        <v>300275</v>
      </c>
      <c r="B180" s="135">
        <v>18502</v>
      </c>
      <c r="C180" s="248" t="s">
        <v>162</v>
      </c>
      <c r="D180" s="248"/>
      <c r="E180" s="148" t="s">
        <v>164</v>
      </c>
      <c r="F180" s="27"/>
      <c r="G180" s="14">
        <f>+SUM('1:30'!G180)</f>
        <v>0</v>
      </c>
      <c r="H180" s="14">
        <f>+SUM('1:30'!H180)</f>
        <v>0</v>
      </c>
      <c r="I180" s="14">
        <f>+SUM('1:30'!I180)</f>
        <v>0</v>
      </c>
      <c r="J180" s="14">
        <f>+SUM('1:30'!J180)</f>
        <v>0</v>
      </c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">
        <f>+SUM('1:30'!O180)</f>
        <v>0</v>
      </c>
      <c r="P180" s="146">
        <f t="shared" si="17"/>
        <v>0</v>
      </c>
      <c r="Q180" s="14">
        <f>+SUM('1:30'!Q180)</f>
        <v>0</v>
      </c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14">
        <f>+SUM('1:30'!W180)</f>
        <v>0</v>
      </c>
      <c r="X180" s="14">
        <f>+SUM('1:30'!X180)</f>
        <v>0</v>
      </c>
      <c r="Y180" s="14">
        <f>+SUM('1:30'!Y180)</f>
        <v>0</v>
      </c>
      <c r="Z180" s="14">
        <f>+SUM('1:30'!Z180)</f>
        <v>0</v>
      </c>
      <c r="AA180" s="14">
        <f>+SUM('1:30'!AA180)</f>
        <v>0</v>
      </c>
      <c r="AB180" s="14">
        <f>+SUM('1:30'!AB180)</f>
        <v>0</v>
      </c>
      <c r="AC180" s="14">
        <f>+SUM('1:30'!AC180)</f>
        <v>0</v>
      </c>
    </row>
    <row r="181" spans="1:29" s="2" customFormat="1" ht="21.95" customHeight="1">
      <c r="A181" s="142">
        <v>300285</v>
      </c>
      <c r="B181" s="135">
        <v>13001</v>
      </c>
      <c r="C181" s="248" t="s">
        <v>165</v>
      </c>
      <c r="D181" s="248"/>
      <c r="E181" s="148" t="s">
        <v>37</v>
      </c>
      <c r="F181" s="27"/>
      <c r="G181" s="14">
        <f>+SUM('1:30'!G181)</f>
        <v>0</v>
      </c>
      <c r="H181" s="14">
        <f>+SUM('1:30'!H181)</f>
        <v>0</v>
      </c>
      <c r="I181" s="14">
        <f>+SUM('1:30'!I181)</f>
        <v>0</v>
      </c>
      <c r="J181" s="14">
        <f>+SUM('1:30'!J181)</f>
        <v>0</v>
      </c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">
        <f>+SUM('1:30'!O181)</f>
        <v>0</v>
      </c>
      <c r="P181" s="146">
        <f t="shared" si="17"/>
        <v>0</v>
      </c>
      <c r="Q181" s="14">
        <f>+SUM('1:30'!Q181)</f>
        <v>0</v>
      </c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14">
        <f>+SUM('1:30'!W181)</f>
        <v>0</v>
      </c>
      <c r="X181" s="14">
        <f>+SUM('1:30'!X181)</f>
        <v>0</v>
      </c>
      <c r="Y181" s="14">
        <f>+SUM('1:30'!Y181)</f>
        <v>0</v>
      </c>
      <c r="Z181" s="14">
        <f>+SUM('1:30'!Z181)</f>
        <v>0</v>
      </c>
      <c r="AA181" s="14">
        <f>+SUM('1:30'!AA181)</f>
        <v>0</v>
      </c>
      <c r="AB181" s="14">
        <f>+SUM('1:30'!AB181)</f>
        <v>0</v>
      </c>
      <c r="AC181" s="14">
        <f>+SUM('1:30'!AC181)</f>
        <v>0</v>
      </c>
    </row>
    <row r="182" spans="1:29" s="2" customFormat="1" ht="21.95" customHeight="1">
      <c r="A182" s="142">
        <v>300287</v>
      </c>
      <c r="B182" s="135">
        <v>13001</v>
      </c>
      <c r="C182" s="248" t="s">
        <v>165</v>
      </c>
      <c r="D182" s="248"/>
      <c r="E182" s="148" t="s">
        <v>57</v>
      </c>
      <c r="F182" s="27"/>
      <c r="G182" s="14">
        <f>+SUM('1:30'!G182)</f>
        <v>0</v>
      </c>
      <c r="H182" s="14">
        <f>+SUM('1:30'!H182)</f>
        <v>0</v>
      </c>
      <c r="I182" s="14">
        <f>+SUM('1:30'!I182)</f>
        <v>0</v>
      </c>
      <c r="J182" s="14">
        <f>+SUM('1:30'!J182)</f>
        <v>0</v>
      </c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">
        <f>+SUM('1:30'!O182)</f>
        <v>0</v>
      </c>
      <c r="P182" s="146">
        <f t="shared" si="17"/>
        <v>0</v>
      </c>
      <c r="Q182" s="14">
        <f>+SUM('1:30'!Q182)</f>
        <v>0</v>
      </c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14">
        <f>+SUM('1:30'!W182)</f>
        <v>0</v>
      </c>
      <c r="X182" s="14">
        <f>+SUM('1:30'!X182)</f>
        <v>0</v>
      </c>
      <c r="Y182" s="14">
        <f>+SUM('1:30'!Y182)</f>
        <v>0</v>
      </c>
      <c r="Z182" s="14">
        <f>+SUM('1:30'!Z182)</f>
        <v>0</v>
      </c>
      <c r="AA182" s="14">
        <f>+SUM('1:30'!AA182)</f>
        <v>0</v>
      </c>
      <c r="AB182" s="14">
        <f>+SUM('1:30'!AB182)</f>
        <v>0</v>
      </c>
      <c r="AC182" s="14">
        <f>+SUM('1:30'!AC182)</f>
        <v>0</v>
      </c>
    </row>
    <row r="183" spans="1:29" s="2" customFormat="1" ht="21.95" customHeight="1">
      <c r="A183" s="142">
        <v>300284</v>
      </c>
      <c r="B183" s="135">
        <v>13001</v>
      </c>
      <c r="C183" s="248" t="s">
        <v>165</v>
      </c>
      <c r="D183" s="248"/>
      <c r="E183" s="148" t="s">
        <v>41</v>
      </c>
      <c r="F183" s="27"/>
      <c r="G183" s="14">
        <f>+SUM('1:30'!G183)</f>
        <v>0</v>
      </c>
      <c r="H183" s="14">
        <f>+SUM('1:30'!H183)</f>
        <v>0</v>
      </c>
      <c r="I183" s="14">
        <f>+SUM('1:30'!I183)</f>
        <v>0</v>
      </c>
      <c r="J183" s="14">
        <f>+SUM('1:30'!J183)</f>
        <v>0</v>
      </c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">
        <f>+SUM('1:30'!O183)</f>
        <v>0</v>
      </c>
      <c r="P183" s="146">
        <f t="shared" si="17"/>
        <v>0</v>
      </c>
      <c r="Q183" s="14">
        <f>+SUM('1:30'!Q183)</f>
        <v>0</v>
      </c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14">
        <f>+SUM('1:30'!W183)</f>
        <v>0</v>
      </c>
      <c r="X183" s="14">
        <f>+SUM('1:30'!X183)</f>
        <v>0</v>
      </c>
      <c r="Y183" s="14">
        <f>+SUM('1:30'!Y183)</f>
        <v>0</v>
      </c>
      <c r="Z183" s="14">
        <f>+SUM('1:30'!Z183)</f>
        <v>0</v>
      </c>
      <c r="AA183" s="14">
        <f>+SUM('1:30'!AA183)</f>
        <v>0</v>
      </c>
      <c r="AB183" s="14">
        <f>+SUM('1:30'!AB183)</f>
        <v>0</v>
      </c>
      <c r="AC183" s="14">
        <f>+SUM('1:30'!AC183)</f>
        <v>0</v>
      </c>
    </row>
    <row r="184" spans="1:29" s="2" customFormat="1" ht="21.95" customHeight="1">
      <c r="A184" s="142">
        <v>300283</v>
      </c>
      <c r="B184" s="135">
        <v>13001</v>
      </c>
      <c r="C184" s="248" t="s">
        <v>165</v>
      </c>
      <c r="D184" s="248"/>
      <c r="E184" s="148" t="s">
        <v>35</v>
      </c>
      <c r="F184" s="27"/>
      <c r="G184" s="14">
        <f>+SUM('1:30'!G184)</f>
        <v>0</v>
      </c>
      <c r="H184" s="14">
        <f>+SUM('1:30'!H184)</f>
        <v>0</v>
      </c>
      <c r="I184" s="14">
        <f>+SUM('1:30'!I184)</f>
        <v>0</v>
      </c>
      <c r="J184" s="14">
        <f>+SUM('1:30'!J184)</f>
        <v>0</v>
      </c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4">
        <f>+SUM('1:30'!O184)</f>
        <v>0</v>
      </c>
      <c r="P184" s="146">
        <f t="shared" si="17"/>
        <v>0</v>
      </c>
      <c r="Q184" s="14">
        <f>+SUM('1:30'!Q184)</f>
        <v>0</v>
      </c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14">
        <f>+SUM('1:30'!W184)</f>
        <v>0</v>
      </c>
      <c r="X184" s="14">
        <f>+SUM('1:30'!X184)</f>
        <v>0</v>
      </c>
      <c r="Y184" s="14">
        <f>+SUM('1:30'!Y184)</f>
        <v>0</v>
      </c>
      <c r="Z184" s="14">
        <f>+SUM('1:30'!Z184)</f>
        <v>0</v>
      </c>
      <c r="AA184" s="14">
        <f>+SUM('1:30'!AA184)</f>
        <v>0</v>
      </c>
      <c r="AB184" s="14">
        <f>+SUM('1:30'!AB184)</f>
        <v>0</v>
      </c>
      <c r="AC184" s="14">
        <f>+SUM('1:30'!AC184)</f>
        <v>0</v>
      </c>
    </row>
    <row r="185" spans="1:29" s="2" customFormat="1" ht="21.95" customHeight="1">
      <c r="A185" s="142">
        <v>300289</v>
      </c>
      <c r="B185" s="135">
        <v>13001</v>
      </c>
      <c r="C185" s="248" t="s">
        <v>165</v>
      </c>
      <c r="D185" s="248"/>
      <c r="E185" s="148" t="s">
        <v>66</v>
      </c>
      <c r="F185" s="27"/>
      <c r="G185" s="14">
        <f>+SUM('1:30'!G185)</f>
        <v>0</v>
      </c>
      <c r="H185" s="14">
        <f>+SUM('1:30'!H185)</f>
        <v>0</v>
      </c>
      <c r="I185" s="14">
        <f>+SUM('1:30'!I185)</f>
        <v>0</v>
      </c>
      <c r="J185" s="14">
        <f>+SUM('1:30'!J185)</f>
        <v>0</v>
      </c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4">
        <f>+SUM('1:30'!O185)</f>
        <v>0</v>
      </c>
      <c r="P185" s="146">
        <f t="shared" si="17"/>
        <v>0</v>
      </c>
      <c r="Q185" s="14">
        <f>+SUM('1:30'!Q185)</f>
        <v>0</v>
      </c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14">
        <f>+SUM('1:30'!W185)</f>
        <v>0</v>
      </c>
      <c r="X185" s="14">
        <f>+SUM('1:30'!X185)</f>
        <v>0</v>
      </c>
      <c r="Y185" s="14">
        <f>+SUM('1:30'!Y185)</f>
        <v>0</v>
      </c>
      <c r="Z185" s="14">
        <f>+SUM('1:30'!Z185)</f>
        <v>0</v>
      </c>
      <c r="AA185" s="14">
        <f>+SUM('1:30'!AA185)</f>
        <v>0</v>
      </c>
      <c r="AB185" s="14">
        <f>+SUM('1:30'!AB185)</f>
        <v>0</v>
      </c>
      <c r="AC185" s="14">
        <f>+SUM('1:30'!AC185)</f>
        <v>0</v>
      </c>
    </row>
    <row r="186" spans="1:29" s="2" customFormat="1" ht="21.95" customHeight="1">
      <c r="A186" s="142">
        <v>300288</v>
      </c>
      <c r="B186" s="135">
        <v>13001</v>
      </c>
      <c r="C186" s="248" t="s">
        <v>165</v>
      </c>
      <c r="D186" s="248"/>
      <c r="E186" s="148" t="s">
        <v>166</v>
      </c>
      <c r="F186" s="27"/>
      <c r="G186" s="14">
        <f>+SUM('1:30'!G186)</f>
        <v>0</v>
      </c>
      <c r="H186" s="14">
        <f>+SUM('1:30'!H186)</f>
        <v>0</v>
      </c>
      <c r="I186" s="14">
        <f>+SUM('1:30'!I186)</f>
        <v>0</v>
      </c>
      <c r="J186" s="14">
        <f>+SUM('1:30'!J186)</f>
        <v>0</v>
      </c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">
        <f>+SUM('1:30'!O186)</f>
        <v>0</v>
      </c>
      <c r="P186" s="146">
        <f t="shared" si="17"/>
        <v>0</v>
      </c>
      <c r="Q186" s="14">
        <f>+SUM('1:30'!Q186)</f>
        <v>0</v>
      </c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14">
        <f>+SUM('1:30'!W186)</f>
        <v>0</v>
      </c>
      <c r="X186" s="14">
        <f>+SUM('1:30'!X186)</f>
        <v>0</v>
      </c>
      <c r="Y186" s="14">
        <f>+SUM('1:30'!Y186)</f>
        <v>0</v>
      </c>
      <c r="Z186" s="14">
        <f>+SUM('1:30'!Z186)</f>
        <v>0</v>
      </c>
      <c r="AA186" s="14">
        <f>+SUM('1:30'!AA186)</f>
        <v>0</v>
      </c>
      <c r="AB186" s="14">
        <f>+SUM('1:30'!AB186)</f>
        <v>0</v>
      </c>
      <c r="AC186" s="14">
        <f>+SUM('1:30'!AC186)</f>
        <v>0</v>
      </c>
    </row>
    <row r="187" spans="1:29" s="2" customFormat="1" ht="21.95" customHeight="1">
      <c r="A187" s="139">
        <v>300355</v>
      </c>
      <c r="B187" s="135" t="s">
        <v>167</v>
      </c>
      <c r="C187" s="259" t="s">
        <v>168</v>
      </c>
      <c r="D187" s="260"/>
      <c r="E187" s="33" t="s">
        <v>35</v>
      </c>
      <c r="F187" s="27"/>
      <c r="G187" s="14">
        <f>+SUM('1:30'!G187)</f>
        <v>5</v>
      </c>
      <c r="H187" s="14">
        <f>+SUM('1:30'!H187)</f>
        <v>0</v>
      </c>
      <c r="I187" s="14">
        <f>+SUM('1:30'!I187)</f>
        <v>4.8</v>
      </c>
      <c r="J187" s="14">
        <f>+SUM('1:30'!J187)</f>
        <v>80</v>
      </c>
      <c r="K187" s="136">
        <f t="shared" si="15"/>
        <v>2190</v>
      </c>
      <c r="L187" s="146">
        <f t="shared" si="16"/>
        <v>2102.4</v>
      </c>
      <c r="M187" s="146">
        <v>438</v>
      </c>
      <c r="N187" s="15">
        <f>+M187*1000/(110*4*18*60)*T187</f>
        <v>4.6085858585858581</v>
      </c>
      <c r="O187" s="14">
        <f>+SUM('1:30'!O187)</f>
        <v>0</v>
      </c>
      <c r="P187" s="146">
        <f t="shared" si="17"/>
        <v>22.121212121212118</v>
      </c>
      <c r="Q187" s="14">
        <f>+SUM('1:30'!Q187)</f>
        <v>3.5</v>
      </c>
      <c r="R187" s="19">
        <f t="shared" si="18"/>
        <v>0</v>
      </c>
      <c r="S187" s="146">
        <f t="shared" si="19"/>
        <v>-22.121212121212118</v>
      </c>
      <c r="T187" s="20">
        <v>5</v>
      </c>
      <c r="U187" s="20"/>
      <c r="V187" s="143">
        <f t="array" ref="V187">IF(ISERROR(L187/K187),"",L187/K187)</f>
        <v>0.96000000000000008</v>
      </c>
      <c r="W187" s="14">
        <f>+SUM('1:30'!W187)</f>
        <v>0</v>
      </c>
      <c r="X187" s="14">
        <f>+SUM('1:30'!X187)</f>
        <v>0</v>
      </c>
      <c r="Y187" s="14">
        <f>+SUM('1:30'!Y187)</f>
        <v>0</v>
      </c>
      <c r="Z187" s="14">
        <f>+SUM('1:30'!Z187)</f>
        <v>0</v>
      </c>
      <c r="AA187" s="14">
        <f>+SUM('1:30'!AA187)</f>
        <v>2</v>
      </c>
      <c r="AB187" s="14">
        <f>+SUM('1:30'!AB187)</f>
        <v>0</v>
      </c>
      <c r="AC187" s="14">
        <f>+SUM('1:30'!AC187)</f>
        <v>0</v>
      </c>
    </row>
    <row r="188" spans="1:29" s="2" customFormat="1" ht="21.95" customHeight="1">
      <c r="A188" s="139">
        <v>300356</v>
      </c>
      <c r="B188" s="135" t="s">
        <v>169</v>
      </c>
      <c r="C188" s="259" t="s">
        <v>168</v>
      </c>
      <c r="D188" s="260"/>
      <c r="E188" s="150" t="s">
        <v>41</v>
      </c>
      <c r="F188" s="27"/>
      <c r="G188" s="14">
        <f>+SUM('1:30'!G188)</f>
        <v>0</v>
      </c>
      <c r="H188" s="14">
        <f>+SUM('1:30'!H188)</f>
        <v>0</v>
      </c>
      <c r="I188" s="14">
        <f>+SUM('1:30'!I188)</f>
        <v>0</v>
      </c>
      <c r="J188" s="14">
        <f>+SUM('1:30'!J188)</f>
        <v>0</v>
      </c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">
        <f>+SUM('1:30'!O188)</f>
        <v>0</v>
      </c>
      <c r="P188" s="146">
        <f t="shared" si="17"/>
        <v>0</v>
      </c>
      <c r="Q188" s="14">
        <f>+SUM('1:30'!Q188)</f>
        <v>0</v>
      </c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14">
        <f>+SUM('1:30'!W188)</f>
        <v>0</v>
      </c>
      <c r="X188" s="14">
        <f>+SUM('1:30'!X188)</f>
        <v>0</v>
      </c>
      <c r="Y188" s="14">
        <f>+SUM('1:30'!Y188)</f>
        <v>0</v>
      </c>
      <c r="Z188" s="14">
        <f>+SUM('1:30'!Z188)</f>
        <v>0</v>
      </c>
      <c r="AA188" s="14">
        <f>+SUM('1:30'!AA188)</f>
        <v>0</v>
      </c>
      <c r="AB188" s="14">
        <f>+SUM('1:30'!AB188)</f>
        <v>0</v>
      </c>
      <c r="AC188" s="14">
        <f>+SUM('1:30'!AC188)</f>
        <v>0</v>
      </c>
    </row>
    <row r="189" spans="1:29" s="2" customFormat="1" ht="21.95" customHeight="1">
      <c r="A189" s="139">
        <v>300357</v>
      </c>
      <c r="B189" s="135" t="s">
        <v>170</v>
      </c>
      <c r="C189" s="259" t="s">
        <v>168</v>
      </c>
      <c r="D189" s="260"/>
      <c r="E189" s="150" t="s">
        <v>37</v>
      </c>
      <c r="F189" s="27"/>
      <c r="G189" s="14">
        <f>+SUM('1:30'!G189)</f>
        <v>0</v>
      </c>
      <c r="H189" s="14">
        <f>+SUM('1:30'!H189)</f>
        <v>0</v>
      </c>
      <c r="I189" s="14">
        <f>+SUM('1:30'!I189)</f>
        <v>0</v>
      </c>
      <c r="J189" s="14">
        <f>+SUM('1:30'!J189)</f>
        <v>0</v>
      </c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">
        <f>+SUM('1:30'!O189)</f>
        <v>0</v>
      </c>
      <c r="P189" s="146">
        <f t="shared" si="17"/>
        <v>0</v>
      </c>
      <c r="Q189" s="14">
        <f>+SUM('1:30'!Q189)</f>
        <v>0</v>
      </c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14">
        <f>+SUM('1:30'!W189)</f>
        <v>0</v>
      </c>
      <c r="X189" s="14">
        <f>+SUM('1:30'!X189)</f>
        <v>0</v>
      </c>
      <c r="Y189" s="14">
        <f>+SUM('1:30'!Y189)</f>
        <v>0</v>
      </c>
      <c r="Z189" s="14">
        <f>+SUM('1:30'!Z189)</f>
        <v>0</v>
      </c>
      <c r="AA189" s="14">
        <f>+SUM('1:30'!AA189)</f>
        <v>0</v>
      </c>
      <c r="AB189" s="14">
        <f>+SUM('1:30'!AB189)</f>
        <v>0</v>
      </c>
      <c r="AC189" s="14">
        <f>+SUM('1:30'!AC189)</f>
        <v>0</v>
      </c>
    </row>
    <row r="190" spans="1:29" s="2" customFormat="1" ht="21.95" customHeight="1">
      <c r="A190" s="139">
        <v>300358</v>
      </c>
      <c r="B190" s="135" t="s">
        <v>171</v>
      </c>
      <c r="C190" s="259" t="s">
        <v>168</v>
      </c>
      <c r="D190" s="260"/>
      <c r="E190" s="150" t="s">
        <v>66</v>
      </c>
      <c r="F190" s="27"/>
      <c r="G190" s="14">
        <f>+SUM('1:30'!G190)</f>
        <v>15</v>
      </c>
      <c r="H190" s="14">
        <f>+SUM('1:30'!H190)</f>
        <v>0</v>
      </c>
      <c r="I190" s="14">
        <f>+SUM('1:30'!I190)</f>
        <v>13.925000000000001</v>
      </c>
      <c r="J190" s="14">
        <f>+SUM('1:30'!J190)</f>
        <v>430</v>
      </c>
      <c r="K190" s="136">
        <f t="shared" si="15"/>
        <v>6570</v>
      </c>
      <c r="L190" s="146">
        <f t="shared" si="16"/>
        <v>6099.1500000000005</v>
      </c>
      <c r="M190" s="146">
        <v>438</v>
      </c>
      <c r="N190" s="15">
        <f>+M190*1000/(110*4*18*60)*T190</f>
        <v>4.6085858585858581</v>
      </c>
      <c r="O190" s="14">
        <f>+SUM('1:30'!O190)</f>
        <v>0.5</v>
      </c>
      <c r="P190" s="146">
        <f t="shared" si="17"/>
        <v>64.174558080808083</v>
      </c>
      <c r="Q190" s="14">
        <f>+SUM('1:30'!Q190)</f>
        <v>12.5</v>
      </c>
      <c r="R190" s="19">
        <f t="shared" si="18"/>
        <v>0</v>
      </c>
      <c r="S190" s="146">
        <f t="shared" si="19"/>
        <v>-64.174558080808083</v>
      </c>
      <c r="T190" s="20">
        <v>5</v>
      </c>
      <c r="U190" s="20"/>
      <c r="V190" s="143">
        <f t="array" ref="V190">IF(ISERROR(L190/K190),"",L190/K190)</f>
        <v>0.92833333333333345</v>
      </c>
      <c r="W190" s="14">
        <f>+SUM('1:30'!W190)</f>
        <v>0</v>
      </c>
      <c r="X190" s="14">
        <f>+SUM('1:30'!X190)</f>
        <v>0</v>
      </c>
      <c r="Y190" s="14">
        <f>+SUM('1:30'!Y190)</f>
        <v>0</v>
      </c>
      <c r="Z190" s="14">
        <f>+SUM('1:30'!Z190)</f>
        <v>0</v>
      </c>
      <c r="AA190" s="14">
        <f>+SUM('1:30'!AA190)</f>
        <v>0</v>
      </c>
      <c r="AB190" s="14">
        <f>+SUM('1:30'!AB190)</f>
        <v>0</v>
      </c>
      <c r="AC190" s="14">
        <f>+SUM('1:30'!AC190)</f>
        <v>0</v>
      </c>
    </row>
    <row r="191" spans="1:29" ht="21.95" customHeight="1">
      <c r="A191" s="142">
        <v>300438</v>
      </c>
      <c r="B191" s="135" t="s">
        <v>87</v>
      </c>
      <c r="C191" s="248" t="s">
        <v>312</v>
      </c>
      <c r="D191" s="248" t="s">
        <v>89</v>
      </c>
      <c r="E191" s="148" t="s">
        <v>35</v>
      </c>
      <c r="F191" s="13"/>
      <c r="G191" s="14">
        <f>+SUM('1:30'!G191)</f>
        <v>9.67</v>
      </c>
      <c r="H191" s="14">
        <f>+SUM('1:30'!H191)</f>
        <v>0.66666666666666663</v>
      </c>
      <c r="I191" s="14">
        <f>+SUM('1:30'!I191)</f>
        <v>9.3333333333333339</v>
      </c>
      <c r="J191" s="14">
        <f>+SUM('1:30'!J191)</f>
        <v>100</v>
      </c>
      <c r="K191" s="146">
        <f>G191*M191</f>
        <v>3254.922</v>
      </c>
      <c r="L191" s="146">
        <f>I191*M191</f>
        <v>3141.6000000000004</v>
      </c>
      <c r="M191" s="146">
        <v>336.6</v>
      </c>
      <c r="N191" s="146">
        <f>+M191*1000/(45*10*18*60)*T191</f>
        <v>1.3851851851851851</v>
      </c>
      <c r="O191" s="14">
        <f>+SUM('1:30'!O191)</f>
        <v>0.5</v>
      </c>
      <c r="P191" s="146">
        <f>N191*I191+O191*U191</f>
        <v>12.928395061728395</v>
      </c>
      <c r="Q191" s="14">
        <f>+SUM('1:30'!Q191)</f>
        <v>11.5</v>
      </c>
      <c r="R191" s="19">
        <f>Q191*U191</f>
        <v>0</v>
      </c>
      <c r="S191" s="146">
        <f>R191-P191</f>
        <v>-12.928395061728395</v>
      </c>
      <c r="T191" s="20">
        <v>2</v>
      </c>
      <c r="U191" s="20"/>
      <c r="V191" s="143"/>
      <c r="W191" s="14">
        <f>+SUM('1:30'!W191)</f>
        <v>0</v>
      </c>
      <c r="X191" s="14">
        <f>+SUM('1:30'!X191)</f>
        <v>0</v>
      </c>
      <c r="Y191" s="14">
        <f>+SUM('1:30'!Y191)</f>
        <v>0</v>
      </c>
      <c r="Z191" s="14">
        <f>+SUM('1:30'!Z191)</f>
        <v>0</v>
      </c>
      <c r="AA191" s="14">
        <f>+SUM('1:30'!AA191)</f>
        <v>0</v>
      </c>
      <c r="AB191" s="14">
        <f>+SUM('1:30'!AB191)</f>
        <v>0</v>
      </c>
      <c r="AC191" s="14">
        <f>+SUM('1:30'!AC191)</f>
        <v>0</v>
      </c>
    </row>
    <row r="192" spans="1:29" ht="21.95" customHeight="1">
      <c r="A192" s="142">
        <v>300439</v>
      </c>
      <c r="B192" s="135" t="s">
        <v>87</v>
      </c>
      <c r="C192" s="248" t="s">
        <v>312</v>
      </c>
      <c r="D192" s="248" t="s">
        <v>89</v>
      </c>
      <c r="E192" s="148" t="s">
        <v>66</v>
      </c>
      <c r="F192" s="13"/>
      <c r="G192" s="14">
        <f>+SUM('1:30'!G192)</f>
        <v>0</v>
      </c>
      <c r="H192" s="14">
        <f>+SUM('1:30'!H192)</f>
        <v>0</v>
      </c>
      <c r="I192" s="14">
        <f>+SUM('1:30'!I192)</f>
        <v>0</v>
      </c>
      <c r="J192" s="14">
        <f>+SUM('1:30'!J192)</f>
        <v>0</v>
      </c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">
        <f>+SUM('1:30'!O192)</f>
        <v>0</v>
      </c>
      <c r="P192" s="146">
        <f>N192*I192+O192*U192</f>
        <v>0</v>
      </c>
      <c r="Q192" s="14">
        <f>+SUM('1:30'!Q192)</f>
        <v>0</v>
      </c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14">
        <f>+SUM('1:30'!W192)</f>
        <v>0</v>
      </c>
      <c r="X192" s="14">
        <f>+SUM('1:30'!X192)</f>
        <v>0</v>
      </c>
      <c r="Y192" s="14">
        <f>+SUM('1:30'!Y192)</f>
        <v>0</v>
      </c>
      <c r="Z192" s="14">
        <f>+SUM('1:30'!Z192)</f>
        <v>0</v>
      </c>
      <c r="AA192" s="14">
        <f>+SUM('1:30'!AA192)</f>
        <v>0</v>
      </c>
      <c r="AB192" s="14">
        <f>+SUM('1:30'!AB192)</f>
        <v>0</v>
      </c>
      <c r="AC192" s="14">
        <f>+SUM('1:30'!AC192)</f>
        <v>0</v>
      </c>
    </row>
    <row r="193" spans="1:29" ht="21.95" customHeight="1">
      <c r="A193" s="142">
        <v>300440</v>
      </c>
      <c r="B193" s="135" t="s">
        <v>87</v>
      </c>
      <c r="C193" s="248" t="s">
        <v>312</v>
      </c>
      <c r="D193" s="248" t="s">
        <v>89</v>
      </c>
      <c r="E193" s="148" t="s">
        <v>41</v>
      </c>
      <c r="F193" s="13"/>
      <c r="G193" s="14">
        <f>+SUM('1:30'!G193)</f>
        <v>3.33</v>
      </c>
      <c r="H193" s="14">
        <f>+SUM('1:30'!H193)</f>
        <v>0.33333333333333331</v>
      </c>
      <c r="I193" s="14">
        <f>+SUM('1:30'!I193)</f>
        <v>3.3333333333333335</v>
      </c>
      <c r="J193" s="14">
        <f>+SUM('1:30'!J193)</f>
        <v>0</v>
      </c>
      <c r="K193" s="146">
        <f>G193*M193</f>
        <v>1120.8780000000002</v>
      </c>
      <c r="L193" s="146">
        <f>I193*M193</f>
        <v>1122.0000000000002</v>
      </c>
      <c r="M193" s="146">
        <v>336.6</v>
      </c>
      <c r="N193" s="146">
        <f>+M193*1000/(45*10*18*60)*T193</f>
        <v>1.3851851851851851</v>
      </c>
      <c r="O193" s="14">
        <f>+SUM('1:30'!O193)</f>
        <v>0</v>
      </c>
      <c r="P193" s="146">
        <f>N193*I193+O193*U193</f>
        <v>4.617283950617284</v>
      </c>
      <c r="Q193" s="14">
        <f>+SUM('1:30'!Q193)</f>
        <v>4</v>
      </c>
      <c r="R193" s="19">
        <f>Q193*U193</f>
        <v>0</v>
      </c>
      <c r="S193" s="146">
        <f>R193-P193</f>
        <v>-4.617283950617284</v>
      </c>
      <c r="T193" s="20">
        <v>2</v>
      </c>
      <c r="U193" s="20"/>
      <c r="V193" s="143"/>
      <c r="W193" s="14">
        <f>+SUM('1:30'!W193)</f>
        <v>0</v>
      </c>
      <c r="X193" s="14">
        <f>+SUM('1:30'!X193)</f>
        <v>0</v>
      </c>
      <c r="Y193" s="14">
        <f>+SUM('1:30'!Y193)</f>
        <v>0</v>
      </c>
      <c r="Z193" s="14">
        <f>+SUM('1:30'!Z193)</f>
        <v>0</v>
      </c>
      <c r="AA193" s="14">
        <f>+SUM('1:30'!AA193)</f>
        <v>0</v>
      </c>
      <c r="AB193" s="14">
        <f>+SUM('1:30'!AB193)</f>
        <v>0</v>
      </c>
      <c r="AC193" s="14">
        <f>+SUM('1:30'!AC193)</f>
        <v>0</v>
      </c>
    </row>
    <row r="194" spans="1:29" ht="21.95" customHeight="1">
      <c r="A194" s="142">
        <v>300441</v>
      </c>
      <c r="B194" s="135" t="s">
        <v>87</v>
      </c>
      <c r="C194" s="248" t="s">
        <v>312</v>
      </c>
      <c r="D194" s="248" t="s">
        <v>89</v>
      </c>
      <c r="E194" s="148" t="s">
        <v>37</v>
      </c>
      <c r="F194" s="13"/>
      <c r="G194" s="14">
        <f>+SUM('1:30'!G194)</f>
        <v>22</v>
      </c>
      <c r="H194" s="14">
        <f>+SUM('1:30'!H194)</f>
        <v>0.66666666666666663</v>
      </c>
      <c r="I194" s="14">
        <f>+SUM('1:30'!I194)</f>
        <v>20.366666666666667</v>
      </c>
      <c r="J194" s="14">
        <f>+SUM('1:30'!J194)</f>
        <v>90</v>
      </c>
      <c r="K194" s="146">
        <f>G194*M194</f>
        <v>7405.2000000000007</v>
      </c>
      <c r="L194" s="146">
        <f>I194*M194</f>
        <v>6855.420000000001</v>
      </c>
      <c r="M194" s="146">
        <v>336.6</v>
      </c>
      <c r="N194" s="146">
        <f>+M194*1000/(45*10*18*60)*T194</f>
        <v>1.3851851851851851</v>
      </c>
      <c r="O194" s="14">
        <f>+SUM('1:30'!O194)</f>
        <v>0.5</v>
      </c>
      <c r="P194" s="146">
        <f>N194*I194+O194*U194</f>
        <v>28.211604938271602</v>
      </c>
      <c r="Q194" s="14">
        <f>+SUM('1:30'!Q194)</f>
        <v>26</v>
      </c>
      <c r="R194" s="19">
        <f>Q194*U194</f>
        <v>0</v>
      </c>
      <c r="S194" s="146">
        <f>R194-P194</f>
        <v>-28.211604938271602</v>
      </c>
      <c r="T194" s="20">
        <v>2</v>
      </c>
      <c r="U194" s="20"/>
      <c r="V194" s="143"/>
      <c r="W194" s="14">
        <f>+SUM('1:30'!W194)</f>
        <v>0</v>
      </c>
      <c r="X194" s="14">
        <f>+SUM('1:30'!X194)</f>
        <v>0</v>
      </c>
      <c r="Y194" s="14">
        <f>+SUM('1:30'!Y194)</f>
        <v>0</v>
      </c>
      <c r="Z194" s="14">
        <f>+SUM('1:30'!Z194)</f>
        <v>0</v>
      </c>
      <c r="AA194" s="14">
        <f>+SUM('1:30'!AA194)</f>
        <v>0</v>
      </c>
      <c r="AB194" s="14">
        <f>+SUM('1:30'!AB194)</f>
        <v>0</v>
      </c>
      <c r="AC194" s="14">
        <f>+SUM('1:30'!AC194)</f>
        <v>0</v>
      </c>
    </row>
    <row r="195" spans="1:29" s="2" customFormat="1" ht="21.95" customHeight="1">
      <c r="A195" s="139">
        <v>300406</v>
      </c>
      <c r="B195" s="135" t="s">
        <v>171</v>
      </c>
      <c r="C195" s="259" t="s">
        <v>172</v>
      </c>
      <c r="D195" s="260"/>
      <c r="E195" s="150" t="s">
        <v>149</v>
      </c>
      <c r="F195" s="27"/>
      <c r="G195" s="14">
        <f>+SUM('1:30'!G195)</f>
        <v>0</v>
      </c>
      <c r="H195" s="14">
        <f>+SUM('1:30'!H195)</f>
        <v>0</v>
      </c>
      <c r="I195" s="14">
        <f>+SUM('1:30'!I195)</f>
        <v>0</v>
      </c>
      <c r="J195" s="14">
        <f>+SUM('1:30'!J195)</f>
        <v>0</v>
      </c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">
        <f>+SUM('1:30'!O195)</f>
        <v>0</v>
      </c>
      <c r="P195" s="146">
        <f t="shared" ref="P195:P198" si="25">N195*I195+O195*U195</f>
        <v>0</v>
      </c>
      <c r="Q195" s="14">
        <f>+SUM('1:30'!Q195)</f>
        <v>0</v>
      </c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14">
        <f>+SUM('1:30'!W195)</f>
        <v>0</v>
      </c>
      <c r="X195" s="14">
        <f>+SUM('1:30'!X195)</f>
        <v>0</v>
      </c>
      <c r="Y195" s="14">
        <f>+SUM('1:30'!Y195)</f>
        <v>0</v>
      </c>
      <c r="Z195" s="14">
        <f>+SUM('1:30'!Z195)</f>
        <v>0</v>
      </c>
      <c r="AA195" s="14">
        <f>+SUM('1:30'!AA195)</f>
        <v>0</v>
      </c>
      <c r="AB195" s="14">
        <f>+SUM('1:30'!AB195)</f>
        <v>0</v>
      </c>
      <c r="AC195" s="14">
        <f>+SUM('1:30'!AC195)</f>
        <v>0</v>
      </c>
    </row>
    <row r="196" spans="1:29" s="2" customFormat="1" ht="21.95" customHeight="1">
      <c r="A196" s="139">
        <v>300407</v>
      </c>
      <c r="B196" s="135" t="s">
        <v>171</v>
      </c>
      <c r="C196" s="259" t="s">
        <v>172</v>
      </c>
      <c r="D196" s="260"/>
      <c r="E196" s="150" t="s">
        <v>173</v>
      </c>
      <c r="F196" s="27"/>
      <c r="G196" s="14">
        <f>+SUM('1:30'!G196)</f>
        <v>0</v>
      </c>
      <c r="H196" s="14">
        <f>+SUM('1:30'!H196)</f>
        <v>0</v>
      </c>
      <c r="I196" s="14">
        <f>+SUM('1:30'!I196)</f>
        <v>0</v>
      </c>
      <c r="J196" s="14">
        <f>+SUM('1:30'!J196)</f>
        <v>0</v>
      </c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">
        <f>+SUM('1:30'!O196)</f>
        <v>0</v>
      </c>
      <c r="P196" s="146">
        <f t="shared" si="25"/>
        <v>0</v>
      </c>
      <c r="Q196" s="14">
        <f>+SUM('1:30'!Q196)</f>
        <v>0</v>
      </c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14">
        <f>+SUM('1:30'!W196)</f>
        <v>0</v>
      </c>
      <c r="X196" s="14">
        <f>+SUM('1:30'!X196)</f>
        <v>0</v>
      </c>
      <c r="Y196" s="14">
        <f>+SUM('1:30'!Y196)</f>
        <v>0</v>
      </c>
      <c r="Z196" s="14">
        <f>+SUM('1:30'!Z196)</f>
        <v>0</v>
      </c>
      <c r="AA196" s="14">
        <f>+SUM('1:30'!AA196)</f>
        <v>0</v>
      </c>
      <c r="AB196" s="14">
        <f>+SUM('1:30'!AB196)</f>
        <v>0</v>
      </c>
      <c r="AC196" s="14">
        <f>+SUM('1:30'!AC196)</f>
        <v>0</v>
      </c>
    </row>
    <row r="197" spans="1:29" s="2" customFormat="1" ht="21.95" customHeight="1">
      <c r="A197" s="139">
        <v>300408</v>
      </c>
      <c r="B197" s="135" t="s">
        <v>171</v>
      </c>
      <c r="C197" s="259" t="s">
        <v>172</v>
      </c>
      <c r="D197" s="260"/>
      <c r="E197" s="150" t="s">
        <v>41</v>
      </c>
      <c r="F197" s="27"/>
      <c r="G197" s="14">
        <f>+SUM('1:30'!G197)</f>
        <v>0</v>
      </c>
      <c r="H197" s="14">
        <f>+SUM('1:30'!H197)</f>
        <v>0</v>
      </c>
      <c r="I197" s="14">
        <f>+SUM('1:30'!I197)</f>
        <v>0</v>
      </c>
      <c r="J197" s="14">
        <f>+SUM('1:30'!J197)</f>
        <v>0</v>
      </c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">
        <f>+SUM('1:30'!O197)</f>
        <v>0</v>
      </c>
      <c r="P197" s="146">
        <f t="shared" si="25"/>
        <v>0</v>
      </c>
      <c r="Q197" s="14">
        <f>+SUM('1:30'!Q197)</f>
        <v>0</v>
      </c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14">
        <f>+SUM('1:30'!W197)</f>
        <v>0</v>
      </c>
      <c r="X197" s="14">
        <f>+SUM('1:30'!X197)</f>
        <v>0</v>
      </c>
      <c r="Y197" s="14">
        <f>+SUM('1:30'!Y197)</f>
        <v>0</v>
      </c>
      <c r="Z197" s="14">
        <f>+SUM('1:30'!Z197)</f>
        <v>0</v>
      </c>
      <c r="AA197" s="14">
        <f>+SUM('1:30'!AA197)</f>
        <v>0</v>
      </c>
      <c r="AB197" s="14">
        <f>+SUM('1:30'!AB197)</f>
        <v>0</v>
      </c>
      <c r="AC197" s="14">
        <f>+SUM('1:30'!AC197)</f>
        <v>0</v>
      </c>
    </row>
    <row r="198" spans="1:29" s="2" customFormat="1" ht="21.95" customHeight="1">
      <c r="A198" s="139">
        <v>300409</v>
      </c>
      <c r="B198" s="135" t="s">
        <v>171</v>
      </c>
      <c r="C198" s="259" t="s">
        <v>172</v>
      </c>
      <c r="D198" s="260"/>
      <c r="E198" s="150" t="s">
        <v>174</v>
      </c>
      <c r="F198" s="27"/>
      <c r="G198" s="14">
        <f>+SUM('1:30'!G198)</f>
        <v>0</v>
      </c>
      <c r="H198" s="14">
        <f>+SUM('1:30'!H198)</f>
        <v>0</v>
      </c>
      <c r="I198" s="14">
        <f>+SUM('1:30'!I198)</f>
        <v>0</v>
      </c>
      <c r="J198" s="14">
        <f>+SUM('1:30'!J198)</f>
        <v>0</v>
      </c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">
        <f>+SUM('1:30'!O198)</f>
        <v>0</v>
      </c>
      <c r="P198" s="146">
        <f t="shared" si="25"/>
        <v>0</v>
      </c>
      <c r="Q198" s="14">
        <f>+SUM('1:30'!Q198)</f>
        <v>0</v>
      </c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14">
        <f>+SUM('1:30'!W198)</f>
        <v>0</v>
      </c>
      <c r="X198" s="14">
        <f>+SUM('1:30'!X198)</f>
        <v>0</v>
      </c>
      <c r="Y198" s="14">
        <f>+SUM('1:30'!Y198)</f>
        <v>0</v>
      </c>
      <c r="Z198" s="14">
        <f>+SUM('1:30'!Z198)</f>
        <v>0</v>
      </c>
      <c r="AA198" s="14">
        <f>+SUM('1:30'!AA198)</f>
        <v>0</v>
      </c>
      <c r="AB198" s="14">
        <f>+SUM('1:30'!AB198)</f>
        <v>0</v>
      </c>
      <c r="AC198" s="14">
        <f>+SUM('1:30'!AC198)</f>
        <v>0</v>
      </c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46">
        <f t="array" ref="G199">SUM(IF(ISERROR(G6:G198),“”,G6:G198))</f>
        <v>568.90000000000009</v>
      </c>
      <c r="H199" s="146">
        <f t="array" ref="H199">SUM(IF(ISERROR(H6:H198),“”,H6:H198))</f>
        <v>14.045</v>
      </c>
      <c r="I199" s="146">
        <f t="array" ref="I199">SUM(IF(ISERROR(I6:I198),“”,I6:I198))</f>
        <v>543.49142857142874</v>
      </c>
      <c r="J199" s="146">
        <f t="array" ref="J199">SUM(IF(ISERROR(J6:J198),“”,J6:J198))</f>
        <v>6700</v>
      </c>
      <c r="K199" s="14">
        <f>+SUM('1:30'!K199)</f>
        <v>253971.1851</v>
      </c>
      <c r="L199" s="14">
        <f>+SUM('1:30'!L199)</f>
        <v>245426.01716666666</v>
      </c>
      <c r="M199" s="146"/>
      <c r="N199" s="146"/>
      <c r="O199" s="146">
        <f>SUM(O6:O190)</f>
        <v>16</v>
      </c>
      <c r="P199" s="14">
        <f>+SUM('1:30'!P199)</f>
        <v>3740.1144640212901</v>
      </c>
      <c r="Q199" s="146"/>
      <c r="R199" s="14">
        <f>+SUM('1:30'!R199)</f>
        <v>4770.5</v>
      </c>
      <c r="S199" s="146">
        <f t="array" ref="S199">SUM(IF(ISERROR(S6:S198),“”,S6:S198))</f>
        <v>-2185.8444042219076</v>
      </c>
      <c r="T199" s="146"/>
      <c r="U199" s="146"/>
      <c r="V199" s="143">
        <f>IF(ISERROR(L199/K199),"",L199/K199)</f>
        <v>0.96635378958455964</v>
      </c>
      <c r="W199" s="146">
        <f t="array" ref="W199">SUM(IF(ISERROR(W6:W198),“”,W6:W198))</f>
        <v>1.6666666666666665</v>
      </c>
      <c r="X199" s="146">
        <f t="array" ref="X199">SUM(IF(ISERROR(X6:X198),“”,X6:X198))</f>
        <v>10.833333333333334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41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0.78400890137748458</v>
      </c>
      <c r="P200" s="274"/>
      <c r="Q200" s="274"/>
      <c r="R200" s="275"/>
      <c r="S200" s="44"/>
      <c r="T200" s="45"/>
      <c r="U200" s="45"/>
      <c r="V200" s="45"/>
      <c r="W200" s="276">
        <f>SUM(W199:AC199)</f>
        <v>53.5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360">
        <f>+SUM('1:30'!E202)</f>
        <v>1276.5</v>
      </c>
      <c r="F202" s="360"/>
      <c r="G202" s="360">
        <f>+SUM('1:30'!G202)</f>
        <v>1276.5</v>
      </c>
      <c r="H202" s="360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360">
        <f>+SUM('1:30'!E203)</f>
        <v>44777.7</v>
      </c>
      <c r="F203" s="360"/>
      <c r="G203" s="360">
        <f>+SUM('1:30'!G203)</f>
        <v>47571.199999999997</v>
      </c>
      <c r="H203" s="360"/>
      <c r="I203" s="279">
        <f>G203-E203</f>
        <v>2793.5</v>
      </c>
      <c r="J203" s="279"/>
      <c r="K203" s="281">
        <f t="array" ref="K203">IF(ISERROR(I203/E203),"",I203/E203)</f>
        <v>6.2385964442121862E-2</v>
      </c>
      <c r="L203" s="281"/>
      <c r="M203" s="266"/>
      <c r="N203" s="267"/>
      <c r="O203" s="282"/>
      <c r="P203" s="282"/>
      <c r="Q203" s="283" t="s">
        <v>193</v>
      </c>
      <c r="R203" s="283"/>
      <c r="S203" s="360">
        <f>+SUM('1:30'!S203)</f>
        <v>229</v>
      </c>
      <c r="T203" s="360"/>
      <c r="U203" s="360">
        <f>+SUM('1:30'!U203)</f>
        <v>254</v>
      </c>
      <c r="V203" s="360"/>
      <c r="W203" s="283">
        <f t="shared" ref="W203:W209" si="28">S203*11</f>
        <v>2519</v>
      </c>
      <c r="X203" s="283"/>
      <c r="Y203" s="283">
        <f t="shared" ref="Y203:Y209" si="29">U203*11</f>
        <v>2794</v>
      </c>
      <c r="Z203" s="283"/>
      <c r="AA203" s="283">
        <f t="shared" ref="AA203:AA210" si="30">Y203-W203</f>
        <v>275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360">
        <f>+SUM('1:30'!E204)</f>
        <v>12857</v>
      </c>
      <c r="F204" s="360"/>
      <c r="G204" s="360">
        <f>+SUM('1:30'!G204)</f>
        <v>12992</v>
      </c>
      <c r="H204" s="360"/>
      <c r="I204" s="279">
        <f>G204-E204</f>
        <v>135</v>
      </c>
      <c r="J204" s="279"/>
      <c r="K204" s="281">
        <f t="array" ref="K204">IF(ISERROR(I204/E204),"",I204/E204)</f>
        <v>1.0500116667962977E-2</v>
      </c>
      <c r="L204" s="281"/>
      <c r="M204" s="266"/>
      <c r="N204" s="267"/>
      <c r="O204" s="282"/>
      <c r="P204" s="282"/>
      <c r="Q204" s="283" t="s">
        <v>195</v>
      </c>
      <c r="R204" s="283"/>
      <c r="S204" s="360">
        <f>+SUM('1:30'!S204)</f>
        <v>47</v>
      </c>
      <c r="T204" s="360"/>
      <c r="U204" s="360">
        <f>+SUM('1:30'!U204)</f>
        <v>86</v>
      </c>
      <c r="V204" s="360"/>
      <c r="W204" s="283">
        <f t="shared" si="28"/>
        <v>517</v>
      </c>
      <c r="X204" s="283"/>
      <c r="Y204" s="283">
        <f t="shared" si="29"/>
        <v>946</v>
      </c>
      <c r="Z204" s="283"/>
      <c r="AA204" s="283">
        <f t="shared" si="30"/>
        <v>429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60">
        <f>+SUM('1:30'!S205)</f>
        <v>10.5</v>
      </c>
      <c r="T205" s="360"/>
      <c r="U205" s="360">
        <f>+SUM('1:30'!U205)</f>
        <v>9</v>
      </c>
      <c r="V205" s="360"/>
      <c r="W205" s="283">
        <f t="shared" si="28"/>
        <v>115.5</v>
      </c>
      <c r="X205" s="283"/>
      <c r="Y205" s="283">
        <f t="shared" si="29"/>
        <v>99</v>
      </c>
      <c r="Z205" s="283"/>
      <c r="AA205" s="283">
        <f t="shared" si="30"/>
        <v>-16.5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44">
        <v>5</v>
      </c>
      <c r="G206" s="360">
        <f>+SUM('1:30'!G206)</f>
        <v>2097885</v>
      </c>
      <c r="H206" s="360"/>
      <c r="I206" s="360">
        <f>+SUM('1:30'!I206)</f>
        <v>2096659</v>
      </c>
      <c r="J206" s="360"/>
      <c r="K206" s="289">
        <f>G206-I206</f>
        <v>1226</v>
      </c>
      <c r="L206" s="289"/>
      <c r="M206" s="290">
        <f t="array" ref="M206">IF(ISERROR(K206/L199),"",K206/(L199/1000))</f>
        <v>4.9953954114303789</v>
      </c>
      <c r="N206" s="290"/>
      <c r="O206" s="282"/>
      <c r="P206" s="282"/>
      <c r="Q206" s="283" t="s">
        <v>205</v>
      </c>
      <c r="R206" s="283"/>
      <c r="S206" s="360">
        <f>+SUM('1:30'!S206)</f>
        <v>10.5</v>
      </c>
      <c r="T206" s="360"/>
      <c r="U206" s="360">
        <f>+SUM('1:30'!U206)</f>
        <v>8</v>
      </c>
      <c r="V206" s="360"/>
      <c r="W206" s="283">
        <f t="shared" si="28"/>
        <v>115.5</v>
      </c>
      <c r="X206" s="283"/>
      <c r="Y206" s="283">
        <f t="shared" si="29"/>
        <v>88</v>
      </c>
      <c r="Z206" s="283"/>
      <c r="AA206" s="283">
        <f t="shared" si="30"/>
        <v>-27.5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44">
        <v>105</v>
      </c>
      <c r="G207" s="360">
        <f>+SUM('1:30'!G207)</f>
        <v>85756152</v>
      </c>
      <c r="H207" s="360"/>
      <c r="I207" s="360">
        <f>+SUM('1:30'!I207)</f>
        <v>85737516</v>
      </c>
      <c r="J207" s="360"/>
      <c r="K207" s="289">
        <f>G207-I207</f>
        <v>18636</v>
      </c>
      <c r="L207" s="289"/>
      <c r="M207" s="290">
        <f t="array" ref="M207">IF(ISERROR(K207/L199),"",K207/(L199/1000))</f>
        <v>75.933269891856881</v>
      </c>
      <c r="N207" s="290"/>
      <c r="O207" s="282"/>
      <c r="P207" s="282"/>
      <c r="Q207" s="283" t="s">
        <v>208</v>
      </c>
      <c r="R207" s="283"/>
      <c r="S207" s="360">
        <f>+SUM('1:30'!S207)</f>
        <v>21</v>
      </c>
      <c r="T207" s="360"/>
      <c r="U207" s="360">
        <f>+SUM('1:30'!U207)</f>
        <v>9</v>
      </c>
      <c r="V207" s="360"/>
      <c r="W207" s="283">
        <f t="shared" si="28"/>
        <v>231</v>
      </c>
      <c r="X207" s="283"/>
      <c r="Y207" s="283">
        <f t="shared" si="29"/>
        <v>99</v>
      </c>
      <c r="Z207" s="283"/>
      <c r="AA207" s="283">
        <f t="shared" si="30"/>
        <v>-132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44">
        <v>0.55000000000000004</v>
      </c>
      <c r="G208" s="360">
        <f>+SUM('1:30'!G208)</f>
        <v>382448</v>
      </c>
      <c r="H208" s="360"/>
      <c r="I208" s="360">
        <f>+SUM('1:30'!I208)</f>
        <v>382256</v>
      </c>
      <c r="J208" s="360"/>
      <c r="K208" s="289">
        <f>G208-I208</f>
        <v>192</v>
      </c>
      <c r="L208" s="289"/>
      <c r="M208" s="293">
        <f t="array" ref="M208">IF(ISERROR(K208/L199),"",K208/(L199/1000))</f>
        <v>0.7823131476302061</v>
      </c>
      <c r="N208" s="293"/>
      <c r="O208" s="282"/>
      <c r="P208" s="282"/>
      <c r="Q208" s="283" t="s">
        <v>211</v>
      </c>
      <c r="R208" s="283"/>
      <c r="S208" s="360">
        <f>+SUM('1:30'!S208)</f>
        <v>14</v>
      </c>
      <c r="T208" s="360"/>
      <c r="U208" s="360">
        <f>+SUM('1:30'!U208)</f>
        <v>13</v>
      </c>
      <c r="V208" s="360"/>
      <c r="W208" s="283">
        <f t="shared" si="28"/>
        <v>154</v>
      </c>
      <c r="X208" s="283"/>
      <c r="Y208" s="283">
        <f t="shared" si="29"/>
        <v>143</v>
      </c>
      <c r="Z208" s="283"/>
      <c r="AA208" s="283">
        <f t="shared" si="30"/>
        <v>-11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360">
        <f>+SUM('1:30'!K209)</f>
        <v>43.890000000000008</v>
      </c>
      <c r="L209" s="360"/>
      <c r="M209" s="294">
        <f t="array" ref="M209">IF(ISERROR((K209+K210)/L199),"",((K209+K210)*1000)/(L199/1000))</f>
        <v>178.83189609109246</v>
      </c>
      <c r="N209" s="295"/>
      <c r="O209" s="282"/>
      <c r="P209" s="282"/>
      <c r="Q209" s="283" t="s">
        <v>214</v>
      </c>
      <c r="R209" s="283"/>
      <c r="S209" s="360">
        <f>+SUM('1:30'!S209)</f>
        <v>42</v>
      </c>
      <c r="T209" s="360"/>
      <c r="U209" s="360">
        <f>+SUM('1:30'!U209)</f>
        <v>105</v>
      </c>
      <c r="V209" s="360"/>
      <c r="W209" s="283">
        <f t="shared" si="28"/>
        <v>462</v>
      </c>
      <c r="X209" s="283"/>
      <c r="Y209" s="283">
        <f t="shared" si="29"/>
        <v>1155</v>
      </c>
      <c r="Z209" s="283"/>
      <c r="AA209" s="283">
        <f t="shared" si="30"/>
        <v>693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360">
        <f>+SUM('1:30'!K210)</f>
        <v>0</v>
      </c>
      <c r="L210" s="360"/>
      <c r="M210" s="296"/>
      <c r="N210" s="297"/>
      <c r="O210" s="282"/>
      <c r="P210" s="282"/>
      <c r="Q210" s="283" t="s">
        <v>216</v>
      </c>
      <c r="R210" s="283"/>
      <c r="S210" s="284">
        <f>SUM(S203:T209)</f>
        <v>374</v>
      </c>
      <c r="T210" s="284"/>
      <c r="U210" s="284">
        <f>SUM(U203:V209)</f>
        <v>484</v>
      </c>
      <c r="V210" s="284"/>
      <c r="W210" s="360">
        <f>+SUM('1:30'!W210)</f>
        <v>3952</v>
      </c>
      <c r="X210" s="360"/>
      <c r="Y210" s="360">
        <f>+SUM('1:30'!Y210)</f>
        <v>5108</v>
      </c>
      <c r="Z210" s="360"/>
      <c r="AA210" s="283">
        <f t="shared" si="30"/>
        <v>1156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4.3745727956254266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48.047380024797704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35" t="s">
        <v>25</v>
      </c>
      <c r="S214" s="249"/>
      <c r="T214" s="251"/>
      <c r="U214" s="251"/>
      <c r="V214" s="25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customHeight="1">
      <c r="A215" s="142">
        <v>300320</v>
      </c>
      <c r="B215" s="135" t="s">
        <v>33</v>
      </c>
      <c r="C215" s="261" t="s">
        <v>34</v>
      </c>
      <c r="D215" s="261"/>
      <c r="E215" s="148" t="s">
        <v>35</v>
      </c>
      <c r="F215" s="13"/>
      <c r="G215" s="14">
        <f>+SUM('1:30'!G215)</f>
        <v>0</v>
      </c>
      <c r="H215" s="14">
        <f>+SUM('1:30'!H215)</f>
        <v>0</v>
      </c>
      <c r="I215" s="14">
        <f>+SUM('1:30'!I215)</f>
        <v>0</v>
      </c>
      <c r="J215" s="14">
        <f>+SUM('1:30'!J215)</f>
        <v>0</v>
      </c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">
        <f>+SUM('1:30'!O215)</f>
        <v>0</v>
      </c>
      <c r="P215" s="146">
        <f t="shared" ref="P215:P285" si="34">N215*I215+O215*U215</f>
        <v>0</v>
      </c>
      <c r="Q215" s="14">
        <f>+SUM('1:30'!Q215)</f>
        <v>0</v>
      </c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14">
        <f>+SUM('1:30'!U215)</f>
        <v>0</v>
      </c>
      <c r="V215" s="143" t="str">
        <f t="array" ref="V215">IF(ISERROR(L215/K215),"",L215/K215)</f>
        <v/>
      </c>
      <c r="W215" s="14">
        <f>+SUM('1:30'!W215)</f>
        <v>0</v>
      </c>
      <c r="X215" s="14">
        <f>+SUM('1:30'!X215)</f>
        <v>0</v>
      </c>
      <c r="Y215" s="14">
        <f>+SUM('1:30'!Y215)</f>
        <v>0</v>
      </c>
      <c r="Z215" s="14">
        <f>+SUM('1:30'!Z215)</f>
        <v>0</v>
      </c>
      <c r="AA215" s="14">
        <f>+SUM('1:30'!AA215)</f>
        <v>0</v>
      </c>
      <c r="AB215" s="14">
        <f>+SUM('1:30'!AB215)</f>
        <v>0</v>
      </c>
      <c r="AC215" s="14">
        <f>+SUM('1:30'!AC215)</f>
        <v>0</v>
      </c>
    </row>
    <row r="216" spans="1:29" s="2" customFormat="1" ht="21.95" customHeight="1">
      <c r="A216" s="142">
        <v>300318</v>
      </c>
      <c r="B216" s="145" t="s">
        <v>33</v>
      </c>
      <c r="C216" s="314" t="s">
        <v>34</v>
      </c>
      <c r="D216" s="314"/>
      <c r="E216" s="48" t="s">
        <v>36</v>
      </c>
      <c r="F216" s="147"/>
      <c r="G216" s="14">
        <f>+SUM('1:30'!G216)</f>
        <v>0</v>
      </c>
      <c r="H216" s="14">
        <f>+SUM('1:30'!H216)</f>
        <v>0</v>
      </c>
      <c r="I216" s="14">
        <f>+SUM('1:30'!I216)</f>
        <v>0</v>
      </c>
      <c r="J216" s="14">
        <f>+SUM('1:30'!J216)</f>
        <v>0</v>
      </c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">
        <f>+SUM('1:30'!O216)</f>
        <v>0</v>
      </c>
      <c r="P216" s="146">
        <f t="shared" si="34"/>
        <v>0</v>
      </c>
      <c r="Q216" s="14">
        <f>+SUM('1:30'!Q216)</f>
        <v>0</v>
      </c>
      <c r="R216" s="19">
        <f t="shared" si="35"/>
        <v>0</v>
      </c>
      <c r="S216" s="146">
        <f t="shared" si="36"/>
        <v>0</v>
      </c>
      <c r="T216" s="20">
        <v>4</v>
      </c>
      <c r="U216" s="14">
        <f>+SUM('1:30'!U216)</f>
        <v>0</v>
      </c>
      <c r="V216" s="143" t="str">
        <f t="array" ref="V216">IF(ISERROR(L216/K216),"",L216/K216)</f>
        <v/>
      </c>
      <c r="W216" s="14">
        <f>+SUM('1:30'!W216)</f>
        <v>0</v>
      </c>
      <c r="X216" s="14">
        <f>+SUM('1:30'!X216)</f>
        <v>0</v>
      </c>
      <c r="Y216" s="14">
        <f>+SUM('1:30'!Y216)</f>
        <v>0</v>
      </c>
      <c r="Z216" s="14">
        <f>+SUM('1:30'!Z216)</f>
        <v>0</v>
      </c>
      <c r="AA216" s="14">
        <f>+SUM('1:30'!AA216)</f>
        <v>0</v>
      </c>
      <c r="AB216" s="14">
        <f>+SUM('1:30'!AB216)</f>
        <v>0</v>
      </c>
      <c r="AC216" s="14">
        <f>+SUM('1:30'!AC216)</f>
        <v>0</v>
      </c>
    </row>
    <row r="217" spans="1:29" s="2" customFormat="1" ht="21.95" customHeight="1">
      <c r="A217" s="142">
        <v>300319</v>
      </c>
      <c r="B217" s="145" t="s">
        <v>33</v>
      </c>
      <c r="C217" s="314" t="s">
        <v>34</v>
      </c>
      <c r="D217" s="314"/>
      <c r="E217" s="48" t="s">
        <v>37</v>
      </c>
      <c r="F217" s="147"/>
      <c r="G217" s="14">
        <f>+SUM('1:30'!G217)</f>
        <v>0</v>
      </c>
      <c r="H217" s="14">
        <f>+SUM('1:30'!H217)</f>
        <v>0</v>
      </c>
      <c r="I217" s="14">
        <f>+SUM('1:30'!I217)</f>
        <v>0</v>
      </c>
      <c r="J217" s="14">
        <f>+SUM('1:30'!J217)</f>
        <v>0</v>
      </c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">
        <f>+SUM('1:30'!O217)</f>
        <v>0</v>
      </c>
      <c r="P217" s="146">
        <f t="shared" si="34"/>
        <v>0</v>
      </c>
      <c r="Q217" s="14">
        <f>+SUM('1:30'!Q217)</f>
        <v>0</v>
      </c>
      <c r="R217" s="19">
        <f t="shared" si="35"/>
        <v>0</v>
      </c>
      <c r="S217" s="146">
        <f t="shared" si="36"/>
        <v>0</v>
      </c>
      <c r="T217" s="20">
        <v>4</v>
      </c>
      <c r="U217" s="14">
        <f>+SUM('1:30'!U217)</f>
        <v>0</v>
      </c>
      <c r="V217" s="143" t="str">
        <f t="array" ref="V217">IF(ISERROR(L217/K217),"",L217/K217)</f>
        <v/>
      </c>
      <c r="W217" s="14">
        <f>+SUM('1:30'!W217)</f>
        <v>0</v>
      </c>
      <c r="X217" s="14">
        <f>+SUM('1:30'!X217)</f>
        <v>0</v>
      </c>
      <c r="Y217" s="14">
        <f>+SUM('1:30'!Y217)</f>
        <v>0</v>
      </c>
      <c r="Z217" s="14">
        <f>+SUM('1:30'!Z217)</f>
        <v>0</v>
      </c>
      <c r="AA217" s="14">
        <f>+SUM('1:30'!AA217)</f>
        <v>0</v>
      </c>
      <c r="AB217" s="14">
        <f>+SUM('1:30'!AB217)</f>
        <v>0</v>
      </c>
      <c r="AC217" s="14">
        <f>+SUM('1:30'!AC217)</f>
        <v>0</v>
      </c>
    </row>
    <row r="218" spans="1:29" s="2" customFormat="1" ht="21.95" customHeight="1">
      <c r="A218" s="142">
        <v>300316</v>
      </c>
      <c r="B218" s="145" t="s">
        <v>33</v>
      </c>
      <c r="C218" s="314" t="s">
        <v>34</v>
      </c>
      <c r="D218" s="314"/>
      <c r="E218" s="48" t="s">
        <v>38</v>
      </c>
      <c r="F218" s="147"/>
      <c r="G218" s="14">
        <f>+SUM('1:30'!G218)</f>
        <v>3.67</v>
      </c>
      <c r="H218" s="14">
        <f>+SUM('1:30'!H218)</f>
        <v>0</v>
      </c>
      <c r="I218" s="14">
        <f>+SUM('1:30'!I218)</f>
        <v>3.6666666666666665</v>
      </c>
      <c r="J218" s="14">
        <f>+SUM('1:30'!J218)</f>
        <v>200</v>
      </c>
      <c r="K218" s="146">
        <f t="shared" si="31"/>
        <v>2260.7199999999998</v>
      </c>
      <c r="L218" s="146">
        <f t="shared" si="32"/>
        <v>2258.6666666666665</v>
      </c>
      <c r="M218" s="146">
        <v>616</v>
      </c>
      <c r="N218" s="146">
        <f t="shared" si="33"/>
        <v>3.6277974087161367</v>
      </c>
      <c r="O218" s="14">
        <f>+SUM('1:30'!O218)</f>
        <v>0.5</v>
      </c>
      <c r="P218" s="146">
        <f t="shared" si="34"/>
        <v>15.301923831959167</v>
      </c>
      <c r="Q218" s="14">
        <f>+SUM('1:30'!Q218)</f>
        <v>3.5</v>
      </c>
      <c r="R218" s="19">
        <f t="shared" si="35"/>
        <v>14</v>
      </c>
      <c r="S218" s="146">
        <f t="shared" si="36"/>
        <v>-1.3019238319591668</v>
      </c>
      <c r="T218" s="20">
        <v>4</v>
      </c>
      <c r="U218" s="14">
        <f>+SUM('1:30'!U218)</f>
        <v>4</v>
      </c>
      <c r="V218" s="143">
        <f t="array" ref="V218">IF(ISERROR(L218/K218),"",L218/K218)</f>
        <v>0.99909173478655766</v>
      </c>
      <c r="W218" s="14">
        <f>+SUM('1:30'!W218)</f>
        <v>0</v>
      </c>
      <c r="X218" s="14">
        <f>+SUM('1:30'!X218)</f>
        <v>1.4166666666666667</v>
      </c>
      <c r="Y218" s="14">
        <f>+SUM('1:30'!Y218)</f>
        <v>0</v>
      </c>
      <c r="Z218" s="14">
        <f>+SUM('1:30'!Z218)</f>
        <v>0</v>
      </c>
      <c r="AA218" s="14">
        <f>+SUM('1:30'!AA218)</f>
        <v>0</v>
      </c>
      <c r="AB218" s="14">
        <f>+SUM('1:30'!AB218)</f>
        <v>0</v>
      </c>
      <c r="AC218" s="14">
        <f>+SUM('1:30'!AC218)</f>
        <v>0</v>
      </c>
    </row>
    <row r="219" spans="1:29" s="2" customFormat="1" ht="21.95" customHeight="1">
      <c r="A219" s="142">
        <v>300317</v>
      </c>
      <c r="B219" s="145" t="s">
        <v>33</v>
      </c>
      <c r="C219" s="314" t="s">
        <v>34</v>
      </c>
      <c r="D219" s="314"/>
      <c r="E219" s="48" t="s">
        <v>39</v>
      </c>
      <c r="F219" s="147"/>
      <c r="G219" s="14">
        <f>+SUM('1:30'!G219)</f>
        <v>0</v>
      </c>
      <c r="H219" s="14">
        <f>+SUM('1:30'!H219)</f>
        <v>0</v>
      </c>
      <c r="I219" s="14">
        <f>+SUM('1:30'!I219)</f>
        <v>0</v>
      </c>
      <c r="J219" s="14">
        <f>+SUM('1:30'!J219)</f>
        <v>0</v>
      </c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">
        <f>+SUM('1:30'!O219)</f>
        <v>0</v>
      </c>
      <c r="P219" s="146">
        <f t="shared" si="34"/>
        <v>0</v>
      </c>
      <c r="Q219" s="14">
        <f>+SUM('1:30'!Q219)</f>
        <v>0</v>
      </c>
      <c r="R219" s="19">
        <f t="shared" si="35"/>
        <v>0</v>
      </c>
      <c r="S219" s="146">
        <f t="shared" si="36"/>
        <v>0</v>
      </c>
      <c r="T219" s="20">
        <v>4</v>
      </c>
      <c r="U219" s="14">
        <f>+SUM('1:30'!U219)</f>
        <v>0</v>
      </c>
      <c r="V219" s="143" t="str">
        <f t="array" ref="V219">IF(ISERROR(L219/K219),"",L219/K219)</f>
        <v/>
      </c>
      <c r="W219" s="14">
        <f>+SUM('1:30'!W219)</f>
        <v>0</v>
      </c>
      <c r="X219" s="14">
        <f>+SUM('1:30'!X219)</f>
        <v>0</v>
      </c>
      <c r="Y219" s="14">
        <f>+SUM('1:30'!Y219)</f>
        <v>0</v>
      </c>
      <c r="Z219" s="14">
        <f>+SUM('1:30'!Z219)</f>
        <v>0</v>
      </c>
      <c r="AA219" s="14">
        <f>+SUM('1:30'!AA219)</f>
        <v>0</v>
      </c>
      <c r="AB219" s="14">
        <f>+SUM('1:30'!AB219)</f>
        <v>0</v>
      </c>
      <c r="AC219" s="14">
        <f>+SUM('1:30'!AC219)</f>
        <v>0</v>
      </c>
    </row>
    <row r="220" spans="1:29" s="2" customFormat="1" ht="21.95" customHeight="1">
      <c r="A220" s="142">
        <v>300315</v>
      </c>
      <c r="B220" s="145" t="s">
        <v>33</v>
      </c>
      <c r="C220" s="314" t="s">
        <v>34</v>
      </c>
      <c r="D220" s="314"/>
      <c r="E220" s="48" t="s">
        <v>40</v>
      </c>
      <c r="F220" s="147"/>
      <c r="G220" s="14">
        <f>+SUM('1:30'!G220)</f>
        <v>7.92</v>
      </c>
      <c r="H220" s="14">
        <f>+SUM('1:30'!H220)</f>
        <v>0.91666666666666663</v>
      </c>
      <c r="I220" s="14">
        <f>+SUM('1:30'!I220)</f>
        <v>7.916666666666667</v>
      </c>
      <c r="J220" s="14">
        <f>+SUM('1:30'!J220)</f>
        <v>0</v>
      </c>
      <c r="K220" s="146">
        <f t="shared" si="31"/>
        <v>4878.72</v>
      </c>
      <c r="L220" s="146">
        <f t="shared" si="32"/>
        <v>4876.666666666667</v>
      </c>
      <c r="M220" s="146">
        <v>616</v>
      </c>
      <c r="N220" s="146">
        <f t="shared" si="33"/>
        <v>3.6277974087161367</v>
      </c>
      <c r="O220" s="14">
        <f>+SUM('1:30'!O220)</f>
        <v>0</v>
      </c>
      <c r="P220" s="146">
        <f t="shared" si="34"/>
        <v>28.720062819002749</v>
      </c>
      <c r="Q220" s="14">
        <f>+SUM('1:30'!Q220)</f>
        <v>8</v>
      </c>
      <c r="R220" s="19">
        <f t="shared" si="35"/>
        <v>32</v>
      </c>
      <c r="S220" s="146">
        <f t="shared" si="36"/>
        <v>3.2799371809972513</v>
      </c>
      <c r="T220" s="20">
        <v>4</v>
      </c>
      <c r="U220" s="14">
        <f>+SUM('1:30'!U220)</f>
        <v>4</v>
      </c>
      <c r="V220" s="143">
        <f t="array" ref="V220">IF(ISERROR(L220/K220),"",L220/K220)</f>
        <v>0.99957912457912457</v>
      </c>
      <c r="W220" s="14">
        <f>+SUM('1:30'!W220)</f>
        <v>0</v>
      </c>
      <c r="X220" s="14">
        <f>+SUM('1:30'!X220)</f>
        <v>0</v>
      </c>
      <c r="Y220" s="14">
        <f>+SUM('1:30'!Y220)</f>
        <v>0</v>
      </c>
      <c r="Z220" s="14">
        <f>+SUM('1:30'!Z220)</f>
        <v>0</v>
      </c>
      <c r="AA220" s="14">
        <f>+SUM('1:30'!AA220)</f>
        <v>0</v>
      </c>
      <c r="AB220" s="14">
        <f>+SUM('1:30'!AB220)</f>
        <v>0</v>
      </c>
      <c r="AC220" s="14">
        <f>+SUM('1:30'!AC220)</f>
        <v>0</v>
      </c>
    </row>
    <row r="221" spans="1:29" s="2" customFormat="1" ht="21.95" customHeight="1">
      <c r="A221" s="142">
        <v>300314</v>
      </c>
      <c r="B221" s="145" t="s">
        <v>33</v>
      </c>
      <c r="C221" s="314" t="s">
        <v>34</v>
      </c>
      <c r="D221" s="314"/>
      <c r="E221" s="48" t="s">
        <v>41</v>
      </c>
      <c r="F221" s="147"/>
      <c r="G221" s="14">
        <f>+SUM('1:30'!G221)</f>
        <v>0</v>
      </c>
      <c r="H221" s="14">
        <f>+SUM('1:30'!H221)</f>
        <v>0</v>
      </c>
      <c r="I221" s="14">
        <f>+SUM('1:30'!I221)</f>
        <v>0</v>
      </c>
      <c r="J221" s="14">
        <f>+SUM('1:30'!J221)</f>
        <v>0</v>
      </c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">
        <f>+SUM('1:30'!O221)</f>
        <v>0</v>
      </c>
      <c r="P221" s="146">
        <f t="shared" si="34"/>
        <v>0</v>
      </c>
      <c r="Q221" s="14">
        <f>+SUM('1:30'!Q221)</f>
        <v>0</v>
      </c>
      <c r="R221" s="19">
        <f t="shared" si="35"/>
        <v>0</v>
      </c>
      <c r="S221" s="146">
        <f t="shared" si="36"/>
        <v>0</v>
      </c>
      <c r="T221" s="20">
        <v>4</v>
      </c>
      <c r="U221" s="14">
        <f>+SUM('1:30'!U221)</f>
        <v>0</v>
      </c>
      <c r="V221" s="143" t="str">
        <f t="array" ref="V221">IF(ISERROR(L221/K221),"",L221/K221)</f>
        <v/>
      </c>
      <c r="W221" s="14">
        <f>+SUM('1:30'!W221)</f>
        <v>0</v>
      </c>
      <c r="X221" s="14">
        <f>+SUM('1:30'!X221)</f>
        <v>0</v>
      </c>
      <c r="Y221" s="14">
        <f>+SUM('1:30'!Y221)</f>
        <v>0</v>
      </c>
      <c r="Z221" s="14">
        <f>+SUM('1:30'!Z221)</f>
        <v>0</v>
      </c>
      <c r="AA221" s="14">
        <f>+SUM('1:30'!AA221)</f>
        <v>0</v>
      </c>
      <c r="AB221" s="14">
        <f>+SUM('1:30'!AB221)</f>
        <v>0</v>
      </c>
      <c r="AC221" s="14">
        <f>+SUM('1:30'!AC221)</f>
        <v>0</v>
      </c>
    </row>
    <row r="222" spans="1:29" s="2" customFormat="1" ht="21.95" customHeight="1">
      <c r="A222" s="142">
        <v>300313</v>
      </c>
      <c r="B222" s="145" t="s">
        <v>33</v>
      </c>
      <c r="C222" s="314" t="s">
        <v>34</v>
      </c>
      <c r="D222" s="314"/>
      <c r="E222" s="48" t="s">
        <v>42</v>
      </c>
      <c r="F222" s="147"/>
      <c r="G222" s="14">
        <f>+SUM('1:30'!G222)</f>
        <v>0</v>
      </c>
      <c r="H222" s="14">
        <f>+SUM('1:30'!H222)</f>
        <v>0</v>
      </c>
      <c r="I222" s="14">
        <f>+SUM('1:30'!I222)</f>
        <v>0</v>
      </c>
      <c r="J222" s="14">
        <f>+SUM('1:30'!J222)</f>
        <v>0</v>
      </c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">
        <f>+SUM('1:30'!O222)</f>
        <v>0</v>
      </c>
      <c r="P222" s="146">
        <f t="shared" si="34"/>
        <v>0</v>
      </c>
      <c r="Q222" s="14">
        <f>+SUM('1:30'!Q222)</f>
        <v>0</v>
      </c>
      <c r="R222" s="19">
        <f t="shared" si="35"/>
        <v>0</v>
      </c>
      <c r="S222" s="146">
        <f t="shared" si="36"/>
        <v>0</v>
      </c>
      <c r="T222" s="20">
        <v>4</v>
      </c>
      <c r="U222" s="14">
        <f>+SUM('1:30'!U222)</f>
        <v>0</v>
      </c>
      <c r="V222" s="143" t="str">
        <f t="array" ref="V222">IF(ISERROR(L222/K222),"",L222/K222)</f>
        <v/>
      </c>
      <c r="W222" s="14">
        <f>+SUM('1:30'!W222)</f>
        <v>0</v>
      </c>
      <c r="X222" s="14">
        <f>+SUM('1:30'!X222)</f>
        <v>0</v>
      </c>
      <c r="Y222" s="14">
        <f>+SUM('1:30'!Y222)</f>
        <v>0</v>
      </c>
      <c r="Z222" s="14">
        <f>+SUM('1:30'!Z222)</f>
        <v>0</v>
      </c>
      <c r="AA222" s="14">
        <f>+SUM('1:30'!AA222)</f>
        <v>0</v>
      </c>
      <c r="AB222" s="14">
        <f>+SUM('1:30'!AB222)</f>
        <v>0</v>
      </c>
      <c r="AC222" s="14">
        <f>+SUM('1:30'!AC222)</f>
        <v>0</v>
      </c>
    </row>
    <row r="223" spans="1:29" ht="21.95" customHeight="1">
      <c r="A223" s="142"/>
      <c r="B223" s="135" t="s">
        <v>43</v>
      </c>
      <c r="C223" s="259" t="s">
        <v>313</v>
      </c>
      <c r="D223" s="260"/>
      <c r="E223" s="148" t="s">
        <v>314</v>
      </c>
      <c r="F223" s="13"/>
      <c r="G223" s="14">
        <f>+SUM('1:30'!G223)</f>
        <v>16</v>
      </c>
      <c r="H223" s="14">
        <f>+SUM('1:30'!H223)</f>
        <v>0.4</v>
      </c>
      <c r="I223" s="14">
        <f>+SUM('1:30'!I223)</f>
        <v>15.4</v>
      </c>
      <c r="J223" s="14">
        <f>+SUM('1:30'!J223)</f>
        <v>0</v>
      </c>
      <c r="K223" s="146">
        <f t="shared" si="31"/>
        <v>3414.4</v>
      </c>
      <c r="L223" s="146">
        <f t="shared" si="32"/>
        <v>3286.36</v>
      </c>
      <c r="M223" s="146">
        <v>213.4</v>
      </c>
      <c r="N223" s="146">
        <f>+M223*1000/(15.4*10*17*60)*T223</f>
        <v>4.0756302521008401</v>
      </c>
      <c r="O223" s="14">
        <f>+SUM('1:30'!O223)</f>
        <v>0</v>
      </c>
      <c r="P223" s="146">
        <f t="shared" si="34"/>
        <v>62.764705882352942</v>
      </c>
      <c r="Q223" s="14">
        <f>+SUM('1:30'!Q223)</f>
        <v>9</v>
      </c>
      <c r="R223" s="19">
        <f t="shared" si="35"/>
        <v>36</v>
      </c>
      <c r="S223" s="146">
        <f t="shared" si="36"/>
        <v>-26.764705882352942</v>
      </c>
      <c r="T223" s="20">
        <v>3</v>
      </c>
      <c r="U223" s="14">
        <f>+SUM('1:30'!U223)</f>
        <v>4</v>
      </c>
      <c r="V223" s="143"/>
      <c r="W223" s="14">
        <f>+SUM('1:30'!W223)</f>
        <v>0</v>
      </c>
      <c r="X223" s="14">
        <f>+SUM('1:30'!X223)</f>
        <v>0</v>
      </c>
      <c r="Y223" s="14">
        <f>+SUM('1:30'!Y223)</f>
        <v>0</v>
      </c>
      <c r="Z223" s="14">
        <f>+SUM('1:30'!Z223)</f>
        <v>0</v>
      </c>
      <c r="AA223" s="14">
        <f>+SUM('1:30'!AA223)</f>
        <v>2</v>
      </c>
      <c r="AB223" s="14">
        <f>+SUM('1:30'!AB223)</f>
        <v>0</v>
      </c>
      <c r="AC223" s="14">
        <f>+SUM('1:30'!AC223)</f>
        <v>0</v>
      </c>
    </row>
    <row r="224" spans="1:29" ht="21.95" customHeight="1">
      <c r="A224" s="142"/>
      <c r="B224" s="135" t="s">
        <v>43</v>
      </c>
      <c r="C224" s="259" t="s">
        <v>313</v>
      </c>
      <c r="D224" s="260"/>
      <c r="E224" s="148" t="s">
        <v>315</v>
      </c>
      <c r="F224" s="13"/>
      <c r="G224" s="14">
        <f>+SUM('1:30'!G224)</f>
        <v>10</v>
      </c>
      <c r="H224" s="14">
        <f>+SUM('1:30'!H224)</f>
        <v>0</v>
      </c>
      <c r="I224" s="14">
        <f>+SUM('1:30'!I224)</f>
        <v>9.8800000000000008</v>
      </c>
      <c r="J224" s="14">
        <f>+SUM('1:30'!J224)</f>
        <v>30</v>
      </c>
      <c r="K224" s="146">
        <f t="shared" si="31"/>
        <v>2134</v>
      </c>
      <c r="L224" s="146">
        <f t="shared" si="32"/>
        <v>2108.3920000000003</v>
      </c>
      <c r="M224" s="146">
        <v>213.4</v>
      </c>
      <c r="N224" s="146">
        <f>+M224*1000/(15.4*10*17*60)*T224</f>
        <v>4.0756302521008401</v>
      </c>
      <c r="O224" s="14">
        <f>+SUM('1:30'!O224)</f>
        <v>1</v>
      </c>
      <c r="P224" s="146">
        <f t="shared" si="34"/>
        <v>47.267226890756305</v>
      </c>
      <c r="Q224" s="14">
        <f>+SUM('1:30'!Q224)</f>
        <v>12</v>
      </c>
      <c r="R224" s="19">
        <f t="shared" si="35"/>
        <v>84</v>
      </c>
      <c r="S224" s="146">
        <f t="shared" si="36"/>
        <v>36.732773109243695</v>
      </c>
      <c r="T224" s="20">
        <v>3</v>
      </c>
      <c r="U224" s="14">
        <f>+SUM('1:30'!U224)</f>
        <v>7</v>
      </c>
      <c r="V224" s="143"/>
      <c r="W224" s="14">
        <f>+SUM('1:30'!W224)</f>
        <v>0</v>
      </c>
      <c r="X224" s="14">
        <f>+SUM('1:30'!X224)</f>
        <v>0</v>
      </c>
      <c r="Y224" s="14">
        <f>+SUM('1:30'!Y224)</f>
        <v>0</v>
      </c>
      <c r="Z224" s="14">
        <f>+SUM('1:30'!Z224)</f>
        <v>0</v>
      </c>
      <c r="AA224" s="14">
        <f>+SUM('1:30'!AA224)</f>
        <v>0</v>
      </c>
      <c r="AB224" s="14">
        <f>+SUM('1:30'!AB224)</f>
        <v>0</v>
      </c>
      <c r="AC224" s="14">
        <f>+SUM('1:30'!AC224)</f>
        <v>0</v>
      </c>
    </row>
    <row r="225" spans="1:29" s="2" customFormat="1" ht="21.95" customHeight="1">
      <c r="A225" s="135">
        <v>300202</v>
      </c>
      <c r="B225" s="135" t="s">
        <v>52</v>
      </c>
      <c r="C225" s="259" t="s">
        <v>44</v>
      </c>
      <c r="D225" s="260"/>
      <c r="E225" s="135" t="s">
        <v>35</v>
      </c>
      <c r="F225" s="147"/>
      <c r="G225" s="14">
        <f>+SUM('1:30'!G225)</f>
        <v>0</v>
      </c>
      <c r="H225" s="14">
        <f>+SUM('1:30'!H225)</f>
        <v>0</v>
      </c>
      <c r="I225" s="14">
        <f>+SUM('1:30'!I225)</f>
        <v>0</v>
      </c>
      <c r="J225" s="14">
        <f>+SUM('1:30'!J225)</f>
        <v>0</v>
      </c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">
        <f>+SUM('1:30'!O225)</f>
        <v>0</v>
      </c>
      <c r="P225" s="146">
        <f t="shared" si="34"/>
        <v>0</v>
      </c>
      <c r="Q225" s="14">
        <f>+SUM('1:30'!Q225)</f>
        <v>0</v>
      </c>
      <c r="R225" s="19">
        <f t="shared" si="35"/>
        <v>0</v>
      </c>
      <c r="S225" s="146">
        <f t="shared" si="36"/>
        <v>0</v>
      </c>
      <c r="T225" s="20">
        <v>6</v>
      </c>
      <c r="U225" s="14">
        <f>+SUM('1:30'!U225)</f>
        <v>0</v>
      </c>
      <c r="V225" s="143" t="str">
        <f t="array" ref="V225">IF(ISERROR(L225/K225),"",L225/K225)</f>
        <v/>
      </c>
      <c r="W225" s="14">
        <f>+SUM('1:30'!W225)</f>
        <v>0</v>
      </c>
      <c r="X225" s="14">
        <f>+SUM('1:30'!X225)</f>
        <v>0</v>
      </c>
      <c r="Y225" s="14">
        <f>+SUM('1:30'!Y225)</f>
        <v>0</v>
      </c>
      <c r="Z225" s="14">
        <f>+SUM('1:30'!Z225)</f>
        <v>0</v>
      </c>
      <c r="AA225" s="14">
        <f>+SUM('1:30'!AA225)</f>
        <v>0</v>
      </c>
      <c r="AB225" s="14">
        <f>+SUM('1:30'!AB225)</f>
        <v>0</v>
      </c>
      <c r="AC225" s="14">
        <f>+SUM('1:30'!AC225)</f>
        <v>0</v>
      </c>
    </row>
    <row r="226" spans="1:29" s="2" customFormat="1" ht="21.95" customHeight="1">
      <c r="A226" s="135">
        <v>300203</v>
      </c>
      <c r="B226" s="135" t="s">
        <v>43</v>
      </c>
      <c r="C226" s="259" t="s">
        <v>44</v>
      </c>
      <c r="D226" s="260"/>
      <c r="E226" s="135" t="s">
        <v>41</v>
      </c>
      <c r="F226" s="147"/>
      <c r="G226" s="14">
        <f>+SUM('1:30'!G226)</f>
        <v>0</v>
      </c>
      <c r="H226" s="14">
        <f>+SUM('1:30'!H226)</f>
        <v>0</v>
      </c>
      <c r="I226" s="14">
        <f>+SUM('1:30'!I226)</f>
        <v>0</v>
      </c>
      <c r="J226" s="14">
        <f>+SUM('1:30'!J226)</f>
        <v>0</v>
      </c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">
        <f>+SUM('1:30'!O226)</f>
        <v>0</v>
      </c>
      <c r="P226" s="146">
        <f t="shared" si="34"/>
        <v>0</v>
      </c>
      <c r="Q226" s="14">
        <f>+SUM('1:30'!Q226)</f>
        <v>0</v>
      </c>
      <c r="R226" s="19">
        <f t="shared" si="35"/>
        <v>0</v>
      </c>
      <c r="S226" s="146">
        <f t="shared" si="36"/>
        <v>0</v>
      </c>
      <c r="T226" s="20">
        <v>3</v>
      </c>
      <c r="U226" s="14">
        <f>+SUM('1:30'!U226)</f>
        <v>0</v>
      </c>
      <c r="V226" s="143" t="str">
        <f t="array" ref="V226">IF(ISERROR(L226/K226),"",L226/K226)</f>
        <v/>
      </c>
      <c r="W226" s="14">
        <f>+SUM('1:30'!W226)</f>
        <v>0</v>
      </c>
      <c r="X226" s="14">
        <f>+SUM('1:30'!X226)</f>
        <v>0</v>
      </c>
      <c r="Y226" s="14">
        <f>+SUM('1:30'!Y226)</f>
        <v>0</v>
      </c>
      <c r="Z226" s="14">
        <f>+SUM('1:30'!Z226)</f>
        <v>0</v>
      </c>
      <c r="AA226" s="14">
        <f>+SUM('1:30'!AA226)</f>
        <v>0</v>
      </c>
      <c r="AB226" s="14">
        <f>+SUM('1:30'!AB226)</f>
        <v>0</v>
      </c>
      <c r="AC226" s="14">
        <f>+SUM('1:30'!AC226)</f>
        <v>0</v>
      </c>
    </row>
    <row r="227" spans="1:29" s="2" customFormat="1" ht="21.95" customHeight="1">
      <c r="A227" s="135">
        <v>300204</v>
      </c>
      <c r="B227" s="135" t="s">
        <v>43</v>
      </c>
      <c r="C227" s="259" t="s">
        <v>44</v>
      </c>
      <c r="D227" s="260"/>
      <c r="E227" s="135" t="s">
        <v>37</v>
      </c>
      <c r="F227" s="147"/>
      <c r="G227" s="14">
        <f>+SUM('1:30'!G227)</f>
        <v>0</v>
      </c>
      <c r="H227" s="14">
        <f>+SUM('1:30'!H227)</f>
        <v>0</v>
      </c>
      <c r="I227" s="14">
        <f>+SUM('1:30'!I227)</f>
        <v>0</v>
      </c>
      <c r="J227" s="14">
        <f>+SUM('1:30'!J227)</f>
        <v>0</v>
      </c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">
        <f>+SUM('1:30'!O227)</f>
        <v>0</v>
      </c>
      <c r="P227" s="146">
        <f t="shared" si="34"/>
        <v>0</v>
      </c>
      <c r="Q227" s="14">
        <f>+SUM('1:30'!Q227)</f>
        <v>0</v>
      </c>
      <c r="R227" s="19">
        <f t="shared" si="35"/>
        <v>0</v>
      </c>
      <c r="S227" s="146">
        <f t="shared" si="36"/>
        <v>0</v>
      </c>
      <c r="T227" s="20">
        <v>3</v>
      </c>
      <c r="U227" s="14">
        <f>+SUM('1:30'!U227)</f>
        <v>0</v>
      </c>
      <c r="V227" s="143" t="str">
        <f t="array" ref="V227">IF(ISERROR(L227/K227),"",L227/K227)</f>
        <v/>
      </c>
      <c r="W227" s="14">
        <f>+SUM('1:30'!W227)</f>
        <v>0</v>
      </c>
      <c r="X227" s="14">
        <f>+SUM('1:30'!X227)</f>
        <v>0</v>
      </c>
      <c r="Y227" s="14">
        <f>+SUM('1:30'!Y227)</f>
        <v>0</v>
      </c>
      <c r="Z227" s="14">
        <f>+SUM('1:30'!Z227)</f>
        <v>0</v>
      </c>
      <c r="AA227" s="14">
        <f>+SUM('1:30'!AA227)</f>
        <v>0</v>
      </c>
      <c r="AB227" s="14">
        <f>+SUM('1:30'!AB227)</f>
        <v>0</v>
      </c>
      <c r="AC227" s="14">
        <f>+SUM('1:30'!AC227)</f>
        <v>0</v>
      </c>
    </row>
    <row r="228" spans="1:29" s="2" customFormat="1" ht="21.95" customHeight="1">
      <c r="A228" s="142">
        <v>300269</v>
      </c>
      <c r="B228" s="135" t="s">
        <v>43</v>
      </c>
      <c r="C228" s="248" t="s">
        <v>45</v>
      </c>
      <c r="D228" s="248"/>
      <c r="E228" s="148"/>
      <c r="F228" s="147"/>
      <c r="G228" s="14">
        <f>+SUM('1:30'!G228)</f>
        <v>0</v>
      </c>
      <c r="H228" s="14">
        <f>+SUM('1:30'!H228)</f>
        <v>0</v>
      </c>
      <c r="I228" s="14">
        <f>+SUM('1:30'!I228)</f>
        <v>0</v>
      </c>
      <c r="J228" s="14">
        <f>+SUM('1:30'!J228)</f>
        <v>0</v>
      </c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">
        <f>+SUM('1:30'!O228)</f>
        <v>0</v>
      </c>
      <c r="P228" s="146">
        <f t="shared" si="34"/>
        <v>0</v>
      </c>
      <c r="Q228" s="14">
        <f>+SUM('1:30'!Q228)</f>
        <v>0</v>
      </c>
      <c r="R228" s="19">
        <f t="shared" si="35"/>
        <v>0</v>
      </c>
      <c r="S228" s="146">
        <f t="shared" si="36"/>
        <v>0</v>
      </c>
      <c r="T228" s="20">
        <v>3</v>
      </c>
      <c r="U228" s="14">
        <f>+SUM('1:30'!U228)</f>
        <v>0</v>
      </c>
      <c r="V228" s="143" t="str">
        <f t="array" ref="V228">IF(ISERROR(L228/K228),"",L228/K228)</f>
        <v/>
      </c>
      <c r="W228" s="14">
        <f>+SUM('1:30'!W228)</f>
        <v>0</v>
      </c>
      <c r="X228" s="14">
        <f>+SUM('1:30'!X228)</f>
        <v>0</v>
      </c>
      <c r="Y228" s="14">
        <f>+SUM('1:30'!Y228)</f>
        <v>0</v>
      </c>
      <c r="Z228" s="14">
        <f>+SUM('1:30'!Z228)</f>
        <v>0</v>
      </c>
      <c r="AA228" s="14">
        <f>+SUM('1:30'!AA228)</f>
        <v>0</v>
      </c>
      <c r="AB228" s="14">
        <f>+SUM('1:30'!AB228)</f>
        <v>0</v>
      </c>
      <c r="AC228" s="14">
        <f>+SUM('1:30'!AC228)</f>
        <v>0</v>
      </c>
    </row>
    <row r="229" spans="1:29" s="2" customFormat="1" ht="21.95" customHeight="1">
      <c r="A229" s="142"/>
      <c r="B229" s="135"/>
      <c r="C229" s="248" t="s">
        <v>46</v>
      </c>
      <c r="D229" s="248"/>
      <c r="E229" s="148" t="s">
        <v>47</v>
      </c>
      <c r="F229" s="147"/>
      <c r="G229" s="14">
        <f>+SUM('1:30'!G229)</f>
        <v>0</v>
      </c>
      <c r="H229" s="14">
        <f>+SUM('1:30'!H229)</f>
        <v>0</v>
      </c>
      <c r="I229" s="14">
        <f>+SUM('1:30'!I229)</f>
        <v>0</v>
      </c>
      <c r="J229" s="14">
        <f>+SUM('1:30'!J229)</f>
        <v>0</v>
      </c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">
        <f>+SUM('1:30'!O229)</f>
        <v>0</v>
      </c>
      <c r="P229" s="146">
        <f t="shared" si="34"/>
        <v>0</v>
      </c>
      <c r="Q229" s="14">
        <f>+SUM('1:30'!Q229)</f>
        <v>0</v>
      </c>
      <c r="R229" s="19">
        <f t="shared" si="35"/>
        <v>0</v>
      </c>
      <c r="S229" s="146">
        <f t="shared" si="36"/>
        <v>0</v>
      </c>
      <c r="T229" s="20">
        <v>3</v>
      </c>
      <c r="U229" s="14">
        <f>+SUM('1:30'!U229)</f>
        <v>0</v>
      </c>
      <c r="V229" s="143" t="str">
        <f t="array" ref="V229">IF(ISERROR(L229/K229),"",L229/K229)</f>
        <v/>
      </c>
      <c r="W229" s="14">
        <f>+SUM('1:30'!W229)</f>
        <v>0</v>
      </c>
      <c r="X229" s="14">
        <f>+SUM('1:30'!X229)</f>
        <v>0</v>
      </c>
      <c r="Y229" s="14">
        <f>+SUM('1:30'!Y229)</f>
        <v>0</v>
      </c>
      <c r="Z229" s="14">
        <f>+SUM('1:30'!Z229)</f>
        <v>0</v>
      </c>
      <c r="AA229" s="14">
        <f>+SUM('1:30'!AA229)</f>
        <v>0</v>
      </c>
      <c r="AB229" s="14">
        <f>+SUM('1:30'!AB229)</f>
        <v>0</v>
      </c>
      <c r="AC229" s="14">
        <f>+SUM('1:30'!AC229)</f>
        <v>0</v>
      </c>
    </row>
    <row r="230" spans="1:29" s="2" customFormat="1" ht="21.95" customHeight="1">
      <c r="A230" s="142">
        <v>300350</v>
      </c>
      <c r="B230" s="135" t="s">
        <v>43</v>
      </c>
      <c r="C230" s="248" t="s">
        <v>48</v>
      </c>
      <c r="D230" s="248"/>
      <c r="E230" s="148" t="s">
        <v>49</v>
      </c>
      <c r="F230" s="147"/>
      <c r="G230" s="14">
        <f>+SUM('1:30'!G230)</f>
        <v>0</v>
      </c>
      <c r="H230" s="14">
        <f>+SUM('1:30'!H230)</f>
        <v>0</v>
      </c>
      <c r="I230" s="14">
        <f>+SUM('1:30'!I230)</f>
        <v>0</v>
      </c>
      <c r="J230" s="14">
        <f>+SUM('1:30'!J230)</f>
        <v>0</v>
      </c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">
        <f>+SUM('1:30'!O230)</f>
        <v>0</v>
      </c>
      <c r="P230" s="146">
        <f t="shared" si="34"/>
        <v>0</v>
      </c>
      <c r="Q230" s="14">
        <f>+SUM('1:30'!Q230)</f>
        <v>0</v>
      </c>
      <c r="R230" s="19">
        <f t="shared" si="35"/>
        <v>0</v>
      </c>
      <c r="S230" s="146">
        <f t="shared" si="36"/>
        <v>0</v>
      </c>
      <c r="T230" s="20">
        <v>2</v>
      </c>
      <c r="U230" s="14">
        <f>+SUM('1:30'!U230)</f>
        <v>0</v>
      </c>
      <c r="V230" s="143" t="str">
        <f t="array" ref="V230">IF(ISERROR(L230/K230),"",L230/K230)</f>
        <v/>
      </c>
      <c r="W230" s="14">
        <f>+SUM('1:30'!W230)</f>
        <v>0</v>
      </c>
      <c r="X230" s="14">
        <f>+SUM('1:30'!X230)</f>
        <v>0</v>
      </c>
      <c r="Y230" s="14">
        <f>+SUM('1:30'!Y230)</f>
        <v>0</v>
      </c>
      <c r="Z230" s="14">
        <f>+SUM('1:30'!Z230)</f>
        <v>0</v>
      </c>
      <c r="AA230" s="14">
        <f>+SUM('1:30'!AA230)</f>
        <v>0</v>
      </c>
      <c r="AB230" s="14">
        <f>+SUM('1:30'!AB230)</f>
        <v>0</v>
      </c>
      <c r="AC230" s="14">
        <f>+SUM('1:30'!AC230)</f>
        <v>0</v>
      </c>
    </row>
    <row r="231" spans="1:29" s="2" customFormat="1" ht="21.95" customHeight="1">
      <c r="A231" s="142">
        <v>300113</v>
      </c>
      <c r="B231" s="135" t="s">
        <v>43</v>
      </c>
      <c r="C231" s="248" t="s">
        <v>50</v>
      </c>
      <c r="D231" s="248"/>
      <c r="E231" s="148" t="s">
        <v>40</v>
      </c>
      <c r="F231" s="147"/>
      <c r="G231" s="14">
        <f>+SUM('1:30'!G231)</f>
        <v>0</v>
      </c>
      <c r="H231" s="14">
        <f>+SUM('1:30'!H231)</f>
        <v>0</v>
      </c>
      <c r="I231" s="14">
        <f>+SUM('1:30'!I231)</f>
        <v>0</v>
      </c>
      <c r="J231" s="14">
        <f>+SUM('1:30'!J231)</f>
        <v>0</v>
      </c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">
        <f>+SUM('1:30'!O231)</f>
        <v>0</v>
      </c>
      <c r="P231" s="146">
        <f t="shared" si="34"/>
        <v>0</v>
      </c>
      <c r="Q231" s="14">
        <f>+SUM('1:30'!Q231)</f>
        <v>0</v>
      </c>
      <c r="R231" s="19">
        <f t="shared" si="35"/>
        <v>0</v>
      </c>
      <c r="S231" s="146">
        <f t="shared" si="36"/>
        <v>0</v>
      </c>
      <c r="T231" s="20">
        <v>2</v>
      </c>
      <c r="U231" s="14">
        <f>+SUM('1:30'!U231)</f>
        <v>0</v>
      </c>
      <c r="V231" s="143" t="str">
        <f t="array" ref="V231">IF(ISERROR(L231/K231),"",L231/K231)</f>
        <v/>
      </c>
      <c r="W231" s="14">
        <f>+SUM('1:30'!W231)</f>
        <v>0</v>
      </c>
      <c r="X231" s="14">
        <f>+SUM('1:30'!X231)</f>
        <v>0</v>
      </c>
      <c r="Y231" s="14">
        <f>+SUM('1:30'!Y231)</f>
        <v>0</v>
      </c>
      <c r="Z231" s="14">
        <f>+SUM('1:30'!Z231)</f>
        <v>0</v>
      </c>
      <c r="AA231" s="14">
        <f>+SUM('1:30'!AA231)</f>
        <v>0</v>
      </c>
      <c r="AB231" s="14">
        <f>+SUM('1:30'!AB231)</f>
        <v>0</v>
      </c>
      <c r="AC231" s="14">
        <f>+SUM('1:30'!AC231)</f>
        <v>0</v>
      </c>
    </row>
    <row r="232" spans="1:29" s="2" customFormat="1" ht="21.95" customHeight="1">
      <c r="A232" s="142">
        <v>300114</v>
      </c>
      <c r="B232" s="135" t="s">
        <v>43</v>
      </c>
      <c r="C232" s="248" t="s">
        <v>50</v>
      </c>
      <c r="D232" s="248"/>
      <c r="E232" s="148" t="s">
        <v>42</v>
      </c>
      <c r="F232" s="147"/>
      <c r="G232" s="14">
        <f>+SUM('1:30'!G232)</f>
        <v>0</v>
      </c>
      <c r="H232" s="14">
        <f>+SUM('1:30'!H232)</f>
        <v>0</v>
      </c>
      <c r="I232" s="14">
        <f>+SUM('1:30'!I232)</f>
        <v>0</v>
      </c>
      <c r="J232" s="14">
        <f>+SUM('1:30'!J232)</f>
        <v>0</v>
      </c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">
        <f>+SUM('1:30'!O232)</f>
        <v>0</v>
      </c>
      <c r="P232" s="146">
        <f t="shared" si="34"/>
        <v>0</v>
      </c>
      <c r="Q232" s="14">
        <f>+SUM('1:30'!Q232)</f>
        <v>0</v>
      </c>
      <c r="R232" s="19">
        <f t="shared" si="35"/>
        <v>0</v>
      </c>
      <c r="S232" s="146">
        <f t="shared" si="36"/>
        <v>0</v>
      </c>
      <c r="T232" s="20">
        <v>2</v>
      </c>
      <c r="U232" s="14">
        <f>+SUM('1:30'!U232)</f>
        <v>0</v>
      </c>
      <c r="V232" s="143" t="str">
        <f t="array" ref="V232">IF(ISERROR(L232/K232),"",L232/K232)</f>
        <v/>
      </c>
      <c r="W232" s="14">
        <f>+SUM('1:30'!W232)</f>
        <v>0</v>
      </c>
      <c r="X232" s="14">
        <f>+SUM('1:30'!X232)</f>
        <v>0</v>
      </c>
      <c r="Y232" s="14">
        <f>+SUM('1:30'!Y232)</f>
        <v>0</v>
      </c>
      <c r="Z232" s="14">
        <f>+SUM('1:30'!Z232)</f>
        <v>0</v>
      </c>
      <c r="AA232" s="14">
        <f>+SUM('1:30'!AA232)</f>
        <v>0</v>
      </c>
      <c r="AB232" s="14">
        <f>+SUM('1:30'!AB232)</f>
        <v>0</v>
      </c>
      <c r="AC232" s="14">
        <f>+SUM('1:30'!AC232)</f>
        <v>0</v>
      </c>
    </row>
    <row r="233" spans="1:29" s="2" customFormat="1" ht="21.95" customHeight="1">
      <c r="A233" s="142">
        <v>300115</v>
      </c>
      <c r="B233" s="135" t="s">
        <v>43</v>
      </c>
      <c r="C233" s="248" t="s">
        <v>50</v>
      </c>
      <c r="D233" s="248"/>
      <c r="E233" s="148" t="s">
        <v>41</v>
      </c>
      <c r="F233" s="147"/>
      <c r="G233" s="14">
        <f>+SUM('1:30'!G233)</f>
        <v>0</v>
      </c>
      <c r="H233" s="14">
        <f>+SUM('1:30'!H233)</f>
        <v>0</v>
      </c>
      <c r="I233" s="14">
        <f>+SUM('1:30'!I233)</f>
        <v>0</v>
      </c>
      <c r="J233" s="14">
        <f>+SUM('1:30'!J233)</f>
        <v>0</v>
      </c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">
        <f>+SUM('1:30'!O233)</f>
        <v>0</v>
      </c>
      <c r="P233" s="146">
        <f t="shared" si="34"/>
        <v>0</v>
      </c>
      <c r="Q233" s="14">
        <f>+SUM('1:30'!Q233)</f>
        <v>0</v>
      </c>
      <c r="R233" s="19">
        <f t="shared" si="35"/>
        <v>0</v>
      </c>
      <c r="S233" s="146">
        <f t="shared" si="36"/>
        <v>0</v>
      </c>
      <c r="T233" s="20">
        <v>2</v>
      </c>
      <c r="U233" s="14">
        <f>+SUM('1:30'!U233)</f>
        <v>0</v>
      </c>
      <c r="V233" s="143" t="str">
        <f t="array" ref="V233">IF(ISERROR(L233/K233),"",L233/K233)</f>
        <v/>
      </c>
      <c r="W233" s="14">
        <f>+SUM('1:30'!W233)</f>
        <v>0</v>
      </c>
      <c r="X233" s="14">
        <f>+SUM('1:30'!X233)</f>
        <v>0</v>
      </c>
      <c r="Y233" s="14">
        <f>+SUM('1:30'!Y233)</f>
        <v>0</v>
      </c>
      <c r="Z233" s="14">
        <f>+SUM('1:30'!Z233)</f>
        <v>0</v>
      </c>
      <c r="AA233" s="14">
        <f>+SUM('1:30'!AA233)</f>
        <v>0</v>
      </c>
      <c r="AB233" s="14">
        <f>+SUM('1:30'!AB233)</f>
        <v>0</v>
      </c>
      <c r="AC233" s="14">
        <f>+SUM('1:30'!AC233)</f>
        <v>0</v>
      </c>
    </row>
    <row r="234" spans="1:29" s="2" customFormat="1" ht="21.95" customHeight="1">
      <c r="A234" s="142">
        <v>300011</v>
      </c>
      <c r="B234" s="135" t="s">
        <v>43</v>
      </c>
      <c r="C234" s="248" t="s">
        <v>51</v>
      </c>
      <c r="D234" s="248"/>
      <c r="E234" s="148" t="s">
        <v>40</v>
      </c>
      <c r="F234" s="147"/>
      <c r="G234" s="14">
        <f>+SUM('1:30'!G234)</f>
        <v>8.1999999999999993</v>
      </c>
      <c r="H234" s="14">
        <f>+SUM('1:30'!H234)</f>
        <v>0.2</v>
      </c>
      <c r="I234" s="14">
        <f>+SUM('1:30'!I234)</f>
        <v>8.1999999999999993</v>
      </c>
      <c r="J234" s="14">
        <f>+SUM('1:30'!J234)</f>
        <v>0</v>
      </c>
      <c r="K234" s="146">
        <f t="shared" si="31"/>
        <v>4301.72</v>
      </c>
      <c r="L234" s="146">
        <f t="shared" si="32"/>
        <v>4301.72</v>
      </c>
      <c r="M234" s="146">
        <v>524.6</v>
      </c>
      <c r="N234" s="146">
        <f>+M234*1000/(25.4*20*15*60)*T234</f>
        <v>3.4422572178477688</v>
      </c>
      <c r="O234" s="14">
        <f>+SUM('1:30'!O234)</f>
        <v>1</v>
      </c>
      <c r="P234" s="146">
        <f t="shared" si="34"/>
        <v>32.226509186351706</v>
      </c>
      <c r="Q234" s="14">
        <f>+SUM('1:30'!Q234)</f>
        <v>14.5</v>
      </c>
      <c r="R234" s="19">
        <f t="shared" si="35"/>
        <v>58</v>
      </c>
      <c r="S234" s="146">
        <f t="shared" si="36"/>
        <v>25.773490813648294</v>
      </c>
      <c r="T234" s="20">
        <v>3</v>
      </c>
      <c r="U234" s="14">
        <f>+SUM('1:30'!U234)</f>
        <v>4</v>
      </c>
      <c r="V234" s="143">
        <f t="array" ref="V234">IF(ISERROR(L234/K234),"",L234/K234)</f>
        <v>1</v>
      </c>
      <c r="W234" s="14">
        <f>+SUM('1:30'!W234)</f>
        <v>0</v>
      </c>
      <c r="X234" s="14">
        <f>+SUM('1:30'!X234)</f>
        <v>0.83333333333333337</v>
      </c>
      <c r="Y234" s="14">
        <f>+SUM('1:30'!Y234)</f>
        <v>0</v>
      </c>
      <c r="Z234" s="14">
        <f>+SUM('1:30'!Z234)</f>
        <v>0</v>
      </c>
      <c r="AA234" s="14">
        <f>+SUM('1:30'!AA234)</f>
        <v>2</v>
      </c>
      <c r="AB234" s="14">
        <f>+SUM('1:30'!AB234)</f>
        <v>0</v>
      </c>
      <c r="AC234" s="14">
        <f>+SUM('1:30'!AC234)</f>
        <v>0</v>
      </c>
    </row>
    <row r="235" spans="1:29" s="2" customFormat="1" ht="21.95" customHeight="1">
      <c r="A235" s="142">
        <v>300012</v>
      </c>
      <c r="B235" s="135" t="s">
        <v>43</v>
      </c>
      <c r="C235" s="248" t="s">
        <v>51</v>
      </c>
      <c r="D235" s="248"/>
      <c r="E235" s="148" t="s">
        <v>41</v>
      </c>
      <c r="F235" s="147"/>
      <c r="G235" s="14">
        <f>+SUM('1:30'!G235)</f>
        <v>9</v>
      </c>
      <c r="H235" s="14">
        <f>+SUM('1:30'!H235)</f>
        <v>0</v>
      </c>
      <c r="I235" s="14">
        <f>+SUM('1:30'!I235)</f>
        <v>9</v>
      </c>
      <c r="J235" s="14">
        <f>+SUM('1:30'!J235)</f>
        <v>0</v>
      </c>
      <c r="K235" s="146">
        <f t="shared" si="31"/>
        <v>4721.4000000000005</v>
      </c>
      <c r="L235" s="146">
        <f t="shared" si="32"/>
        <v>4721.4000000000005</v>
      </c>
      <c r="M235" s="146">
        <v>524.6</v>
      </c>
      <c r="N235" s="146">
        <f>+M235*1000/(25.4*20*15*60)*T235</f>
        <v>3.4422572178477688</v>
      </c>
      <c r="O235" s="14">
        <f>+SUM('1:30'!O235)</f>
        <v>0</v>
      </c>
      <c r="P235" s="146">
        <f t="shared" si="34"/>
        <v>30.980314960629919</v>
      </c>
      <c r="Q235" s="14">
        <f>+SUM('1:30'!Q235)</f>
        <v>5</v>
      </c>
      <c r="R235" s="19">
        <f t="shared" si="35"/>
        <v>25</v>
      </c>
      <c r="S235" s="146">
        <f t="shared" si="36"/>
        <v>-5.9803149606299186</v>
      </c>
      <c r="T235" s="20">
        <v>3</v>
      </c>
      <c r="U235" s="14">
        <f>+SUM('1:30'!U235)</f>
        <v>5</v>
      </c>
      <c r="V235" s="143">
        <f t="array" ref="V235">IF(ISERROR(L235/K235),"",L235/K235)</f>
        <v>1</v>
      </c>
      <c r="W235" s="14">
        <f>+SUM('1:30'!W235)</f>
        <v>0</v>
      </c>
      <c r="X235" s="14">
        <f>+SUM('1:30'!X235)</f>
        <v>0</v>
      </c>
      <c r="Y235" s="14">
        <f>+SUM('1:30'!Y235)</f>
        <v>0</v>
      </c>
      <c r="Z235" s="14">
        <f>+SUM('1:30'!Z235)</f>
        <v>0</v>
      </c>
      <c r="AA235" s="14">
        <f>+SUM('1:30'!AA235)</f>
        <v>0</v>
      </c>
      <c r="AB235" s="14">
        <f>+SUM('1:30'!AB235)</f>
        <v>0</v>
      </c>
      <c r="AC235" s="14">
        <f>+SUM('1:30'!AC235)</f>
        <v>0</v>
      </c>
    </row>
    <row r="236" spans="1:29" s="2" customFormat="1" ht="21.95" customHeight="1">
      <c r="A236" s="142">
        <v>300013</v>
      </c>
      <c r="B236" s="135" t="s">
        <v>221</v>
      </c>
      <c r="C236" s="248" t="s">
        <v>51</v>
      </c>
      <c r="D236" s="248"/>
      <c r="E236" s="148" t="s">
        <v>42</v>
      </c>
      <c r="F236" s="147"/>
      <c r="G236" s="14">
        <f>+SUM('1:30'!G236)</f>
        <v>4.4800000000000004</v>
      </c>
      <c r="H236" s="14">
        <f>+SUM('1:30'!H236)</f>
        <v>0.48</v>
      </c>
      <c r="I236" s="14">
        <f>+SUM('1:30'!I236)</f>
        <v>4.4800000000000004</v>
      </c>
      <c r="J236" s="14">
        <f>+SUM('1:30'!J236)</f>
        <v>0</v>
      </c>
      <c r="K236" s="146">
        <f t="shared" si="31"/>
        <v>2350.2080000000005</v>
      </c>
      <c r="L236" s="146">
        <f t="shared" si="32"/>
        <v>2350.2080000000005</v>
      </c>
      <c r="M236" s="146">
        <v>524.6</v>
      </c>
      <c r="N236" s="146">
        <f>+M236*1000/(25.4*20*15*60)*T236</f>
        <v>3.4422572178477688</v>
      </c>
      <c r="O236" s="14">
        <f>+SUM('1:30'!O236)</f>
        <v>0.5</v>
      </c>
      <c r="P236" s="146">
        <f t="shared" si="34"/>
        <v>17.921312335958007</v>
      </c>
      <c r="Q236" s="14">
        <f>+SUM('1:30'!Q236)</f>
        <v>8</v>
      </c>
      <c r="R236" s="19">
        <f t="shared" si="35"/>
        <v>40</v>
      </c>
      <c r="S236" s="146">
        <f t="shared" si="36"/>
        <v>22.078687664041993</v>
      </c>
      <c r="T236" s="20">
        <v>3</v>
      </c>
      <c r="U236" s="14">
        <f>+SUM('1:30'!U236)</f>
        <v>5</v>
      </c>
      <c r="V236" s="143">
        <f t="array" ref="V236">IF(ISERROR(L236/K236),"",L236/K236)</f>
        <v>1</v>
      </c>
      <c r="W236" s="14">
        <f>+SUM('1:30'!W236)</f>
        <v>0</v>
      </c>
      <c r="X236" s="14">
        <f>+SUM('1:30'!X236)</f>
        <v>0</v>
      </c>
      <c r="Y236" s="14">
        <f>+SUM('1:30'!Y236)</f>
        <v>0</v>
      </c>
      <c r="Z236" s="14">
        <f>+SUM('1:30'!Z236)</f>
        <v>0</v>
      </c>
      <c r="AA236" s="14">
        <f>+SUM('1:30'!AA236)</f>
        <v>3</v>
      </c>
      <c r="AB236" s="14">
        <f>+SUM('1:30'!AB236)</f>
        <v>0</v>
      </c>
      <c r="AC236" s="14">
        <f>+SUM('1:30'!AC236)</f>
        <v>0</v>
      </c>
    </row>
    <row r="237" spans="1:29" s="2" customFormat="1" ht="21.95" customHeight="1">
      <c r="A237" s="142">
        <v>300016</v>
      </c>
      <c r="B237" s="135" t="s">
        <v>43</v>
      </c>
      <c r="C237" s="248" t="s">
        <v>51</v>
      </c>
      <c r="D237" s="248"/>
      <c r="E237" s="148" t="s">
        <v>38</v>
      </c>
      <c r="F237" s="147"/>
      <c r="G237" s="14">
        <f>+SUM('1:30'!G237)</f>
        <v>9.56</v>
      </c>
      <c r="H237" s="14">
        <f>+SUM('1:30'!H237)</f>
        <v>0.56000000000000005</v>
      </c>
      <c r="I237" s="14">
        <f>+SUM('1:30'!I237)</f>
        <v>9.56</v>
      </c>
      <c r="J237" s="14">
        <f>+SUM('1:30'!J237)</f>
        <v>0</v>
      </c>
      <c r="K237" s="146">
        <f t="shared" si="31"/>
        <v>5015.1760000000004</v>
      </c>
      <c r="L237" s="146">
        <f t="shared" si="32"/>
        <v>5015.1760000000004</v>
      </c>
      <c r="M237" s="146">
        <v>524.6</v>
      </c>
      <c r="N237" s="146">
        <f>+M237*1000/(25.4*20*15*60)*T237</f>
        <v>3.4422572178477688</v>
      </c>
      <c r="O237" s="14">
        <f>+SUM('1:30'!O237)</f>
        <v>0.5</v>
      </c>
      <c r="P237" s="146">
        <f t="shared" si="34"/>
        <v>34.907979002624671</v>
      </c>
      <c r="Q237" s="14">
        <f>+SUM('1:30'!Q237)</f>
        <v>10.5</v>
      </c>
      <c r="R237" s="19">
        <f t="shared" si="35"/>
        <v>42</v>
      </c>
      <c r="S237" s="146">
        <f t="shared" si="36"/>
        <v>7.0920209973753288</v>
      </c>
      <c r="T237" s="20">
        <v>3</v>
      </c>
      <c r="U237" s="14">
        <f>+SUM('1:30'!U237)</f>
        <v>4</v>
      </c>
      <c r="V237" s="143">
        <f t="array" ref="V237">IF(ISERROR(L237/K237),"",L237/K237)</f>
        <v>1</v>
      </c>
      <c r="W237" s="14">
        <f>+SUM('1:30'!W237)</f>
        <v>0</v>
      </c>
      <c r="X237" s="14">
        <f>+SUM('1:30'!X237)</f>
        <v>0</v>
      </c>
      <c r="Y237" s="14">
        <f>+SUM('1:30'!Y237)</f>
        <v>0</v>
      </c>
      <c r="Z237" s="14">
        <f>+SUM('1:30'!Z237)</f>
        <v>0</v>
      </c>
      <c r="AA237" s="14">
        <f>+SUM('1:30'!AA237)</f>
        <v>0</v>
      </c>
      <c r="AB237" s="14">
        <f>+SUM('1:30'!AB237)</f>
        <v>0</v>
      </c>
      <c r="AC237" s="14">
        <f>+SUM('1:30'!AC237)</f>
        <v>0</v>
      </c>
    </row>
    <row r="238" spans="1:29" s="132" customFormat="1" ht="21" customHeight="1">
      <c r="A238" s="126">
        <v>3000435</v>
      </c>
      <c r="B238" s="138" t="s">
        <v>43</v>
      </c>
      <c r="C238" s="261" t="s">
        <v>51</v>
      </c>
      <c r="D238" s="261"/>
      <c r="E238" s="42" t="s">
        <v>309</v>
      </c>
      <c r="F238" s="127"/>
      <c r="G238" s="14">
        <f>+SUM('1:30'!G238)</f>
        <v>10.44</v>
      </c>
      <c r="H238" s="14">
        <f>+SUM('1:30'!H238)</f>
        <v>0</v>
      </c>
      <c r="I238" s="14">
        <f>+SUM('1:30'!I238)</f>
        <v>9.6999999999999993</v>
      </c>
      <c r="J238" s="14">
        <f>+SUM('1:30'!J238)</f>
        <v>150</v>
      </c>
      <c r="K238" s="15">
        <f t="shared" si="31"/>
        <v>5476.8239999999996</v>
      </c>
      <c r="L238" s="15">
        <f t="shared" si="32"/>
        <v>5088.62</v>
      </c>
      <c r="M238" s="15">
        <v>524.6</v>
      </c>
      <c r="N238" s="15">
        <f>+M238*1000/(25.4*20*15*60)*T238</f>
        <v>3.4422572178477688</v>
      </c>
      <c r="O238" s="14">
        <f>+SUM('1:30'!O238)</f>
        <v>0.5</v>
      </c>
      <c r="P238" s="15">
        <f t="shared" si="34"/>
        <v>35.389895013123358</v>
      </c>
      <c r="Q238" s="14">
        <f>+SUM('1:30'!Q238)</f>
        <v>11</v>
      </c>
      <c r="R238" s="129">
        <f t="shared" si="35"/>
        <v>44</v>
      </c>
      <c r="S238" s="15">
        <f t="shared" si="36"/>
        <v>8.6101049868766424</v>
      </c>
      <c r="T238" s="130">
        <v>3</v>
      </c>
      <c r="U238" s="14">
        <f>+SUM('1:30'!U238)</f>
        <v>4</v>
      </c>
      <c r="V238" s="131"/>
      <c r="W238" s="14">
        <f>+SUM('1:30'!W238)</f>
        <v>0</v>
      </c>
      <c r="X238" s="14">
        <f>+SUM('1:30'!X238)</f>
        <v>0</v>
      </c>
      <c r="Y238" s="14">
        <f>+SUM('1:30'!Y238)</f>
        <v>0</v>
      </c>
      <c r="Z238" s="14">
        <f>+SUM('1:30'!Z238)</f>
        <v>0</v>
      </c>
      <c r="AA238" s="14">
        <f>+SUM('1:30'!AA238)</f>
        <v>0</v>
      </c>
      <c r="AB238" s="14">
        <f>+SUM('1:30'!AB238)</f>
        <v>0</v>
      </c>
      <c r="AC238" s="14">
        <f>+SUM('1:30'!AC238)</f>
        <v>0</v>
      </c>
    </row>
    <row r="239" spans="1:29" ht="21.95" customHeight="1">
      <c r="A239" s="142">
        <v>300276</v>
      </c>
      <c r="B239" s="135" t="s">
        <v>43</v>
      </c>
      <c r="C239" s="248" t="s">
        <v>53</v>
      </c>
      <c r="D239" s="248"/>
      <c r="E239" s="148" t="s">
        <v>41</v>
      </c>
      <c r="F239" s="13"/>
      <c r="G239" s="14">
        <f>+SUM('1:30'!G239)</f>
        <v>5.4</v>
      </c>
      <c r="H239" s="14">
        <f>+SUM('1:30'!H239)</f>
        <v>0.4</v>
      </c>
      <c r="I239" s="14">
        <f>+SUM('1:30'!I239)</f>
        <v>5.4</v>
      </c>
      <c r="J239" s="14">
        <f>+SUM('1:30'!J239)</f>
        <v>0</v>
      </c>
      <c r="K239" s="146">
        <f t="shared" si="31"/>
        <v>1436.4</v>
      </c>
      <c r="L239" s="146">
        <f t="shared" si="32"/>
        <v>1436.4</v>
      </c>
      <c r="M239" s="15">
        <v>266</v>
      </c>
      <c r="N239" s="146">
        <f>+M239*1000/(29.8*10*13*60)*T239</f>
        <v>3.4331440371708828</v>
      </c>
      <c r="O239" s="14">
        <f>+SUM('1:30'!O239)</f>
        <v>0.5</v>
      </c>
      <c r="P239" s="146">
        <f t="shared" si="34"/>
        <v>19.538977800722769</v>
      </c>
      <c r="Q239" s="14">
        <f>+SUM('1:30'!Q239)</f>
        <v>6</v>
      </c>
      <c r="R239" s="19">
        <f t="shared" si="35"/>
        <v>12</v>
      </c>
      <c r="S239" s="146">
        <f t="shared" si="36"/>
        <v>-7.538977800722769</v>
      </c>
      <c r="T239" s="20">
        <v>3</v>
      </c>
      <c r="U239" s="14">
        <f>+SUM('1:30'!U239)</f>
        <v>2</v>
      </c>
      <c r="V239" s="143">
        <f t="array" ref="V239">IF(ISERROR(L239/K239),"",L239/K239)</f>
        <v>1</v>
      </c>
      <c r="W239" s="14">
        <f>+SUM('1:30'!W239)</f>
        <v>0</v>
      </c>
      <c r="X239" s="14">
        <f>+SUM('1:30'!X239)</f>
        <v>0</v>
      </c>
      <c r="Y239" s="14">
        <f>+SUM('1:30'!Y239)</f>
        <v>0</v>
      </c>
      <c r="Z239" s="14">
        <f>+SUM('1:30'!Z239)</f>
        <v>0</v>
      </c>
      <c r="AA239" s="14">
        <f>+SUM('1:30'!AA239)</f>
        <v>0</v>
      </c>
      <c r="AB239" s="14">
        <f>+SUM('1:30'!AB239)</f>
        <v>0</v>
      </c>
      <c r="AC239" s="14">
        <f>+SUM('1:30'!AC239)</f>
        <v>0</v>
      </c>
    </row>
    <row r="240" spans="1:29" ht="21.95" customHeight="1">
      <c r="A240" s="142">
        <v>300277</v>
      </c>
      <c r="B240" s="135" t="s">
        <v>43</v>
      </c>
      <c r="C240" s="248" t="s">
        <v>53</v>
      </c>
      <c r="D240" s="248"/>
      <c r="E240" s="148" t="s">
        <v>39</v>
      </c>
      <c r="F240" s="13"/>
      <c r="G240" s="14">
        <f>+SUM('1:30'!G240)</f>
        <v>5.8</v>
      </c>
      <c r="H240" s="14">
        <f>+SUM('1:30'!H240)</f>
        <v>0</v>
      </c>
      <c r="I240" s="14">
        <f>+SUM('1:30'!I240)</f>
        <v>5.8</v>
      </c>
      <c r="J240" s="14">
        <f>+SUM('1:30'!J240)</f>
        <v>50</v>
      </c>
      <c r="K240" s="146">
        <f t="shared" si="31"/>
        <v>1542.8</v>
      </c>
      <c r="L240" s="146">
        <f t="shared" si="32"/>
        <v>1542.8</v>
      </c>
      <c r="M240" s="15">
        <v>266</v>
      </c>
      <c r="N240" s="146">
        <f>+M240*1000/(29.8*10*13*60)*T240</f>
        <v>3.4331440371708828</v>
      </c>
      <c r="O240" s="14">
        <f>+SUM('1:30'!O240)</f>
        <v>0</v>
      </c>
      <c r="P240" s="146">
        <f t="shared" si="34"/>
        <v>19.91223541559112</v>
      </c>
      <c r="Q240" s="14">
        <f>+SUM('1:30'!Q240)</f>
        <v>5.5</v>
      </c>
      <c r="R240" s="19">
        <f t="shared" si="35"/>
        <v>11</v>
      </c>
      <c r="S240" s="146">
        <f t="shared" si="36"/>
        <v>-8.9122354155911196</v>
      </c>
      <c r="T240" s="20">
        <v>3</v>
      </c>
      <c r="U240" s="14">
        <f>+SUM('1:30'!U240)</f>
        <v>2</v>
      </c>
      <c r="V240" s="143">
        <f t="array" ref="V240">IF(ISERROR(L240/K240),"",L240/K240)</f>
        <v>1</v>
      </c>
      <c r="W240" s="14">
        <f>+SUM('1:30'!W240)</f>
        <v>0</v>
      </c>
      <c r="X240" s="14">
        <f>+SUM('1:30'!X240)</f>
        <v>0</v>
      </c>
      <c r="Y240" s="14">
        <f>+SUM('1:30'!Y240)</f>
        <v>0</v>
      </c>
      <c r="Z240" s="14">
        <f>+SUM('1:30'!Z240)</f>
        <v>0</v>
      </c>
      <c r="AA240" s="14">
        <f>+SUM('1:30'!AA240)</f>
        <v>0</v>
      </c>
      <c r="AB240" s="14">
        <f>+SUM('1:30'!AB240)</f>
        <v>0</v>
      </c>
      <c r="AC240" s="14">
        <f>+SUM('1:30'!AC240)</f>
        <v>0</v>
      </c>
    </row>
    <row r="241" spans="1:29" ht="21.95" customHeight="1">
      <c r="A241" s="142">
        <v>300278</v>
      </c>
      <c r="B241" s="135" t="s">
        <v>43</v>
      </c>
      <c r="C241" s="248" t="s">
        <v>53</v>
      </c>
      <c r="D241" s="248"/>
      <c r="E241" s="148" t="s">
        <v>54</v>
      </c>
      <c r="F241" s="13"/>
      <c r="G241" s="14">
        <f>+SUM('1:30'!G241)</f>
        <v>3</v>
      </c>
      <c r="H241" s="14">
        <f>+SUM('1:30'!H241)</f>
        <v>0</v>
      </c>
      <c r="I241" s="14">
        <f>+SUM('1:30'!I241)</f>
        <v>2.68</v>
      </c>
      <c r="J241" s="14">
        <f>+SUM('1:30'!J241)</f>
        <v>80</v>
      </c>
      <c r="K241" s="146">
        <f t="shared" si="31"/>
        <v>798</v>
      </c>
      <c r="L241" s="146">
        <f t="shared" si="32"/>
        <v>712.88</v>
      </c>
      <c r="M241" s="15">
        <v>266</v>
      </c>
      <c r="N241" s="146">
        <f>+M241*1000/(29.8*10*13*60)*T241</f>
        <v>3.4331440371708828</v>
      </c>
      <c r="O241" s="14">
        <f>+SUM('1:30'!O241)</f>
        <v>0.5</v>
      </c>
      <c r="P241" s="146">
        <f t="shared" si="34"/>
        <v>10.200826019617967</v>
      </c>
      <c r="Q241" s="14">
        <f>+SUM('1:30'!Q241)</f>
        <v>3</v>
      </c>
      <c r="R241" s="19">
        <f t="shared" si="35"/>
        <v>6</v>
      </c>
      <c r="S241" s="146">
        <f t="shared" si="36"/>
        <v>-4.200826019617967</v>
      </c>
      <c r="T241" s="20">
        <v>3</v>
      </c>
      <c r="U241" s="14">
        <f>+SUM('1:30'!U241)</f>
        <v>2</v>
      </c>
      <c r="V241" s="143">
        <f t="array" ref="V241">IF(ISERROR(L241/K241),"",L241/K241)</f>
        <v>0.89333333333333331</v>
      </c>
      <c r="W241" s="14">
        <f>+SUM('1:30'!W241)</f>
        <v>0</v>
      </c>
      <c r="X241" s="14">
        <f>+SUM('1:30'!X241)</f>
        <v>0</v>
      </c>
      <c r="Y241" s="14">
        <f>+SUM('1:30'!Y241)</f>
        <v>0</v>
      </c>
      <c r="Z241" s="14">
        <f>+SUM('1:30'!Z241)</f>
        <v>0</v>
      </c>
      <c r="AA241" s="14">
        <f>+SUM('1:30'!AA241)</f>
        <v>0</v>
      </c>
      <c r="AB241" s="14">
        <f>+SUM('1:30'!AB241)</f>
        <v>0</v>
      </c>
      <c r="AC241" s="14">
        <f>+SUM('1:30'!AC241)</f>
        <v>0</v>
      </c>
    </row>
    <row r="242" spans="1:29" s="2" customFormat="1" ht="21" customHeight="1">
      <c r="A242" s="142">
        <v>300027</v>
      </c>
      <c r="B242" s="135" t="s">
        <v>55</v>
      </c>
      <c r="C242" s="248" t="s">
        <v>56</v>
      </c>
      <c r="D242" s="248"/>
      <c r="E242" s="148" t="s">
        <v>54</v>
      </c>
      <c r="F242" s="147"/>
      <c r="G242" s="14">
        <f>+SUM('1:30'!G242)</f>
        <v>4</v>
      </c>
      <c r="H242" s="14">
        <f>+SUM('1:30'!H242)</f>
        <v>0</v>
      </c>
      <c r="I242" s="14">
        <f>+SUM('1:30'!I242)</f>
        <v>4</v>
      </c>
      <c r="J242" s="14">
        <f>+SUM('1:30'!J242)</f>
        <v>0</v>
      </c>
      <c r="K242" s="146">
        <f t="shared" si="31"/>
        <v>2201.6</v>
      </c>
      <c r="L242" s="146">
        <f t="shared" si="32"/>
        <v>2201.6</v>
      </c>
      <c r="M242" s="146">
        <v>550.4</v>
      </c>
      <c r="N242" s="146">
        <f>+M242*1000/(31*20*15*60)*T242</f>
        <v>2.9591397849462364</v>
      </c>
      <c r="O242" s="14">
        <f>+SUM('1:30'!O242)</f>
        <v>0</v>
      </c>
      <c r="P242" s="146">
        <f t="shared" si="34"/>
        <v>11.836559139784946</v>
      </c>
      <c r="Q242" s="14">
        <f>+SUM('1:30'!Q242)</f>
        <v>7</v>
      </c>
      <c r="R242" s="19">
        <f t="shared" si="35"/>
        <v>28</v>
      </c>
      <c r="S242" s="146">
        <f t="shared" si="36"/>
        <v>16.163440860215054</v>
      </c>
      <c r="T242" s="20">
        <v>3</v>
      </c>
      <c r="U242" s="14">
        <f>+SUM('1:30'!U242)</f>
        <v>4</v>
      </c>
      <c r="V242" s="143">
        <f t="array" ref="V242">IF(ISERROR(L242/K242),"",L242/K242)</f>
        <v>1</v>
      </c>
      <c r="W242" s="14">
        <f>+SUM('1:30'!W242)</f>
        <v>0</v>
      </c>
      <c r="X242" s="14">
        <f>+SUM('1:30'!X242)</f>
        <v>0</v>
      </c>
      <c r="Y242" s="14">
        <f>+SUM('1:30'!Y242)</f>
        <v>0</v>
      </c>
      <c r="Z242" s="14">
        <f>+SUM('1:30'!Z242)</f>
        <v>0</v>
      </c>
      <c r="AA242" s="14">
        <f>+SUM('1:30'!AA242)</f>
        <v>0</v>
      </c>
      <c r="AB242" s="14">
        <f>+SUM('1:30'!AB242)</f>
        <v>0</v>
      </c>
      <c r="AC242" s="14">
        <f>+SUM('1:30'!AC242)</f>
        <v>0</v>
      </c>
    </row>
    <row r="243" spans="1:29" s="2" customFormat="1" ht="21.95" customHeight="1">
      <c r="A243" s="142">
        <v>300028</v>
      </c>
      <c r="B243" s="135" t="s">
        <v>55</v>
      </c>
      <c r="C243" s="248" t="s">
        <v>56</v>
      </c>
      <c r="D243" s="248"/>
      <c r="E243" s="148" t="s">
        <v>35</v>
      </c>
      <c r="F243" s="147"/>
      <c r="G243" s="14">
        <f>+SUM('1:30'!G243)</f>
        <v>6.06</v>
      </c>
      <c r="H243" s="14">
        <f>+SUM('1:30'!H243)</f>
        <v>0.06</v>
      </c>
      <c r="I243" s="14">
        <f>+SUM('1:30'!I243)</f>
        <v>6.06</v>
      </c>
      <c r="J243" s="14">
        <f>+SUM('1:30'!J243)</f>
        <v>0</v>
      </c>
      <c r="K243" s="146">
        <f t="shared" si="31"/>
        <v>3335.4239999999995</v>
      </c>
      <c r="L243" s="146">
        <f t="shared" si="32"/>
        <v>3335.4239999999995</v>
      </c>
      <c r="M243" s="146">
        <v>550.4</v>
      </c>
      <c r="N243" s="146">
        <f>+M243*1000/(31*20*15*60)*T243</f>
        <v>2.9591397849462364</v>
      </c>
      <c r="O243" s="14">
        <f>+SUM('1:30'!O243)</f>
        <v>0</v>
      </c>
      <c r="P243" s="146">
        <f t="shared" si="34"/>
        <v>17.932387096774193</v>
      </c>
      <c r="Q243" s="14">
        <f>+SUM('1:30'!Q243)</f>
        <v>7</v>
      </c>
      <c r="R243" s="19">
        <f t="shared" si="35"/>
        <v>21</v>
      </c>
      <c r="S243" s="146">
        <f t="shared" si="36"/>
        <v>3.0676129032258075</v>
      </c>
      <c r="T243" s="20">
        <v>3</v>
      </c>
      <c r="U243" s="14">
        <f>+SUM('1:30'!U243)</f>
        <v>3</v>
      </c>
      <c r="V243" s="143">
        <f t="array" ref="V243">IF(ISERROR(L243/K243),"",L243/K243)</f>
        <v>1</v>
      </c>
      <c r="W243" s="14">
        <f>+SUM('1:30'!W243)</f>
        <v>0</v>
      </c>
      <c r="X243" s="14">
        <f>+SUM('1:30'!X243)</f>
        <v>2.5</v>
      </c>
      <c r="Y243" s="14">
        <f>+SUM('1:30'!Y243)</f>
        <v>0</v>
      </c>
      <c r="Z243" s="14">
        <f>+SUM('1:30'!Z243)</f>
        <v>0</v>
      </c>
      <c r="AA243" s="14">
        <f>+SUM('1:30'!AA243)</f>
        <v>0</v>
      </c>
      <c r="AB243" s="14">
        <f>+SUM('1:30'!AB243)</f>
        <v>0</v>
      </c>
      <c r="AC243" s="14">
        <f>+SUM('1:30'!AC243)</f>
        <v>0</v>
      </c>
    </row>
    <row r="244" spans="1:29" s="2" customFormat="1" ht="21.95" customHeight="1">
      <c r="A244" s="142">
        <v>300029</v>
      </c>
      <c r="B244" s="135" t="s">
        <v>55</v>
      </c>
      <c r="C244" s="248" t="s">
        <v>56</v>
      </c>
      <c r="D244" s="248"/>
      <c r="E244" s="148" t="s">
        <v>57</v>
      </c>
      <c r="F244" s="147"/>
      <c r="G244" s="14">
        <f>+SUM('1:30'!G244)</f>
        <v>5</v>
      </c>
      <c r="H244" s="14">
        <f>+SUM('1:30'!H244)</f>
        <v>0</v>
      </c>
      <c r="I244" s="14">
        <f>+SUM('1:30'!I244)</f>
        <v>4.4000000000000004</v>
      </c>
      <c r="J244" s="14">
        <f>+SUM('1:30'!J244)</f>
        <v>300</v>
      </c>
      <c r="K244" s="146">
        <f t="shared" si="31"/>
        <v>2752</v>
      </c>
      <c r="L244" s="146">
        <f t="shared" si="32"/>
        <v>2421.7600000000002</v>
      </c>
      <c r="M244" s="146">
        <v>550.4</v>
      </c>
      <c r="N244" s="146">
        <f>+M244*1000/(31*20*15*60)*T244</f>
        <v>2.9591397849462364</v>
      </c>
      <c r="O244" s="14">
        <f>+SUM('1:30'!O244)</f>
        <v>0.5</v>
      </c>
      <c r="P244" s="146">
        <f t="shared" si="34"/>
        <v>14.520215053763442</v>
      </c>
      <c r="Q244" s="14">
        <f>+SUM('1:30'!Q244)</f>
        <v>4.5</v>
      </c>
      <c r="R244" s="19">
        <f t="shared" si="35"/>
        <v>13.5</v>
      </c>
      <c r="S244" s="146">
        <f t="shared" si="36"/>
        <v>-1.020215053763442</v>
      </c>
      <c r="T244" s="20">
        <v>3</v>
      </c>
      <c r="U244" s="14">
        <f>+SUM('1:30'!U244)</f>
        <v>3</v>
      </c>
      <c r="V244" s="143">
        <f t="array" ref="V244">IF(ISERROR(L244/K244),"",L244/K244)</f>
        <v>0.88000000000000012</v>
      </c>
      <c r="W244" s="14">
        <f>+SUM('1:30'!W244)</f>
        <v>0</v>
      </c>
      <c r="X244" s="14">
        <f>+SUM('1:30'!X244)</f>
        <v>0</v>
      </c>
      <c r="Y244" s="14">
        <f>+SUM('1:30'!Y244)</f>
        <v>0</v>
      </c>
      <c r="Z244" s="14">
        <f>+SUM('1:30'!Z244)</f>
        <v>0</v>
      </c>
      <c r="AA244" s="14">
        <f>+SUM('1:30'!AA244)</f>
        <v>0</v>
      </c>
      <c r="AB244" s="14">
        <f>+SUM('1:30'!AB244)</f>
        <v>0</v>
      </c>
      <c r="AC244" s="14">
        <f>+SUM('1:30'!AC244)</f>
        <v>0</v>
      </c>
    </row>
    <row r="245" spans="1:29" s="2" customFormat="1" ht="21.95" customHeight="1">
      <c r="A245" s="142">
        <v>300026</v>
      </c>
      <c r="B245" s="135" t="s">
        <v>55</v>
      </c>
      <c r="C245" s="248" t="s">
        <v>56</v>
      </c>
      <c r="D245" s="248"/>
      <c r="E245" s="148" t="s">
        <v>37</v>
      </c>
      <c r="F245" s="147"/>
      <c r="G245" s="14">
        <f>+SUM('1:30'!G245)</f>
        <v>7.6</v>
      </c>
      <c r="H245" s="14">
        <f>+SUM('1:30'!H245)</f>
        <v>0</v>
      </c>
      <c r="I245" s="14">
        <f>+SUM('1:30'!I245)</f>
        <v>7.6</v>
      </c>
      <c r="J245" s="14">
        <f>+SUM('1:30'!J245)</f>
        <v>200</v>
      </c>
      <c r="K245" s="146">
        <f t="shared" si="31"/>
        <v>4183.04</v>
      </c>
      <c r="L245" s="146">
        <f t="shared" si="32"/>
        <v>4183.04</v>
      </c>
      <c r="M245" s="146">
        <v>550.4</v>
      </c>
      <c r="N245" s="146">
        <f>+M245*1000/(31*20*15*60)*T245</f>
        <v>2.9591397849462364</v>
      </c>
      <c r="O245" s="14">
        <f>+SUM('1:30'!O245)</f>
        <v>0.5</v>
      </c>
      <c r="P245" s="146">
        <f t="shared" si="34"/>
        <v>24.489462365591397</v>
      </c>
      <c r="Q245" s="14">
        <f>+SUM('1:30'!Q245)</f>
        <v>4.5</v>
      </c>
      <c r="R245" s="19">
        <f t="shared" si="35"/>
        <v>18</v>
      </c>
      <c r="S245" s="146">
        <f t="shared" si="36"/>
        <v>-6.4894623655913968</v>
      </c>
      <c r="T245" s="20">
        <v>3</v>
      </c>
      <c r="U245" s="14">
        <f>+SUM('1:30'!U245)</f>
        <v>4</v>
      </c>
      <c r="V245" s="143">
        <f t="array" ref="V245">IF(ISERROR(L245/K245),"",L245/K245)</f>
        <v>1</v>
      </c>
      <c r="W245" s="14">
        <f>+SUM('1:30'!W245)</f>
        <v>0</v>
      </c>
      <c r="X245" s="14">
        <f>+SUM('1:30'!X245)</f>
        <v>0</v>
      </c>
      <c r="Y245" s="14">
        <f>+SUM('1:30'!Y245)</f>
        <v>0</v>
      </c>
      <c r="Z245" s="14">
        <f>+SUM('1:30'!Z245)</f>
        <v>0</v>
      </c>
      <c r="AA245" s="14">
        <f>+SUM('1:30'!AA245)</f>
        <v>0</v>
      </c>
      <c r="AB245" s="14">
        <f>+SUM('1:30'!AB245)</f>
        <v>0</v>
      </c>
      <c r="AC245" s="14">
        <f>+SUM('1:30'!AC245)</f>
        <v>0</v>
      </c>
    </row>
    <row r="246" spans="1:29" s="2" customFormat="1" ht="21.95" customHeight="1">
      <c r="A246" s="142">
        <v>300032</v>
      </c>
      <c r="B246" s="135">
        <v>3002</v>
      </c>
      <c r="C246" s="248" t="s">
        <v>58</v>
      </c>
      <c r="D246" s="248" t="s">
        <v>59</v>
      </c>
      <c r="E246" s="148" t="s">
        <v>35</v>
      </c>
      <c r="F246" s="147"/>
      <c r="G246" s="14">
        <f>+SUM('1:30'!G246)</f>
        <v>18.52</v>
      </c>
      <c r="H246" s="14">
        <f>+SUM('1:30'!H246)</f>
        <v>0.32</v>
      </c>
      <c r="I246" s="14">
        <f>+SUM('1:30'!I246)</f>
        <v>18.52</v>
      </c>
      <c r="J246" s="14">
        <f>+SUM('1:30'!J246)</f>
        <v>200</v>
      </c>
      <c r="K246" s="146">
        <f t="shared" si="31"/>
        <v>5291.1639999999998</v>
      </c>
      <c r="L246" s="146">
        <f t="shared" si="32"/>
        <v>5291.1639999999998</v>
      </c>
      <c r="M246" s="146">
        <v>285.7</v>
      </c>
      <c r="N246" s="146">
        <f>+M246*1000/(31*10*13*60)*T246</f>
        <v>7.0893300248138953</v>
      </c>
      <c r="O246" s="14">
        <f>+SUM('1:30'!O246)</f>
        <v>0</v>
      </c>
      <c r="P246" s="146">
        <f t="shared" si="34"/>
        <v>131.29439205955333</v>
      </c>
      <c r="Q246" s="14">
        <f>+SUM('1:30'!Q246)</f>
        <v>20.5</v>
      </c>
      <c r="R246" s="19">
        <f t="shared" si="35"/>
        <v>225.5</v>
      </c>
      <c r="S246" s="146">
        <f t="shared" si="36"/>
        <v>94.205607940446669</v>
      </c>
      <c r="T246" s="20">
        <v>6</v>
      </c>
      <c r="U246" s="14">
        <f>+SUM('1:30'!U246)</f>
        <v>11</v>
      </c>
      <c r="V246" s="143">
        <f t="array" ref="V246">IF(ISERROR(L246/K246),"",L246/K246)</f>
        <v>1</v>
      </c>
      <c r="W246" s="14">
        <f>+SUM('1:30'!W246)</f>
        <v>0</v>
      </c>
      <c r="X246" s="14">
        <f>+SUM('1:30'!X246)</f>
        <v>1.5</v>
      </c>
      <c r="Y246" s="14">
        <f>+SUM('1:30'!Y246)</f>
        <v>0</v>
      </c>
      <c r="Z246" s="14">
        <f>+SUM('1:30'!Z246)</f>
        <v>0</v>
      </c>
      <c r="AA246" s="14">
        <f>+SUM('1:30'!AA246)</f>
        <v>2</v>
      </c>
      <c r="AB246" s="14">
        <f>+SUM('1:30'!AB246)</f>
        <v>0</v>
      </c>
      <c r="AC246" s="14">
        <f>+SUM('1:30'!AC246)</f>
        <v>0</v>
      </c>
    </row>
    <row r="247" spans="1:29" ht="21.95" customHeight="1">
      <c r="A247" s="142">
        <v>300413</v>
      </c>
      <c r="B247" s="135">
        <v>3002</v>
      </c>
      <c r="C247" s="259" t="s">
        <v>304</v>
      </c>
      <c r="D247" s="260"/>
      <c r="E247" s="148" t="s">
        <v>302</v>
      </c>
      <c r="F247" s="13"/>
      <c r="G247" s="14">
        <f>+SUM('1:30'!G247)</f>
        <v>5</v>
      </c>
      <c r="H247" s="14">
        <f>+SUM('1:30'!H247)</f>
        <v>0</v>
      </c>
      <c r="I247" s="14">
        <f>+SUM('1:30'!I247)</f>
        <v>5</v>
      </c>
      <c r="J247" s="14">
        <f>+SUM('1:30'!J247)</f>
        <v>0</v>
      </c>
      <c r="K247" s="146">
        <f t="shared" si="31"/>
        <v>2644</v>
      </c>
      <c r="L247" s="146">
        <f t="shared" si="32"/>
        <v>2644</v>
      </c>
      <c r="M247" s="146">
        <v>528.79999999999995</v>
      </c>
      <c r="N247" s="146">
        <f>+M247*1000/(31*10*13*60)*T247</f>
        <v>6.5607940446650126</v>
      </c>
      <c r="O247" s="14">
        <f>+SUM('1:30'!O247)</f>
        <v>0</v>
      </c>
      <c r="P247" s="146">
        <f t="shared" si="34"/>
        <v>32.803970223325067</v>
      </c>
      <c r="Q247" s="14">
        <f>+SUM('1:30'!Q247)</f>
        <v>8</v>
      </c>
      <c r="R247" s="19">
        <f t="shared" si="35"/>
        <v>16</v>
      </c>
      <c r="S247" s="146">
        <f t="shared" si="36"/>
        <v>-16.803970223325067</v>
      </c>
      <c r="T247" s="20">
        <v>3</v>
      </c>
      <c r="U247" s="14">
        <f>+SUM('1:30'!U247)</f>
        <v>2</v>
      </c>
      <c r="V247" s="143"/>
      <c r="W247" s="14">
        <f>+SUM('1:30'!W247)</f>
        <v>0</v>
      </c>
      <c r="X247" s="14">
        <f>+SUM('1:30'!X247)</f>
        <v>0.66666666666666663</v>
      </c>
      <c r="Y247" s="14">
        <f>+SUM('1:30'!Y247)</f>
        <v>0</v>
      </c>
      <c r="Z247" s="14">
        <f>+SUM('1:30'!Z247)</f>
        <v>0</v>
      </c>
      <c r="AA247" s="14">
        <f>+SUM('1:30'!AA247)</f>
        <v>2</v>
      </c>
      <c r="AB247" s="14">
        <f>+SUM('1:30'!AB247)</f>
        <v>0</v>
      </c>
      <c r="AC247" s="14">
        <f>+SUM('1:30'!AC247)</f>
        <v>0</v>
      </c>
    </row>
    <row r="248" spans="1:29" ht="21.95" customHeight="1">
      <c r="A248" s="142">
        <v>300414</v>
      </c>
      <c r="B248" s="135">
        <v>3002</v>
      </c>
      <c r="C248" s="259" t="s">
        <v>304</v>
      </c>
      <c r="D248" s="260"/>
      <c r="E248" s="148" t="s">
        <v>299</v>
      </c>
      <c r="F248" s="13"/>
      <c r="G248" s="14">
        <f>+SUM('1:30'!G248)</f>
        <v>0</v>
      </c>
      <c r="H248" s="14">
        <f>+SUM('1:30'!H248)</f>
        <v>0</v>
      </c>
      <c r="I248" s="14">
        <f>+SUM('1:30'!I248)</f>
        <v>0</v>
      </c>
      <c r="J248" s="14">
        <f>+SUM('1:30'!J248)</f>
        <v>0</v>
      </c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">
        <f>+SUM('1:30'!O248)</f>
        <v>0</v>
      </c>
      <c r="P248" s="146">
        <f t="shared" si="34"/>
        <v>0</v>
      </c>
      <c r="Q248" s="14">
        <f>+SUM('1:30'!Q248)</f>
        <v>0</v>
      </c>
      <c r="R248" s="19">
        <f t="shared" si="35"/>
        <v>0</v>
      </c>
      <c r="S248" s="146">
        <f t="shared" si="36"/>
        <v>0</v>
      </c>
      <c r="T248" s="20">
        <v>3</v>
      </c>
      <c r="U248" s="14">
        <f>+SUM('1:30'!U248)</f>
        <v>0</v>
      </c>
      <c r="V248" s="143"/>
      <c r="W248" s="14">
        <f>+SUM('1:30'!W248)</f>
        <v>0</v>
      </c>
      <c r="X248" s="14">
        <f>+SUM('1:30'!X248)</f>
        <v>0</v>
      </c>
      <c r="Y248" s="14">
        <f>+SUM('1:30'!Y248)</f>
        <v>0</v>
      </c>
      <c r="Z248" s="14">
        <f>+SUM('1:30'!Z248)</f>
        <v>0</v>
      </c>
      <c r="AA248" s="14">
        <f>+SUM('1:30'!AA248)</f>
        <v>0</v>
      </c>
      <c r="AB248" s="14">
        <f>+SUM('1:30'!AB248)</f>
        <v>0</v>
      </c>
      <c r="AC248" s="14">
        <f>+SUM('1:30'!AC248)</f>
        <v>0</v>
      </c>
    </row>
    <row r="249" spans="1:29" ht="21.95" customHeight="1">
      <c r="A249" s="142">
        <v>300415</v>
      </c>
      <c r="B249" s="135">
        <v>3002</v>
      </c>
      <c r="C249" s="259" t="s">
        <v>304</v>
      </c>
      <c r="D249" s="260"/>
      <c r="E249" s="148" t="s">
        <v>303</v>
      </c>
      <c r="F249" s="13"/>
      <c r="G249" s="14">
        <f>+SUM('1:30'!G249)</f>
        <v>5</v>
      </c>
      <c r="H249" s="14">
        <f>+SUM('1:30'!H249)</f>
        <v>0</v>
      </c>
      <c r="I249" s="14">
        <f>+SUM('1:30'!I249)</f>
        <v>3</v>
      </c>
      <c r="J249" s="14">
        <f>+SUM('1:30'!J249)</f>
        <v>0</v>
      </c>
      <c r="K249" s="146">
        <f t="shared" si="31"/>
        <v>2644</v>
      </c>
      <c r="L249" s="146">
        <f t="shared" si="32"/>
        <v>1586.3999999999999</v>
      </c>
      <c r="M249" s="146">
        <v>528.79999999999995</v>
      </c>
      <c r="N249" s="146">
        <f>+M249*1000/(31*10*13*60)*T249</f>
        <v>6.5607940446650126</v>
      </c>
      <c r="O249" s="14">
        <f>+SUM('1:30'!O249)</f>
        <v>0.5</v>
      </c>
      <c r="P249" s="146">
        <f t="shared" si="34"/>
        <v>20.682382133995038</v>
      </c>
      <c r="Q249" s="14">
        <f>+SUM('1:30'!Q249)</f>
        <v>3.5</v>
      </c>
      <c r="R249" s="19">
        <f t="shared" si="35"/>
        <v>7</v>
      </c>
      <c r="S249" s="146">
        <f t="shared" si="36"/>
        <v>-13.682382133995038</v>
      </c>
      <c r="T249" s="20">
        <v>3</v>
      </c>
      <c r="U249" s="14">
        <f>+SUM('1:30'!U249)</f>
        <v>2</v>
      </c>
      <c r="V249" s="143"/>
      <c r="W249" s="14">
        <f>+SUM('1:30'!W249)</f>
        <v>0</v>
      </c>
      <c r="X249" s="14">
        <f>+SUM('1:30'!X249)</f>
        <v>0</v>
      </c>
      <c r="Y249" s="14">
        <f>+SUM('1:30'!Y249)</f>
        <v>0</v>
      </c>
      <c r="Z249" s="14">
        <f>+SUM('1:30'!Z249)</f>
        <v>0</v>
      </c>
      <c r="AA249" s="14">
        <f>+SUM('1:30'!AA249)</f>
        <v>0</v>
      </c>
      <c r="AB249" s="14">
        <f>+SUM('1:30'!AB249)</f>
        <v>0</v>
      </c>
      <c r="AC249" s="14">
        <f>+SUM('1:30'!AC249)</f>
        <v>0</v>
      </c>
    </row>
    <row r="250" spans="1:29" s="2" customFormat="1" ht="21.95" customHeight="1">
      <c r="A250" s="142">
        <v>300035</v>
      </c>
      <c r="B250" s="135" t="s">
        <v>60</v>
      </c>
      <c r="C250" s="248" t="s">
        <v>61</v>
      </c>
      <c r="D250" s="248" t="s">
        <v>62</v>
      </c>
      <c r="E250" s="148" t="s">
        <v>35</v>
      </c>
      <c r="F250" s="147"/>
      <c r="G250" s="14">
        <f>+SUM('1:30'!G250)</f>
        <v>0</v>
      </c>
      <c r="H250" s="14">
        <f>+SUM('1:30'!H250)</f>
        <v>0</v>
      </c>
      <c r="I250" s="14">
        <f>+SUM('1:30'!I250)</f>
        <v>0</v>
      </c>
      <c r="J250" s="14">
        <f>+SUM('1:30'!J250)</f>
        <v>0</v>
      </c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">
        <f>+SUM('1:30'!O250)</f>
        <v>0</v>
      </c>
      <c r="P250" s="146">
        <f t="shared" si="34"/>
        <v>0</v>
      </c>
      <c r="Q250" s="14">
        <f>+SUM('1:30'!Q250)</f>
        <v>0</v>
      </c>
      <c r="R250" s="19">
        <f t="shared" si="35"/>
        <v>0</v>
      </c>
      <c r="S250" s="146">
        <f t="shared" si="36"/>
        <v>0</v>
      </c>
      <c r="T250" s="20">
        <v>2</v>
      </c>
      <c r="U250" s="14">
        <f>+SUM('1:30'!U250)</f>
        <v>0</v>
      </c>
      <c r="V250" s="143" t="str">
        <f t="array" ref="V250">IF(ISERROR(L250/K250),"",L250/K250)</f>
        <v/>
      </c>
      <c r="W250" s="14">
        <f>+SUM('1:30'!W250)</f>
        <v>0</v>
      </c>
      <c r="X250" s="14">
        <f>+SUM('1:30'!X250)</f>
        <v>0</v>
      </c>
      <c r="Y250" s="14">
        <f>+SUM('1:30'!Y250)</f>
        <v>0</v>
      </c>
      <c r="Z250" s="14">
        <f>+SUM('1:30'!Z250)</f>
        <v>0</v>
      </c>
      <c r="AA250" s="14">
        <f>+SUM('1:30'!AA250)</f>
        <v>0</v>
      </c>
      <c r="AB250" s="14">
        <f>+SUM('1:30'!AB250)</f>
        <v>0</v>
      </c>
      <c r="AC250" s="14">
        <f>+SUM('1:30'!AC250)</f>
        <v>0</v>
      </c>
    </row>
    <row r="251" spans="1:29" s="2" customFormat="1" ht="21.95" customHeight="1">
      <c r="A251" s="142">
        <v>300036</v>
      </c>
      <c r="B251" s="135" t="s">
        <v>60</v>
      </c>
      <c r="C251" s="248" t="s">
        <v>61</v>
      </c>
      <c r="D251" s="248" t="s">
        <v>62</v>
      </c>
      <c r="E251" s="148" t="s">
        <v>63</v>
      </c>
      <c r="F251" s="147"/>
      <c r="G251" s="14">
        <f>+SUM('1:30'!G251)</f>
        <v>7</v>
      </c>
      <c r="H251" s="14">
        <f>+SUM('1:30'!H251)</f>
        <v>1</v>
      </c>
      <c r="I251" s="14">
        <f>+SUM('1:30'!I251)</f>
        <v>7</v>
      </c>
      <c r="J251" s="14">
        <f>+SUM('1:30'!J251)</f>
        <v>0</v>
      </c>
      <c r="K251" s="146">
        <f t="shared" si="31"/>
        <v>2568.5100000000002</v>
      </c>
      <c r="L251" s="146">
        <f t="shared" si="32"/>
        <v>2568.5100000000002</v>
      </c>
      <c r="M251" s="146">
        <v>366.93</v>
      </c>
      <c r="N251" s="146">
        <f>+M251*1000/(35.8*10*13*60)*T251</f>
        <v>2.6280618822518265</v>
      </c>
      <c r="O251" s="14">
        <f>+SUM('1:30'!O251)</f>
        <v>0</v>
      </c>
      <c r="P251" s="146">
        <f t="shared" si="34"/>
        <v>18.396433175762784</v>
      </c>
      <c r="Q251" s="14">
        <f>+SUM('1:30'!Q251)</f>
        <v>9</v>
      </c>
      <c r="R251" s="19">
        <f t="shared" si="35"/>
        <v>18</v>
      </c>
      <c r="S251" s="146">
        <f t="shared" si="36"/>
        <v>-0.39643317576278392</v>
      </c>
      <c r="T251" s="20">
        <v>2</v>
      </c>
      <c r="U251" s="14">
        <f>+SUM('1:30'!U251)</f>
        <v>2</v>
      </c>
      <c r="V251" s="143">
        <f t="array" ref="V251">IF(ISERROR(L251/K251),"",L251/K251)</f>
        <v>1</v>
      </c>
      <c r="W251" s="14">
        <f>+SUM('1:30'!W251)</f>
        <v>0</v>
      </c>
      <c r="X251" s="14">
        <f>+SUM('1:30'!X251)</f>
        <v>0</v>
      </c>
      <c r="Y251" s="14">
        <f>+SUM('1:30'!Y251)</f>
        <v>0</v>
      </c>
      <c r="Z251" s="14">
        <f>+SUM('1:30'!Z251)</f>
        <v>0</v>
      </c>
      <c r="AA251" s="14">
        <f>+SUM('1:30'!AA251)</f>
        <v>2</v>
      </c>
      <c r="AB251" s="14">
        <f>+SUM('1:30'!AB251)</f>
        <v>0</v>
      </c>
      <c r="AC251" s="14">
        <f>+SUM('1:30'!AC251)</f>
        <v>0</v>
      </c>
    </row>
    <row r="252" spans="1:29" s="2" customFormat="1" ht="21.95" customHeight="1">
      <c r="A252" s="142">
        <v>300037</v>
      </c>
      <c r="B252" s="135" t="s">
        <v>60</v>
      </c>
      <c r="C252" s="248" t="s">
        <v>61</v>
      </c>
      <c r="D252" s="248" t="s">
        <v>62</v>
      </c>
      <c r="E252" s="148" t="s">
        <v>37</v>
      </c>
      <c r="F252" s="147"/>
      <c r="G252" s="14">
        <f>+SUM('1:30'!G252)</f>
        <v>8</v>
      </c>
      <c r="H252" s="14">
        <f>+SUM('1:30'!H252)</f>
        <v>0</v>
      </c>
      <c r="I252" s="14">
        <f>+SUM('1:30'!I252)</f>
        <v>7.8</v>
      </c>
      <c r="J252" s="14">
        <f>+SUM('1:30'!J252)</f>
        <v>50</v>
      </c>
      <c r="K252" s="146">
        <f t="shared" si="31"/>
        <v>2935.44</v>
      </c>
      <c r="L252" s="146">
        <f t="shared" si="32"/>
        <v>2862.0540000000001</v>
      </c>
      <c r="M252" s="146">
        <v>366.93</v>
      </c>
      <c r="N252" s="146">
        <f>+M252*1000/(35.8*10*13*60)*T252</f>
        <v>2.6280618822518265</v>
      </c>
      <c r="O252" s="14">
        <f>+SUM('1:30'!O252)</f>
        <v>0</v>
      </c>
      <c r="P252" s="146">
        <f t="shared" si="34"/>
        <v>20.498882681564247</v>
      </c>
      <c r="Q252" s="14">
        <f>+SUM('1:30'!Q252)</f>
        <v>10</v>
      </c>
      <c r="R252" s="19">
        <f t="shared" si="35"/>
        <v>30</v>
      </c>
      <c r="S252" s="146">
        <f t="shared" si="36"/>
        <v>9.5011173184357531</v>
      </c>
      <c r="T252" s="20">
        <v>2</v>
      </c>
      <c r="U252" s="14">
        <f>+SUM('1:30'!U252)</f>
        <v>3</v>
      </c>
      <c r="V252" s="143">
        <f t="array" ref="V252">IF(ISERROR(L252/K252),"",L252/K252)</f>
        <v>0.97499999999999998</v>
      </c>
      <c r="W252" s="14">
        <f>+SUM('1:30'!W252)</f>
        <v>0</v>
      </c>
      <c r="X252" s="14">
        <f>+SUM('1:30'!X252)</f>
        <v>0</v>
      </c>
      <c r="Y252" s="14">
        <f>+SUM('1:30'!Y252)</f>
        <v>0</v>
      </c>
      <c r="Z252" s="14">
        <f>+SUM('1:30'!Z252)</f>
        <v>0</v>
      </c>
      <c r="AA252" s="14">
        <f>+SUM('1:30'!AA252)</f>
        <v>2</v>
      </c>
      <c r="AB252" s="14">
        <f>+SUM('1:30'!AB252)</f>
        <v>0</v>
      </c>
      <c r="AC252" s="14">
        <f>+SUM('1:30'!AC252)</f>
        <v>0</v>
      </c>
    </row>
    <row r="253" spans="1:29" s="2" customFormat="1" ht="21.95" customHeight="1">
      <c r="A253" s="142">
        <v>300038</v>
      </c>
      <c r="B253" s="135" t="s">
        <v>60</v>
      </c>
      <c r="C253" s="248" t="s">
        <v>64</v>
      </c>
      <c r="D253" s="248" t="s">
        <v>65</v>
      </c>
      <c r="E253" s="148" t="s">
        <v>35</v>
      </c>
      <c r="F253" s="147"/>
      <c r="G253" s="14">
        <f>+SUM('1:30'!G253)</f>
        <v>0</v>
      </c>
      <c r="H253" s="14">
        <f>+SUM('1:30'!H253)</f>
        <v>0</v>
      </c>
      <c r="I253" s="14">
        <f>+SUM('1:30'!I253)</f>
        <v>0</v>
      </c>
      <c r="J253" s="14">
        <f>+SUM('1:30'!J253)</f>
        <v>0</v>
      </c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">
        <f>+SUM('1:30'!O253)</f>
        <v>0</v>
      </c>
      <c r="P253" s="146">
        <f t="shared" si="34"/>
        <v>0</v>
      </c>
      <c r="Q253" s="14">
        <f>+SUM('1:30'!Q253)</f>
        <v>0</v>
      </c>
      <c r="R253" s="19">
        <f t="shared" si="35"/>
        <v>0</v>
      </c>
      <c r="S253" s="146">
        <f t="shared" si="36"/>
        <v>0</v>
      </c>
      <c r="T253" s="20">
        <v>5</v>
      </c>
      <c r="U253" s="14">
        <f>+SUM('1:30'!U253)</f>
        <v>0</v>
      </c>
      <c r="V253" s="143" t="str">
        <f t="array" ref="V253">IF(ISERROR(L253/K253),"",L253/K253)</f>
        <v/>
      </c>
      <c r="W253" s="14">
        <f>+SUM('1:30'!W253)</f>
        <v>0</v>
      </c>
      <c r="X253" s="14">
        <f>+SUM('1:30'!X253)</f>
        <v>0</v>
      </c>
      <c r="Y253" s="14">
        <f>+SUM('1:30'!Y253)</f>
        <v>0</v>
      </c>
      <c r="Z253" s="14">
        <f>+SUM('1:30'!Z253)</f>
        <v>0</v>
      </c>
      <c r="AA253" s="14">
        <f>+SUM('1:30'!AA253)</f>
        <v>0</v>
      </c>
      <c r="AB253" s="14">
        <f>+SUM('1:30'!AB253)</f>
        <v>0</v>
      </c>
      <c r="AC253" s="14">
        <f>+SUM('1:30'!AC253)</f>
        <v>0</v>
      </c>
    </row>
    <row r="254" spans="1:29" s="2" customFormat="1" ht="21.95" customHeight="1">
      <c r="A254" s="142">
        <v>300039</v>
      </c>
      <c r="B254" s="135" t="s">
        <v>60</v>
      </c>
      <c r="C254" s="248" t="s">
        <v>64</v>
      </c>
      <c r="D254" s="248" t="s">
        <v>65</v>
      </c>
      <c r="E254" s="148" t="s">
        <v>66</v>
      </c>
      <c r="F254" s="147"/>
      <c r="G254" s="14">
        <f>+SUM('1:30'!G254)</f>
        <v>0</v>
      </c>
      <c r="H254" s="14">
        <f>+SUM('1:30'!H254)</f>
        <v>0</v>
      </c>
      <c r="I254" s="14">
        <f>+SUM('1:30'!I254)</f>
        <v>0</v>
      </c>
      <c r="J254" s="14">
        <f>+SUM('1:30'!J254)</f>
        <v>0</v>
      </c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">
        <f>+SUM('1:30'!O254)</f>
        <v>0</v>
      </c>
      <c r="P254" s="146">
        <f t="shared" si="34"/>
        <v>0</v>
      </c>
      <c r="Q254" s="14">
        <f>+SUM('1:30'!Q254)</f>
        <v>0</v>
      </c>
      <c r="R254" s="19">
        <f t="shared" si="35"/>
        <v>0</v>
      </c>
      <c r="S254" s="146">
        <f t="shared" si="36"/>
        <v>0</v>
      </c>
      <c r="T254" s="20">
        <v>5</v>
      </c>
      <c r="U254" s="14">
        <f>+SUM('1:30'!U254)</f>
        <v>0</v>
      </c>
      <c r="V254" s="143" t="str">
        <f t="array" ref="V254">IF(ISERROR(L254/K254),"",L254/K254)</f>
        <v/>
      </c>
      <c r="W254" s="14">
        <f>+SUM('1:30'!W254)</f>
        <v>0</v>
      </c>
      <c r="X254" s="14">
        <f>+SUM('1:30'!X254)</f>
        <v>0</v>
      </c>
      <c r="Y254" s="14">
        <f>+SUM('1:30'!Y254)</f>
        <v>0</v>
      </c>
      <c r="Z254" s="14">
        <f>+SUM('1:30'!Z254)</f>
        <v>0</v>
      </c>
      <c r="AA254" s="14">
        <f>+SUM('1:30'!AA254)</f>
        <v>0</v>
      </c>
      <c r="AB254" s="14">
        <f>+SUM('1:30'!AB254)</f>
        <v>0</v>
      </c>
      <c r="AC254" s="14">
        <f>+SUM('1:30'!AC254)</f>
        <v>0</v>
      </c>
    </row>
    <row r="255" spans="1:29" s="2" customFormat="1" ht="21" customHeight="1">
      <c r="A255" s="142">
        <v>300416</v>
      </c>
      <c r="B255" s="135" t="s">
        <v>67</v>
      </c>
      <c r="C255" s="259" t="s">
        <v>68</v>
      </c>
      <c r="D255" s="260"/>
      <c r="E255" s="148" t="s">
        <v>69</v>
      </c>
      <c r="F255" s="147"/>
      <c r="G255" s="14">
        <f>+SUM('1:30'!G255)</f>
        <v>4</v>
      </c>
      <c r="H255" s="14">
        <f>+SUM('1:30'!H255)</f>
        <v>0</v>
      </c>
      <c r="I255" s="14">
        <f>+SUM('1:30'!I255)</f>
        <v>4</v>
      </c>
      <c r="J255" s="14">
        <f>+SUM('1:30'!J255)</f>
        <v>0</v>
      </c>
      <c r="K255" s="146">
        <f t="shared" si="31"/>
        <v>1542.4</v>
      </c>
      <c r="L255" s="146">
        <f t="shared" si="32"/>
        <v>1542.4</v>
      </c>
      <c r="M255" s="146">
        <v>385.6</v>
      </c>
      <c r="N255" s="146">
        <f>+M255*1000/(25.4*20*15*60)*T255</f>
        <v>2.5301837270341205</v>
      </c>
      <c r="O255" s="14">
        <f>+SUM('1:30'!O255)</f>
        <v>0</v>
      </c>
      <c r="P255" s="146">
        <f t="shared" si="34"/>
        <v>10.120734908136482</v>
      </c>
      <c r="Q255" s="14">
        <f>+SUM('1:30'!Q255)</f>
        <v>5.5</v>
      </c>
      <c r="R255" s="19">
        <f t="shared" si="35"/>
        <v>11</v>
      </c>
      <c r="S255" s="146">
        <f t="shared" si="36"/>
        <v>0.87926509186351787</v>
      </c>
      <c r="T255" s="20">
        <v>3</v>
      </c>
      <c r="U255" s="14">
        <f>+SUM('1:30'!U255)</f>
        <v>2</v>
      </c>
      <c r="V255" s="143"/>
      <c r="W255" s="14">
        <f>+SUM('1:30'!W255)</f>
        <v>0</v>
      </c>
      <c r="X255" s="14">
        <f>+SUM('1:30'!X255)</f>
        <v>0</v>
      </c>
      <c r="Y255" s="14">
        <f>+SUM('1:30'!Y255)</f>
        <v>0</v>
      </c>
      <c r="Z255" s="14">
        <f>+SUM('1:30'!Z255)</f>
        <v>0</v>
      </c>
      <c r="AA255" s="14">
        <f>+SUM('1:30'!AA255)</f>
        <v>0</v>
      </c>
      <c r="AB255" s="14">
        <f>+SUM('1:30'!AB255)</f>
        <v>0</v>
      </c>
      <c r="AC255" s="14">
        <f>+SUM('1:30'!AC255)</f>
        <v>0</v>
      </c>
    </row>
    <row r="256" spans="1:29" s="2" customFormat="1" ht="21" customHeight="1">
      <c r="A256" s="142">
        <v>300417</v>
      </c>
      <c r="B256" s="135" t="s">
        <v>67</v>
      </c>
      <c r="C256" s="259" t="s">
        <v>68</v>
      </c>
      <c r="D256" s="260"/>
      <c r="E256" s="148" t="s">
        <v>70</v>
      </c>
      <c r="F256" s="147"/>
      <c r="G256" s="14">
        <f>+SUM('1:30'!G256)</f>
        <v>4.26</v>
      </c>
      <c r="H256" s="14">
        <f>+SUM('1:30'!H256)</f>
        <v>0</v>
      </c>
      <c r="I256" s="14">
        <f>+SUM('1:30'!I256)</f>
        <v>4.2571428571428571</v>
      </c>
      <c r="J256" s="14">
        <f>+SUM('1:30'!J256)</f>
        <v>260</v>
      </c>
      <c r="K256" s="146">
        <f t="shared" si="31"/>
        <v>1642.6559999999999</v>
      </c>
      <c r="L256" s="146">
        <f t="shared" si="32"/>
        <v>1641.5542857142857</v>
      </c>
      <c r="M256" s="146">
        <v>385.6</v>
      </c>
      <c r="N256" s="146">
        <f>+M256*1000/(25.4*20*15*60)*T256</f>
        <v>2.5301837270341205</v>
      </c>
      <c r="O256" s="14">
        <f>+SUM('1:30'!O256)</f>
        <v>0.5</v>
      </c>
      <c r="P256" s="146">
        <f t="shared" si="34"/>
        <v>11.771353580802399</v>
      </c>
      <c r="Q256" s="14">
        <f>+SUM('1:30'!Q256)</f>
        <v>6</v>
      </c>
      <c r="R256" s="19">
        <f t="shared" si="35"/>
        <v>12</v>
      </c>
      <c r="S256" s="146">
        <f t="shared" si="36"/>
        <v>0.22864641919760054</v>
      </c>
      <c r="T256" s="20">
        <v>3</v>
      </c>
      <c r="U256" s="14">
        <f>+SUM('1:30'!U256)</f>
        <v>2</v>
      </c>
      <c r="V256" s="143"/>
      <c r="W256" s="14">
        <f>+SUM('1:30'!W256)</f>
        <v>0</v>
      </c>
      <c r="X256" s="14">
        <f>+SUM('1:30'!X256)</f>
        <v>0</v>
      </c>
      <c r="Y256" s="14">
        <f>+SUM('1:30'!Y256)</f>
        <v>0</v>
      </c>
      <c r="Z256" s="14">
        <f>+SUM('1:30'!Z256)</f>
        <v>0</v>
      </c>
      <c r="AA256" s="14">
        <f>+SUM('1:30'!AA256)</f>
        <v>0</v>
      </c>
      <c r="AB256" s="14">
        <f>+SUM('1:30'!AB256)</f>
        <v>0</v>
      </c>
      <c r="AC256" s="14">
        <f>+SUM('1:30'!AC256)</f>
        <v>0</v>
      </c>
    </row>
    <row r="257" spans="1:29" s="2" customFormat="1" ht="21" customHeight="1">
      <c r="A257" s="142">
        <v>300418</v>
      </c>
      <c r="B257" s="135" t="s">
        <v>67</v>
      </c>
      <c r="C257" s="259" t="s">
        <v>68</v>
      </c>
      <c r="D257" s="260"/>
      <c r="E257" s="148" t="s">
        <v>71</v>
      </c>
      <c r="F257" s="147"/>
      <c r="G257" s="14">
        <f>+SUM('1:30'!G257)</f>
        <v>3.09</v>
      </c>
      <c r="H257" s="14">
        <f>+SUM('1:30'!H257)</f>
        <v>8.5714285714285715E-2</v>
      </c>
      <c r="I257" s="14">
        <f>+SUM('1:30'!I257)</f>
        <v>3.0857142857142859</v>
      </c>
      <c r="J257" s="14">
        <f>+SUM('1:30'!J257)</f>
        <v>0</v>
      </c>
      <c r="K257" s="146">
        <f t="shared" si="31"/>
        <v>1191.5039999999999</v>
      </c>
      <c r="L257" s="146">
        <f t="shared" si="32"/>
        <v>1189.8514285714286</v>
      </c>
      <c r="M257" s="146">
        <v>385.6</v>
      </c>
      <c r="N257" s="146">
        <f>+M257*1000/(25.4*20*15*60)*T257</f>
        <v>2.5301837270341205</v>
      </c>
      <c r="O257" s="14">
        <f>+SUM('1:30'!O257)</f>
        <v>0</v>
      </c>
      <c r="P257" s="146">
        <f t="shared" si="34"/>
        <v>7.8074240719910009</v>
      </c>
      <c r="Q257" s="14">
        <f>+SUM('1:30'!Q257)</f>
        <v>5</v>
      </c>
      <c r="R257" s="19">
        <f t="shared" si="35"/>
        <v>10</v>
      </c>
      <c r="S257" s="146">
        <f t="shared" si="36"/>
        <v>2.1925759280089991</v>
      </c>
      <c r="T257" s="20">
        <v>3</v>
      </c>
      <c r="U257" s="14">
        <f>+SUM('1:30'!U257)</f>
        <v>2</v>
      </c>
      <c r="V257" s="143"/>
      <c r="W257" s="14">
        <f>+SUM('1:30'!W257)</f>
        <v>0</v>
      </c>
      <c r="X257" s="14">
        <f>+SUM('1:30'!X257)</f>
        <v>0.83333333333333337</v>
      </c>
      <c r="Y257" s="14">
        <f>+SUM('1:30'!Y257)</f>
        <v>0</v>
      </c>
      <c r="Z257" s="14">
        <f>+SUM('1:30'!Z257)</f>
        <v>0</v>
      </c>
      <c r="AA257" s="14">
        <f>+SUM('1:30'!AA257)</f>
        <v>0</v>
      </c>
      <c r="AB257" s="14">
        <f>+SUM('1:30'!AB257)</f>
        <v>0</v>
      </c>
      <c r="AC257" s="14">
        <f>+SUM('1:30'!AC257)</f>
        <v>0</v>
      </c>
    </row>
    <row r="258" spans="1:29" s="2" customFormat="1" ht="21" customHeight="1">
      <c r="A258" s="142">
        <v>300419</v>
      </c>
      <c r="B258" s="135" t="s">
        <v>67</v>
      </c>
      <c r="C258" s="259" t="s">
        <v>68</v>
      </c>
      <c r="D258" s="260"/>
      <c r="E258" s="148" t="s">
        <v>72</v>
      </c>
      <c r="F258" s="147"/>
      <c r="G258" s="14">
        <f>+SUM('1:30'!G258)</f>
        <v>6</v>
      </c>
      <c r="H258" s="14">
        <f>+SUM('1:30'!H258)</f>
        <v>0</v>
      </c>
      <c r="I258" s="14">
        <f>+SUM('1:30'!I258)</f>
        <v>5.5714285714285712</v>
      </c>
      <c r="J258" s="14">
        <f>+SUM('1:30'!J258)</f>
        <v>150</v>
      </c>
      <c r="K258" s="146">
        <f t="shared" si="31"/>
        <v>2313.6000000000004</v>
      </c>
      <c r="L258" s="146">
        <f t="shared" si="32"/>
        <v>2148.3428571428572</v>
      </c>
      <c r="M258" s="146">
        <v>385.6</v>
      </c>
      <c r="N258" s="146">
        <f>+M258*1000/(25.4*20*15*60)*T258</f>
        <v>2.5301837270341205</v>
      </c>
      <c r="O258" s="14">
        <f>+SUM('1:30'!O258)</f>
        <v>0.5</v>
      </c>
      <c r="P258" s="146">
        <f t="shared" si="34"/>
        <v>15.096737907761527</v>
      </c>
      <c r="Q258" s="14">
        <f>+SUM('1:30'!Q258)</f>
        <v>6.5</v>
      </c>
      <c r="R258" s="19">
        <f t="shared" si="35"/>
        <v>13</v>
      </c>
      <c r="S258" s="146">
        <f t="shared" si="36"/>
        <v>-2.0967379077615274</v>
      </c>
      <c r="T258" s="20">
        <v>3</v>
      </c>
      <c r="U258" s="14">
        <f>+SUM('1:30'!U258)</f>
        <v>2</v>
      </c>
      <c r="V258" s="143"/>
      <c r="W258" s="14">
        <f>+SUM('1:30'!W258)</f>
        <v>0</v>
      </c>
      <c r="X258" s="14">
        <f>+SUM('1:30'!X258)</f>
        <v>0</v>
      </c>
      <c r="Y258" s="14">
        <f>+SUM('1:30'!Y258)</f>
        <v>0</v>
      </c>
      <c r="Z258" s="14">
        <f>+SUM('1:30'!Z258)</f>
        <v>0</v>
      </c>
      <c r="AA258" s="14">
        <f>+SUM('1:30'!AA258)</f>
        <v>0</v>
      </c>
      <c r="AB258" s="14">
        <f>+SUM('1:30'!AB258)</f>
        <v>0</v>
      </c>
      <c r="AC258" s="14">
        <f>+SUM('1:30'!AC258)</f>
        <v>0</v>
      </c>
    </row>
    <row r="259" spans="1:29" s="2" customFormat="1" ht="21.95" customHeight="1">
      <c r="A259" s="142">
        <v>300260</v>
      </c>
      <c r="B259" s="135" t="s">
        <v>67</v>
      </c>
      <c r="C259" s="248" t="s">
        <v>73</v>
      </c>
      <c r="D259" s="248"/>
      <c r="E259" s="148" t="s">
        <v>74</v>
      </c>
      <c r="F259" s="147"/>
      <c r="G259" s="14">
        <f>+SUM('1:30'!G259)</f>
        <v>0</v>
      </c>
      <c r="H259" s="14">
        <f>+SUM('1:30'!H259)</f>
        <v>0</v>
      </c>
      <c r="I259" s="14">
        <f>+SUM('1:30'!I259)</f>
        <v>0</v>
      </c>
      <c r="J259" s="14">
        <f>+SUM('1:30'!J259)</f>
        <v>0</v>
      </c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">
        <f>+SUM('1:30'!O259)</f>
        <v>0</v>
      </c>
      <c r="P259" s="146">
        <f t="shared" si="34"/>
        <v>0</v>
      </c>
      <c r="Q259" s="14">
        <f>+SUM('1:30'!Q259)</f>
        <v>0</v>
      </c>
      <c r="R259" s="19">
        <f t="shared" si="35"/>
        <v>0</v>
      </c>
      <c r="S259" s="146">
        <f t="shared" si="36"/>
        <v>0</v>
      </c>
      <c r="T259" s="20">
        <v>2</v>
      </c>
      <c r="U259" s="14">
        <f>+SUM('1:30'!U259)</f>
        <v>0</v>
      </c>
      <c r="V259" s="143" t="str">
        <f t="array" ref="V259">IF(ISERROR(L259/K259),"",L259/K259)</f>
        <v/>
      </c>
      <c r="W259" s="14">
        <f>+SUM('1:30'!W259)</f>
        <v>0</v>
      </c>
      <c r="X259" s="14">
        <f>+SUM('1:30'!X259)</f>
        <v>0</v>
      </c>
      <c r="Y259" s="14">
        <f>+SUM('1:30'!Y259)</f>
        <v>0</v>
      </c>
      <c r="Z259" s="14">
        <f>+SUM('1:30'!Z259)</f>
        <v>0</v>
      </c>
      <c r="AA259" s="14">
        <f>+SUM('1:30'!AA259)</f>
        <v>0</v>
      </c>
      <c r="AB259" s="14">
        <f>+SUM('1:30'!AB259)</f>
        <v>0</v>
      </c>
      <c r="AC259" s="14">
        <f>+SUM('1:30'!AC259)</f>
        <v>0</v>
      </c>
    </row>
    <row r="260" spans="1:29" s="2" customFormat="1" ht="21.95" customHeight="1">
      <c r="A260" s="142">
        <v>300261</v>
      </c>
      <c r="B260" s="135" t="s">
        <v>67</v>
      </c>
      <c r="C260" s="248" t="s">
        <v>73</v>
      </c>
      <c r="D260" s="248"/>
      <c r="E260" s="148" t="s">
        <v>41</v>
      </c>
      <c r="F260" s="147"/>
      <c r="G260" s="14">
        <f>+SUM('1:30'!G260)</f>
        <v>0</v>
      </c>
      <c r="H260" s="14">
        <f>+SUM('1:30'!H260)</f>
        <v>0</v>
      </c>
      <c r="I260" s="14">
        <f>+SUM('1:30'!I260)</f>
        <v>0</v>
      </c>
      <c r="J260" s="14">
        <f>+SUM('1:30'!J260)</f>
        <v>0</v>
      </c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">
        <f>+SUM('1:30'!O260)</f>
        <v>0</v>
      </c>
      <c r="P260" s="146">
        <f t="shared" si="34"/>
        <v>0</v>
      </c>
      <c r="Q260" s="14">
        <f>+SUM('1:30'!Q260)</f>
        <v>0</v>
      </c>
      <c r="R260" s="19">
        <f t="shared" si="35"/>
        <v>0</v>
      </c>
      <c r="S260" s="146">
        <f t="shared" si="36"/>
        <v>0</v>
      </c>
      <c r="T260" s="20">
        <v>2</v>
      </c>
      <c r="U260" s="14">
        <f>+SUM('1:30'!U260)</f>
        <v>0</v>
      </c>
      <c r="V260" s="143" t="str">
        <f t="array" ref="V260">IF(ISERROR(L260/K260),"",L260/K260)</f>
        <v/>
      </c>
      <c r="W260" s="14">
        <f>+SUM('1:30'!W260)</f>
        <v>0</v>
      </c>
      <c r="X260" s="14">
        <f>+SUM('1:30'!X260)</f>
        <v>0</v>
      </c>
      <c r="Y260" s="14">
        <f>+SUM('1:30'!Y260)</f>
        <v>0</v>
      </c>
      <c r="Z260" s="14">
        <f>+SUM('1:30'!Z260)</f>
        <v>0</v>
      </c>
      <c r="AA260" s="14">
        <f>+SUM('1:30'!AA260)</f>
        <v>0</v>
      </c>
      <c r="AB260" s="14">
        <f>+SUM('1:30'!AB260)</f>
        <v>0</v>
      </c>
      <c r="AC260" s="14">
        <f>+SUM('1:30'!AC260)</f>
        <v>0</v>
      </c>
    </row>
    <row r="261" spans="1:29" s="2" customFormat="1" ht="21.95" customHeight="1">
      <c r="A261" s="142">
        <v>300262</v>
      </c>
      <c r="B261" s="135" t="s">
        <v>67</v>
      </c>
      <c r="C261" s="248" t="s">
        <v>73</v>
      </c>
      <c r="D261" s="248"/>
      <c r="E261" s="148" t="s">
        <v>39</v>
      </c>
      <c r="F261" s="147"/>
      <c r="G261" s="14">
        <f>+SUM('1:30'!G261)</f>
        <v>0</v>
      </c>
      <c r="H261" s="14">
        <f>+SUM('1:30'!H261)</f>
        <v>0</v>
      </c>
      <c r="I261" s="14">
        <f>+SUM('1:30'!I261)</f>
        <v>0</v>
      </c>
      <c r="J261" s="14">
        <f>+SUM('1:30'!J261)</f>
        <v>0</v>
      </c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">
        <f>+SUM('1:30'!O261)</f>
        <v>0</v>
      </c>
      <c r="P261" s="146">
        <f t="shared" si="34"/>
        <v>0</v>
      </c>
      <c r="Q261" s="14">
        <f>+SUM('1:30'!Q261)</f>
        <v>0</v>
      </c>
      <c r="R261" s="19">
        <f t="shared" si="35"/>
        <v>0</v>
      </c>
      <c r="S261" s="146">
        <f t="shared" si="36"/>
        <v>0</v>
      </c>
      <c r="T261" s="20">
        <v>2</v>
      </c>
      <c r="U261" s="14">
        <f>+SUM('1:30'!U261)</f>
        <v>0</v>
      </c>
      <c r="V261" s="143" t="str">
        <f t="array" ref="V261">IF(ISERROR(L261/K261),"",L261/K261)</f>
        <v/>
      </c>
      <c r="W261" s="14">
        <f>+SUM('1:30'!W261)</f>
        <v>0</v>
      </c>
      <c r="X261" s="14">
        <f>+SUM('1:30'!X261)</f>
        <v>0</v>
      </c>
      <c r="Y261" s="14">
        <f>+SUM('1:30'!Y261)</f>
        <v>0</v>
      </c>
      <c r="Z261" s="14">
        <f>+SUM('1:30'!Z261)</f>
        <v>0</v>
      </c>
      <c r="AA261" s="14">
        <f>+SUM('1:30'!AA261)</f>
        <v>0</v>
      </c>
      <c r="AB261" s="14">
        <f>+SUM('1:30'!AB261)</f>
        <v>0</v>
      </c>
      <c r="AC261" s="14">
        <f>+SUM('1:30'!AC261)</f>
        <v>0</v>
      </c>
    </row>
    <row r="262" spans="1:29" s="2" customFormat="1" ht="21.95" customHeight="1">
      <c r="A262" s="142">
        <v>300263</v>
      </c>
      <c r="B262" s="135" t="s">
        <v>67</v>
      </c>
      <c r="C262" s="248" t="s">
        <v>73</v>
      </c>
      <c r="D262" s="248"/>
      <c r="E262" s="148" t="s">
        <v>54</v>
      </c>
      <c r="F262" s="147"/>
      <c r="G262" s="14">
        <f>+SUM('1:30'!G262)</f>
        <v>0</v>
      </c>
      <c r="H262" s="14">
        <f>+SUM('1:30'!H262)</f>
        <v>0</v>
      </c>
      <c r="I262" s="14">
        <f>+SUM('1:30'!I262)</f>
        <v>0</v>
      </c>
      <c r="J262" s="14">
        <f>+SUM('1:30'!J262)</f>
        <v>0</v>
      </c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">
        <f>+SUM('1:30'!O262)</f>
        <v>0</v>
      </c>
      <c r="P262" s="146">
        <f t="shared" si="34"/>
        <v>0</v>
      </c>
      <c r="Q262" s="14">
        <f>+SUM('1:30'!Q262)</f>
        <v>0</v>
      </c>
      <c r="R262" s="19">
        <f t="shared" si="35"/>
        <v>0</v>
      </c>
      <c r="S262" s="146">
        <f t="shared" si="36"/>
        <v>0</v>
      </c>
      <c r="T262" s="20">
        <v>2</v>
      </c>
      <c r="U262" s="14">
        <f>+SUM('1:30'!U262)</f>
        <v>0</v>
      </c>
      <c r="V262" s="143" t="str">
        <f t="array" ref="V262">IF(ISERROR(L262/K262),"",L262/K262)</f>
        <v/>
      </c>
      <c r="W262" s="14">
        <f>+SUM('1:30'!W262)</f>
        <v>0</v>
      </c>
      <c r="X262" s="14">
        <f>+SUM('1:30'!X262)</f>
        <v>0</v>
      </c>
      <c r="Y262" s="14">
        <f>+SUM('1:30'!Y262)</f>
        <v>0</v>
      </c>
      <c r="Z262" s="14">
        <f>+SUM('1:30'!Z262)</f>
        <v>0</v>
      </c>
      <c r="AA262" s="14">
        <f>+SUM('1:30'!AA262)</f>
        <v>0</v>
      </c>
      <c r="AB262" s="14">
        <f>+SUM('1:30'!AB262)</f>
        <v>0</v>
      </c>
      <c r="AC262" s="14">
        <f>+SUM('1:30'!AC262)</f>
        <v>0</v>
      </c>
    </row>
    <row r="263" spans="1:29" s="2" customFormat="1" ht="21.95" customHeight="1">
      <c r="A263" s="142">
        <v>300051</v>
      </c>
      <c r="B263" s="135" t="s">
        <v>67</v>
      </c>
      <c r="C263" s="248" t="s">
        <v>75</v>
      </c>
      <c r="D263" s="248" t="s">
        <v>76</v>
      </c>
      <c r="E263" s="148" t="s">
        <v>40</v>
      </c>
      <c r="F263" s="147"/>
      <c r="G263" s="14">
        <f>+SUM('1:30'!G263)</f>
        <v>2.12</v>
      </c>
      <c r="H263" s="14">
        <f>+SUM('1:30'!H263)</f>
        <v>0.12</v>
      </c>
      <c r="I263" s="14">
        <f>+SUM('1:30'!I263)</f>
        <v>2.12</v>
      </c>
      <c r="J263" s="14">
        <f>+SUM('1:30'!J263)</f>
        <v>0</v>
      </c>
      <c r="K263" s="146">
        <f t="shared" si="31"/>
        <v>1157.308</v>
      </c>
      <c r="L263" s="146">
        <f t="shared" si="32"/>
        <v>1157.308</v>
      </c>
      <c r="M263" s="146">
        <v>545.9</v>
      </c>
      <c r="N263" s="146">
        <f>+M263*1000/(41.5*10*16*60)*T263</f>
        <v>2.7404618473895583</v>
      </c>
      <c r="O263" s="14">
        <f>+SUM('1:30'!O263)</f>
        <v>0</v>
      </c>
      <c r="P263" s="146">
        <f t="shared" si="34"/>
        <v>5.8097791164658643</v>
      </c>
      <c r="Q263" s="14">
        <f>+SUM('1:30'!Q263)</f>
        <v>4.5</v>
      </c>
      <c r="R263" s="19">
        <f t="shared" si="35"/>
        <v>9</v>
      </c>
      <c r="S263" s="146">
        <f t="shared" si="36"/>
        <v>3.1902208835341357</v>
      </c>
      <c r="T263" s="22">
        <v>2</v>
      </c>
      <c r="U263" s="14">
        <f>+SUM('1:30'!U263)</f>
        <v>2</v>
      </c>
      <c r="V263" s="143">
        <f t="array" ref="V263">IF(ISERROR(L263/K263),"",L263/K263)</f>
        <v>1</v>
      </c>
      <c r="W263" s="14">
        <f>+SUM('1:30'!W263)</f>
        <v>0</v>
      </c>
      <c r="X263" s="14">
        <f>+SUM('1:30'!X263)</f>
        <v>1.5</v>
      </c>
      <c r="Y263" s="14">
        <f>+SUM('1:30'!Y263)</f>
        <v>0</v>
      </c>
      <c r="Z263" s="14">
        <f>+SUM('1:30'!Z263)</f>
        <v>0</v>
      </c>
      <c r="AA263" s="14">
        <f>+SUM('1:30'!AA263)</f>
        <v>0</v>
      </c>
      <c r="AB263" s="14">
        <f>+SUM('1:30'!AB263)</f>
        <v>0</v>
      </c>
      <c r="AC263" s="14">
        <f>+SUM('1:30'!AC263)</f>
        <v>0</v>
      </c>
    </row>
    <row r="264" spans="1:29" s="2" customFormat="1" ht="21.95" customHeight="1">
      <c r="A264" s="142">
        <v>300052</v>
      </c>
      <c r="B264" s="135" t="s">
        <v>67</v>
      </c>
      <c r="C264" s="248" t="s">
        <v>75</v>
      </c>
      <c r="D264" s="248" t="s">
        <v>76</v>
      </c>
      <c r="E264" s="148" t="s">
        <v>39</v>
      </c>
      <c r="F264" s="147"/>
      <c r="G264" s="14">
        <f>+SUM('1:30'!G264)</f>
        <v>6</v>
      </c>
      <c r="H264" s="14">
        <f>+SUM('1:30'!H264)</f>
        <v>0</v>
      </c>
      <c r="I264" s="14">
        <f>+SUM('1:30'!I264)</f>
        <v>5.9</v>
      </c>
      <c r="J264" s="14">
        <f>+SUM('1:30'!J264)</f>
        <v>50</v>
      </c>
      <c r="K264" s="146">
        <f t="shared" si="31"/>
        <v>3275.3999999999996</v>
      </c>
      <c r="L264" s="146">
        <f t="shared" si="32"/>
        <v>3220.81</v>
      </c>
      <c r="M264" s="146">
        <v>545.9</v>
      </c>
      <c r="N264" s="146">
        <f>+M264*1000/(41.5*10*16*60)*T264</f>
        <v>2.7404618473895583</v>
      </c>
      <c r="O264" s="14">
        <f>+SUM('1:30'!O264)</f>
        <v>0.5</v>
      </c>
      <c r="P264" s="146">
        <f t="shared" si="34"/>
        <v>17.168724899598395</v>
      </c>
      <c r="Q264" s="14">
        <f>+SUM('1:30'!Q264)</f>
        <v>6.5</v>
      </c>
      <c r="R264" s="19">
        <f t="shared" si="35"/>
        <v>13</v>
      </c>
      <c r="S264" s="146">
        <f t="shared" si="36"/>
        <v>-4.168724899598395</v>
      </c>
      <c r="T264" s="20">
        <v>2</v>
      </c>
      <c r="U264" s="14">
        <f>+SUM('1:30'!U264)</f>
        <v>2</v>
      </c>
      <c r="V264" s="143">
        <f t="array" ref="V264">IF(ISERROR(L264/K264),"",L264/K264)</f>
        <v>0.98333333333333339</v>
      </c>
      <c r="W264" s="14">
        <f>+SUM('1:30'!W264)</f>
        <v>0</v>
      </c>
      <c r="X264" s="14">
        <f>+SUM('1:30'!X264)</f>
        <v>0</v>
      </c>
      <c r="Y264" s="14">
        <f>+SUM('1:30'!Y264)</f>
        <v>0</v>
      </c>
      <c r="Z264" s="14">
        <f>+SUM('1:30'!Z264)</f>
        <v>0</v>
      </c>
      <c r="AA264" s="14">
        <f>+SUM('1:30'!AA264)</f>
        <v>0</v>
      </c>
      <c r="AB264" s="14">
        <f>+SUM('1:30'!AB264)</f>
        <v>0</v>
      </c>
      <c r="AC264" s="14">
        <f>+SUM('1:30'!AC264)</f>
        <v>0</v>
      </c>
    </row>
    <row r="265" spans="1:29" s="2" customFormat="1" ht="21.95" customHeight="1">
      <c r="A265" s="142">
        <v>300054</v>
      </c>
      <c r="B265" s="135" t="s">
        <v>67</v>
      </c>
      <c r="C265" s="248" t="s">
        <v>75</v>
      </c>
      <c r="D265" s="248" t="s">
        <v>76</v>
      </c>
      <c r="E265" s="148" t="s">
        <v>38</v>
      </c>
      <c r="F265" s="147"/>
      <c r="G265" s="14">
        <f>+SUM('1:30'!G265)</f>
        <v>7.8000000000000007</v>
      </c>
      <c r="H265" s="14">
        <f>+SUM('1:30'!H265)</f>
        <v>0.4</v>
      </c>
      <c r="I265" s="14">
        <f>+SUM('1:30'!I265)</f>
        <v>7.1000000000000005</v>
      </c>
      <c r="J265" s="14">
        <f>+SUM('1:30'!J265)</f>
        <v>150</v>
      </c>
      <c r="K265" s="146">
        <f t="shared" si="31"/>
        <v>4258.0200000000004</v>
      </c>
      <c r="L265" s="146">
        <f t="shared" si="32"/>
        <v>3875.8900000000003</v>
      </c>
      <c r="M265" s="146">
        <v>545.9</v>
      </c>
      <c r="N265" s="146">
        <f>+M265*1000/(41.5*10*16*60)*T265</f>
        <v>2.7404618473895583</v>
      </c>
      <c r="O265" s="14">
        <f>+SUM('1:30'!O265)</f>
        <v>0.5</v>
      </c>
      <c r="P265" s="146">
        <f t="shared" si="34"/>
        <v>21.457279116465866</v>
      </c>
      <c r="Q265" s="14">
        <f>+SUM('1:30'!Q265)</f>
        <v>17.5</v>
      </c>
      <c r="R265" s="19">
        <f t="shared" si="35"/>
        <v>70</v>
      </c>
      <c r="S265" s="146">
        <f t="shared" si="36"/>
        <v>48.54272088353413</v>
      </c>
      <c r="T265" s="20">
        <v>2</v>
      </c>
      <c r="U265" s="14">
        <f>+SUM('1:30'!U265)</f>
        <v>4</v>
      </c>
      <c r="V265" s="143">
        <f t="array" ref="V265">IF(ISERROR(L265/K265),"",L265/K265)</f>
        <v>0.91025641025641024</v>
      </c>
      <c r="W265" s="14">
        <f>+SUM('1:30'!W265)</f>
        <v>0</v>
      </c>
      <c r="X265" s="14">
        <f>+SUM('1:30'!X265)</f>
        <v>2</v>
      </c>
      <c r="Y265" s="14">
        <f>+SUM('1:30'!Y265)</f>
        <v>0</v>
      </c>
      <c r="Z265" s="14">
        <f>+SUM('1:30'!Z265)</f>
        <v>0</v>
      </c>
      <c r="AA265" s="14">
        <f>+SUM('1:30'!AA265)</f>
        <v>2</v>
      </c>
      <c r="AB265" s="14">
        <f>+SUM('1:30'!AB265)</f>
        <v>0</v>
      </c>
      <c r="AC265" s="14">
        <f>+SUM('1:30'!AC265)</f>
        <v>0</v>
      </c>
    </row>
    <row r="266" spans="1:29" s="132" customFormat="1" ht="21.95" customHeight="1">
      <c r="A266" s="126">
        <v>300436</v>
      </c>
      <c r="B266" s="138" t="s">
        <v>67</v>
      </c>
      <c r="C266" s="261" t="s">
        <v>75</v>
      </c>
      <c r="D266" s="261" t="s">
        <v>76</v>
      </c>
      <c r="E266" s="42" t="s">
        <v>309</v>
      </c>
      <c r="F266" s="127"/>
      <c r="G266" s="14">
        <f>+SUM('1:30'!G266)</f>
        <v>5.6</v>
      </c>
      <c r="H266" s="14">
        <f>+SUM('1:30'!H266)</f>
        <v>0.6</v>
      </c>
      <c r="I266" s="14">
        <f>+SUM('1:30'!I266)</f>
        <v>5.6</v>
      </c>
      <c r="J266" s="14">
        <f>+SUM('1:30'!J266)</f>
        <v>0</v>
      </c>
      <c r="K266" s="15">
        <f t="shared" si="31"/>
        <v>3057.0399999999995</v>
      </c>
      <c r="L266" s="15">
        <f t="shared" si="32"/>
        <v>3057.0399999999995</v>
      </c>
      <c r="M266" s="15">
        <v>545.9</v>
      </c>
      <c r="N266" s="15">
        <f>+M266*1000/(41.5*10*16*60)*T266</f>
        <v>2.7404618473895583</v>
      </c>
      <c r="O266" s="14">
        <f>+SUM('1:30'!O266)</f>
        <v>0</v>
      </c>
      <c r="P266" s="15">
        <f t="shared" si="34"/>
        <v>15.346586345381526</v>
      </c>
      <c r="Q266" s="14">
        <f>+SUM('1:30'!Q266)</f>
        <v>2</v>
      </c>
      <c r="R266" s="129">
        <f t="shared" si="35"/>
        <v>4</v>
      </c>
      <c r="S266" s="15">
        <f t="shared" si="36"/>
        <v>-11.346586345381526</v>
      </c>
      <c r="T266" s="130">
        <v>2</v>
      </c>
      <c r="U266" s="14">
        <f>+SUM('1:30'!U266)</f>
        <v>2</v>
      </c>
      <c r="V266" s="131"/>
      <c r="W266" s="14">
        <f>+SUM('1:30'!W266)</f>
        <v>0</v>
      </c>
      <c r="X266" s="14">
        <f>+SUM('1:30'!X266)</f>
        <v>0</v>
      </c>
      <c r="Y266" s="14">
        <f>+SUM('1:30'!Y266)</f>
        <v>0</v>
      </c>
      <c r="Z266" s="14">
        <f>+SUM('1:30'!Z266)</f>
        <v>0</v>
      </c>
      <c r="AA266" s="14">
        <f>+SUM('1:30'!AA266)</f>
        <v>0</v>
      </c>
      <c r="AB266" s="14">
        <f>+SUM('1:30'!AB266)</f>
        <v>0</v>
      </c>
      <c r="AC266" s="14">
        <f>+SUM('1:30'!AC266)</f>
        <v>0</v>
      </c>
    </row>
    <row r="267" spans="1:29" s="2" customFormat="1" ht="21.95" customHeight="1">
      <c r="A267" s="142">
        <v>300050</v>
      </c>
      <c r="B267" s="135" t="s">
        <v>67</v>
      </c>
      <c r="C267" s="248" t="s">
        <v>77</v>
      </c>
      <c r="D267" s="248" t="s">
        <v>78</v>
      </c>
      <c r="E267" s="148" t="s">
        <v>79</v>
      </c>
      <c r="F267" s="147"/>
      <c r="G267" s="14">
        <f>+SUM('1:30'!G267)</f>
        <v>8.5</v>
      </c>
      <c r="H267" s="14">
        <f>+SUM('1:30'!H267)</f>
        <v>0</v>
      </c>
      <c r="I267" s="14">
        <f>+SUM('1:30'!I267)</f>
        <v>8.1428571428571423</v>
      </c>
      <c r="J267" s="14">
        <f>+SUM('1:30'!J267)</f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">
        <f>+SUM('1:30'!O267)</f>
        <v>0</v>
      </c>
      <c r="P267" s="146">
        <f t="shared" si="34"/>
        <v>46.045918367346935</v>
      </c>
      <c r="Q267" s="14">
        <f>+SUM('1:30'!Q267)</f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14">
        <f>+SUM('1:30'!U267)</f>
        <v>6</v>
      </c>
      <c r="V267" s="143">
        <f t="array" ref="V267">IF(ISERROR(L267/K267),"",L267/K267)</f>
        <v>0.95798319327731085</v>
      </c>
      <c r="W267" s="14">
        <f>+SUM('1:30'!W267)</f>
        <v>0</v>
      </c>
      <c r="X267" s="14">
        <f>+SUM('1:30'!X267)</f>
        <v>3</v>
      </c>
      <c r="Y267" s="14">
        <f>+SUM('1:30'!Y267)</f>
        <v>0</v>
      </c>
      <c r="Z267" s="14">
        <f>+SUM('1:30'!Z267)</f>
        <v>0</v>
      </c>
      <c r="AA267" s="14">
        <f>+SUM('1:30'!AA267)</f>
        <v>2</v>
      </c>
      <c r="AB267" s="14">
        <f>+SUM('1:30'!AB267)</f>
        <v>0</v>
      </c>
      <c r="AC267" s="14">
        <f>+SUM('1:30'!AC267)</f>
        <v>0</v>
      </c>
    </row>
    <row r="268" spans="1:29" s="2" customFormat="1" ht="21.95" customHeight="1">
      <c r="A268" s="142">
        <v>300045</v>
      </c>
      <c r="B268" s="135" t="s">
        <v>67</v>
      </c>
      <c r="C268" s="248" t="s">
        <v>77</v>
      </c>
      <c r="D268" s="248" t="s">
        <v>78</v>
      </c>
      <c r="E268" s="148" t="s">
        <v>35</v>
      </c>
      <c r="F268" s="147"/>
      <c r="G268" s="14">
        <f>+SUM('1:30'!G268)</f>
        <v>19.43</v>
      </c>
      <c r="H268" s="14">
        <f>+SUM('1:30'!H268)</f>
        <v>0.42857142857142855</v>
      </c>
      <c r="I268" s="14">
        <f>+SUM('1:30'!I268)</f>
        <v>18.571428571428569</v>
      </c>
      <c r="J268" s="14">
        <f>+SUM('1:30'!J268)</f>
        <v>300</v>
      </c>
      <c r="K268" s="146">
        <f t="shared" si="31"/>
        <v>7900.2380000000003</v>
      </c>
      <c r="L268" s="146">
        <f t="shared" si="32"/>
        <v>7551.1428571428569</v>
      </c>
      <c r="M268" s="146">
        <v>406.6</v>
      </c>
      <c r="N268" s="146">
        <f>+M268*1000/(45*10*13*60)*T268</f>
        <v>5.7920227920227916</v>
      </c>
      <c r="O268" s="14">
        <f>+SUM('1:30'!O268)</f>
        <v>0</v>
      </c>
      <c r="P268" s="146">
        <f t="shared" si="34"/>
        <v>107.56613756613754</v>
      </c>
      <c r="Q268" s="14">
        <f>+SUM('1:30'!Q268)</f>
        <v>22.5</v>
      </c>
      <c r="R268" s="19">
        <f t="shared" si="35"/>
        <v>225</v>
      </c>
      <c r="S268" s="146">
        <f t="shared" si="36"/>
        <v>117.43386243386246</v>
      </c>
      <c r="T268" s="20">
        <v>5</v>
      </c>
      <c r="U268" s="14">
        <f>+SUM('1:30'!U268)</f>
        <v>10</v>
      </c>
      <c r="V268" s="143">
        <f t="array" ref="V268">IF(ISERROR(L268/K268),"",L268/K268)</f>
        <v>0.95581207264171741</v>
      </c>
      <c r="W268" s="14">
        <f>+SUM('1:30'!W268)</f>
        <v>0</v>
      </c>
      <c r="X268" s="14">
        <f>+SUM('1:30'!X268)</f>
        <v>2.5</v>
      </c>
      <c r="Y268" s="14">
        <f>+SUM('1:30'!Y268)</f>
        <v>0</v>
      </c>
      <c r="Z268" s="14">
        <f>+SUM('1:30'!Z268)</f>
        <v>0</v>
      </c>
      <c r="AA268" s="14">
        <f>+SUM('1:30'!AA268)</f>
        <v>0</v>
      </c>
      <c r="AB268" s="14">
        <f>+SUM('1:30'!AB268)</f>
        <v>0</v>
      </c>
      <c r="AC268" s="14">
        <f>+SUM('1:30'!AC268)</f>
        <v>0</v>
      </c>
    </row>
    <row r="269" spans="1:29" s="2" customFormat="1" ht="21.95" customHeight="1">
      <c r="A269" s="142">
        <v>300422</v>
      </c>
      <c r="B269" s="135" t="s">
        <v>67</v>
      </c>
      <c r="C269" s="259" t="s">
        <v>301</v>
      </c>
      <c r="D269" s="260"/>
      <c r="E269" s="148" t="s">
        <v>54</v>
      </c>
      <c r="F269" s="147"/>
      <c r="G269" s="14">
        <f>+SUM('1:30'!G269)</f>
        <v>0</v>
      </c>
      <c r="H269" s="14">
        <f>+SUM('1:30'!H269)</f>
        <v>0</v>
      </c>
      <c r="I269" s="14">
        <f>+SUM('1:30'!I269)</f>
        <v>0</v>
      </c>
      <c r="J269" s="14">
        <f>+SUM('1:30'!J269)</f>
        <v>0</v>
      </c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">
        <f>+SUM('1:30'!O269)</f>
        <v>0</v>
      </c>
      <c r="P269" s="146">
        <f t="shared" si="34"/>
        <v>0</v>
      </c>
      <c r="Q269" s="14">
        <f>+SUM('1:30'!Q269)</f>
        <v>0</v>
      </c>
      <c r="R269" s="19">
        <f t="shared" si="35"/>
        <v>0</v>
      </c>
      <c r="S269" s="146">
        <f t="shared" si="36"/>
        <v>0</v>
      </c>
      <c r="T269" s="20">
        <v>3</v>
      </c>
      <c r="U269" s="14">
        <f>+SUM('1:30'!U269)</f>
        <v>0</v>
      </c>
      <c r="V269" s="143"/>
      <c r="W269" s="14">
        <f>+SUM('1:30'!W269)</f>
        <v>0</v>
      </c>
      <c r="X269" s="14">
        <f>+SUM('1:30'!X269)</f>
        <v>0</v>
      </c>
      <c r="Y269" s="14">
        <f>+SUM('1:30'!Y269)</f>
        <v>0</v>
      </c>
      <c r="Z269" s="14">
        <f>+SUM('1:30'!Z269)</f>
        <v>0</v>
      </c>
      <c r="AA269" s="14">
        <f>+SUM('1:30'!AA269)</f>
        <v>0</v>
      </c>
      <c r="AB269" s="14">
        <f>+SUM('1:30'!AB269)</f>
        <v>0</v>
      </c>
      <c r="AC269" s="14">
        <f>+SUM('1:30'!AC269)</f>
        <v>0</v>
      </c>
    </row>
    <row r="270" spans="1:29" s="2" customFormat="1" ht="21.95" customHeight="1">
      <c r="A270" s="142">
        <v>300421</v>
      </c>
      <c r="B270" s="135" t="s">
        <v>67</v>
      </c>
      <c r="C270" s="259" t="s">
        <v>301</v>
      </c>
      <c r="D270" s="260"/>
      <c r="E270" s="148" t="s">
        <v>80</v>
      </c>
      <c r="F270" s="147"/>
      <c r="G270" s="14">
        <f>+SUM('1:30'!G270)</f>
        <v>5</v>
      </c>
      <c r="H270" s="14">
        <f>+SUM('1:30'!H270)</f>
        <v>0</v>
      </c>
      <c r="I270" s="14">
        <f>+SUM('1:30'!I270)</f>
        <v>4.5714285714285712</v>
      </c>
      <c r="J270" s="14">
        <f>+SUM('1:30'!J270)</f>
        <v>150</v>
      </c>
      <c r="K270" s="146">
        <f t="shared" si="31"/>
        <v>2149</v>
      </c>
      <c r="L270" s="146">
        <f t="shared" si="32"/>
        <v>1964.8</v>
      </c>
      <c r="M270" s="146">
        <v>429.8</v>
      </c>
      <c r="N270" s="146">
        <f>+M270*1000/(45*10*13*60)*T270</f>
        <v>3.6735042735042738</v>
      </c>
      <c r="O270" s="14">
        <f>+SUM('1:30'!O270)</f>
        <v>0</v>
      </c>
      <c r="P270" s="146">
        <f t="shared" si="34"/>
        <v>16.793162393162394</v>
      </c>
      <c r="Q270" s="14">
        <f>+SUM('1:30'!Q270)</f>
        <v>4.5</v>
      </c>
      <c r="R270" s="19">
        <f t="shared" si="35"/>
        <v>18</v>
      </c>
      <c r="S270" s="146">
        <f t="shared" si="36"/>
        <v>1.2068376068376061</v>
      </c>
      <c r="T270" s="20">
        <v>3</v>
      </c>
      <c r="U270" s="14">
        <f>+SUM('1:30'!U270)</f>
        <v>4</v>
      </c>
      <c r="V270" s="143"/>
      <c r="W270" s="14">
        <f>+SUM('1:30'!W270)</f>
        <v>0</v>
      </c>
      <c r="X270" s="14">
        <f>+SUM('1:30'!X270)</f>
        <v>0</v>
      </c>
      <c r="Y270" s="14">
        <f>+SUM('1:30'!Y270)</f>
        <v>0</v>
      </c>
      <c r="Z270" s="14">
        <f>+SUM('1:30'!Z270)</f>
        <v>0</v>
      </c>
      <c r="AA270" s="14">
        <f>+SUM('1:30'!AA270)</f>
        <v>2</v>
      </c>
      <c r="AB270" s="14">
        <f>+SUM('1:30'!AB270)</f>
        <v>0</v>
      </c>
      <c r="AC270" s="14">
        <f>+SUM('1:30'!AC270)</f>
        <v>0</v>
      </c>
    </row>
    <row r="271" spans="1:29" s="2" customFormat="1" ht="21.95" customHeight="1">
      <c r="A271" s="142">
        <v>300149</v>
      </c>
      <c r="B271" s="135" t="s">
        <v>67</v>
      </c>
      <c r="C271" s="248" t="s">
        <v>81</v>
      </c>
      <c r="D271" s="248" t="s">
        <v>82</v>
      </c>
      <c r="E271" s="148" t="s">
        <v>80</v>
      </c>
      <c r="F271" s="147"/>
      <c r="G271" s="14">
        <f>+SUM('1:30'!G271)</f>
        <v>9.3000000000000007</v>
      </c>
      <c r="H271" s="14">
        <f>+SUM('1:30'!H271)</f>
        <v>1</v>
      </c>
      <c r="I271" s="14">
        <f>+SUM('1:30'!I271)</f>
        <v>9.3000000000000007</v>
      </c>
      <c r="J271" s="14">
        <f>+SUM('1:30'!J271)</f>
        <v>350</v>
      </c>
      <c r="K271" s="146">
        <f t="shared" si="31"/>
        <v>5478.630000000001</v>
      </c>
      <c r="L271" s="146">
        <f t="shared" si="32"/>
        <v>5478.630000000001</v>
      </c>
      <c r="M271" s="146">
        <v>589.1</v>
      </c>
      <c r="N271" s="146">
        <f>+M271*1000/(67.1*10*13*60)*T271</f>
        <v>3.3767052619511633</v>
      </c>
      <c r="O271" s="14">
        <f>+SUM('1:30'!O271)</f>
        <v>0</v>
      </c>
      <c r="P271" s="146">
        <f t="shared" si="34"/>
        <v>31.403358936145821</v>
      </c>
      <c r="Q271" s="14">
        <f>+SUM('1:30'!Q271)</f>
        <v>11.5</v>
      </c>
      <c r="R271" s="19">
        <f t="shared" si="35"/>
        <v>46</v>
      </c>
      <c r="S271" s="146">
        <f t="shared" si="36"/>
        <v>14.596641063854179</v>
      </c>
      <c r="T271" s="20">
        <v>3</v>
      </c>
      <c r="U271" s="14">
        <f>+SUM('1:30'!U271)</f>
        <v>4</v>
      </c>
      <c r="V271" s="143">
        <f t="array" ref="V271">IF(ISERROR(L271/K271),"",L271/K271)</f>
        <v>1</v>
      </c>
      <c r="W271" s="14">
        <f>+SUM('1:30'!W271)</f>
        <v>0</v>
      </c>
      <c r="X271" s="14">
        <f>+SUM('1:30'!X271)</f>
        <v>0</v>
      </c>
      <c r="Y271" s="14">
        <f>+SUM('1:30'!Y271)</f>
        <v>0</v>
      </c>
      <c r="Z271" s="14">
        <f>+SUM('1:30'!Z271)</f>
        <v>0</v>
      </c>
      <c r="AA271" s="14">
        <f>+SUM('1:30'!AA271)</f>
        <v>0</v>
      </c>
      <c r="AB271" s="14">
        <f>+SUM('1:30'!AB271)</f>
        <v>0</v>
      </c>
      <c r="AC271" s="14">
        <f>+SUM('1:30'!AC271)</f>
        <v>0</v>
      </c>
    </row>
    <row r="272" spans="1:29" s="2" customFormat="1" ht="21.95" customHeight="1">
      <c r="A272" s="142">
        <v>300150</v>
      </c>
      <c r="B272" s="135" t="s">
        <v>67</v>
      </c>
      <c r="C272" s="248" t="s">
        <v>81</v>
      </c>
      <c r="D272" s="248" t="s">
        <v>82</v>
      </c>
      <c r="E272" s="148" t="s">
        <v>54</v>
      </c>
      <c r="F272" s="147"/>
      <c r="G272" s="14">
        <f>+SUM('1:30'!G272)</f>
        <v>9</v>
      </c>
      <c r="H272" s="14">
        <f>+SUM('1:30'!H272)</f>
        <v>0.16</v>
      </c>
      <c r="I272" s="14">
        <f>+SUM('1:30'!I272)</f>
        <v>8.76</v>
      </c>
      <c r="J272" s="14">
        <f>+SUM('1:30'!J272)</f>
        <v>200</v>
      </c>
      <c r="K272" s="146">
        <f t="shared" si="31"/>
        <v>5301.9000000000005</v>
      </c>
      <c r="L272" s="146">
        <f t="shared" si="32"/>
        <v>5160.5159999999996</v>
      </c>
      <c r="M272" s="146">
        <v>589.1</v>
      </c>
      <c r="N272" s="146">
        <f>+M272*1000/(67.1*10*13*60)*T272</f>
        <v>3.3767052619511633</v>
      </c>
      <c r="O272" s="14">
        <f>+SUM('1:30'!O272)</f>
        <v>0</v>
      </c>
      <c r="P272" s="146">
        <f t="shared" si="34"/>
        <v>29.579938094692189</v>
      </c>
      <c r="Q272" s="14">
        <f>+SUM('1:30'!Q272)</f>
        <v>11.5</v>
      </c>
      <c r="R272" s="19">
        <f t="shared" si="35"/>
        <v>57.5</v>
      </c>
      <c r="S272" s="146">
        <f t="shared" si="36"/>
        <v>27.920061905307811</v>
      </c>
      <c r="T272" s="20">
        <v>3</v>
      </c>
      <c r="U272" s="14">
        <f>+SUM('1:30'!U272)</f>
        <v>5</v>
      </c>
      <c r="V272" s="143">
        <f t="array" ref="V272">IF(ISERROR(L272/K272),"",L272/K272)</f>
        <v>0.97333333333333316</v>
      </c>
      <c r="W272" s="14">
        <f>+SUM('1:30'!W272)</f>
        <v>0</v>
      </c>
      <c r="X272" s="14">
        <f>+SUM('1:30'!X272)</f>
        <v>0</v>
      </c>
      <c r="Y272" s="14">
        <f>+SUM('1:30'!Y272)</f>
        <v>0</v>
      </c>
      <c r="Z272" s="14">
        <f>+SUM('1:30'!Z272)</f>
        <v>0</v>
      </c>
      <c r="AA272" s="14">
        <f>+SUM('1:30'!AA272)</f>
        <v>0</v>
      </c>
      <c r="AB272" s="14">
        <f>+SUM('1:30'!AB272)</f>
        <v>0</v>
      </c>
      <c r="AC272" s="14">
        <f>+SUM('1:30'!AC272)</f>
        <v>0</v>
      </c>
    </row>
    <row r="273" spans="1:29" s="2" customFormat="1" ht="21.95" customHeight="1">
      <c r="A273" s="142">
        <v>300330</v>
      </c>
      <c r="B273" s="135" t="s">
        <v>67</v>
      </c>
      <c r="C273" s="259" t="s">
        <v>83</v>
      </c>
      <c r="D273" s="260"/>
      <c r="E273" s="148" t="s">
        <v>84</v>
      </c>
      <c r="F273" s="147"/>
      <c r="G273" s="14">
        <f>+SUM('1:30'!G273)</f>
        <v>0</v>
      </c>
      <c r="H273" s="14">
        <f>+SUM('1:30'!H273)</f>
        <v>0</v>
      </c>
      <c r="I273" s="14">
        <f>+SUM('1:30'!I273)</f>
        <v>0</v>
      </c>
      <c r="J273" s="14">
        <f>+SUM('1:30'!J273)</f>
        <v>0</v>
      </c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">
        <f>+SUM('1:30'!O273)</f>
        <v>0</v>
      </c>
      <c r="P273" s="146">
        <f t="shared" si="34"/>
        <v>0</v>
      </c>
      <c r="Q273" s="14">
        <f>+SUM('1:30'!Q273)</f>
        <v>0</v>
      </c>
      <c r="R273" s="19">
        <f t="shared" si="35"/>
        <v>0</v>
      </c>
      <c r="S273" s="146">
        <f t="shared" si="36"/>
        <v>0</v>
      </c>
      <c r="T273" s="20">
        <v>2</v>
      </c>
      <c r="U273" s="14">
        <f>+SUM('1:30'!U273)</f>
        <v>0</v>
      </c>
      <c r="V273" s="143" t="str">
        <f t="array" ref="V273">IF(ISERROR(L273/K273),"",L273/K273)</f>
        <v/>
      </c>
      <c r="W273" s="14">
        <f>+SUM('1:30'!W273)</f>
        <v>0</v>
      </c>
      <c r="X273" s="14">
        <f>+SUM('1:30'!X273)</f>
        <v>0</v>
      </c>
      <c r="Y273" s="14">
        <f>+SUM('1:30'!Y273)</f>
        <v>0</v>
      </c>
      <c r="Z273" s="14">
        <f>+SUM('1:30'!Z273)</f>
        <v>0</v>
      </c>
      <c r="AA273" s="14">
        <f>+SUM('1:30'!AA273)</f>
        <v>0</v>
      </c>
      <c r="AB273" s="14">
        <f>+SUM('1:30'!AB273)</f>
        <v>0</v>
      </c>
      <c r="AC273" s="14">
        <f>+SUM('1:30'!AC273)</f>
        <v>0</v>
      </c>
    </row>
    <row r="274" spans="1:29" s="2" customFormat="1" ht="21.95" customHeight="1">
      <c r="A274" s="142">
        <v>300331</v>
      </c>
      <c r="B274" s="135" t="s">
        <v>67</v>
      </c>
      <c r="C274" s="259" t="s">
        <v>83</v>
      </c>
      <c r="D274" s="260"/>
      <c r="E274" s="148" t="s">
        <v>49</v>
      </c>
      <c r="F274" s="147"/>
      <c r="G274" s="14">
        <f>+SUM('1:30'!G274)</f>
        <v>0</v>
      </c>
      <c r="H274" s="14">
        <f>+SUM('1:30'!H274)</f>
        <v>0</v>
      </c>
      <c r="I274" s="14">
        <f>+SUM('1:30'!I274)</f>
        <v>0</v>
      </c>
      <c r="J274" s="14">
        <f>+SUM('1:30'!J274)</f>
        <v>0</v>
      </c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">
        <f>+SUM('1:30'!O274)</f>
        <v>0</v>
      </c>
      <c r="P274" s="146">
        <f t="shared" si="34"/>
        <v>0</v>
      </c>
      <c r="Q274" s="14">
        <f>+SUM('1:30'!Q274)</f>
        <v>0</v>
      </c>
      <c r="R274" s="19">
        <f t="shared" si="35"/>
        <v>0</v>
      </c>
      <c r="S274" s="146">
        <f t="shared" si="36"/>
        <v>0</v>
      </c>
      <c r="T274" s="20">
        <v>2</v>
      </c>
      <c r="U274" s="14">
        <f>+SUM('1:30'!U274)</f>
        <v>0</v>
      </c>
      <c r="V274" s="143"/>
      <c r="W274" s="14">
        <f>+SUM('1:30'!W274)</f>
        <v>0</v>
      </c>
      <c r="X274" s="14">
        <f>+SUM('1:30'!X274)</f>
        <v>0</v>
      </c>
      <c r="Y274" s="14">
        <f>+SUM('1:30'!Y274)</f>
        <v>0</v>
      </c>
      <c r="Z274" s="14">
        <f>+SUM('1:30'!Z274)</f>
        <v>0</v>
      </c>
      <c r="AA274" s="14">
        <f>+SUM('1:30'!AA274)</f>
        <v>0</v>
      </c>
      <c r="AB274" s="14">
        <f>+SUM('1:30'!AB274)</f>
        <v>0</v>
      </c>
      <c r="AC274" s="14">
        <f>+SUM('1:30'!AC274)</f>
        <v>0</v>
      </c>
    </row>
    <row r="275" spans="1:29" s="2" customFormat="1" ht="21.95" customHeight="1">
      <c r="A275" s="142">
        <v>300332</v>
      </c>
      <c r="B275" s="135" t="s">
        <v>67</v>
      </c>
      <c r="C275" s="259" t="s">
        <v>83</v>
      </c>
      <c r="D275" s="260"/>
      <c r="E275" s="148" t="s">
        <v>85</v>
      </c>
      <c r="F275" s="147"/>
      <c r="G275" s="14">
        <f>+SUM('1:30'!G275)</f>
        <v>0</v>
      </c>
      <c r="H275" s="14">
        <f>+SUM('1:30'!H275)</f>
        <v>0</v>
      </c>
      <c r="I275" s="14">
        <f>+SUM('1:30'!I275)</f>
        <v>0</v>
      </c>
      <c r="J275" s="14">
        <f>+SUM('1:30'!J275)</f>
        <v>0</v>
      </c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">
        <f>+SUM('1:30'!O275)</f>
        <v>0</v>
      </c>
      <c r="P275" s="146">
        <f t="shared" si="34"/>
        <v>0</v>
      </c>
      <c r="Q275" s="14">
        <f>+SUM('1:30'!Q275)</f>
        <v>0</v>
      </c>
      <c r="R275" s="19">
        <f t="shared" si="35"/>
        <v>0</v>
      </c>
      <c r="S275" s="146">
        <f t="shared" si="36"/>
        <v>0</v>
      </c>
      <c r="T275" s="20">
        <v>2</v>
      </c>
      <c r="U275" s="14">
        <f>+SUM('1:30'!U275)</f>
        <v>0</v>
      </c>
      <c r="V275" s="143"/>
      <c r="W275" s="14">
        <f>+SUM('1:30'!W275)</f>
        <v>0</v>
      </c>
      <c r="X275" s="14">
        <f>+SUM('1:30'!X275)</f>
        <v>0</v>
      </c>
      <c r="Y275" s="14">
        <f>+SUM('1:30'!Y275)</f>
        <v>0</v>
      </c>
      <c r="Z275" s="14">
        <f>+SUM('1:30'!Z275)</f>
        <v>0</v>
      </c>
      <c r="AA275" s="14">
        <f>+SUM('1:30'!AA275)</f>
        <v>0</v>
      </c>
      <c r="AB275" s="14">
        <f>+SUM('1:30'!AB275)</f>
        <v>0</v>
      </c>
      <c r="AC275" s="14">
        <f>+SUM('1:30'!AC275)</f>
        <v>0</v>
      </c>
    </row>
    <row r="276" spans="1:29" s="2" customFormat="1" ht="21.95" customHeight="1">
      <c r="A276" s="142">
        <v>300333</v>
      </c>
      <c r="B276" s="135" t="s">
        <v>67</v>
      </c>
      <c r="C276" s="259" t="s">
        <v>86</v>
      </c>
      <c r="D276" s="260"/>
      <c r="E276" s="148" t="s">
        <v>84</v>
      </c>
      <c r="F276" s="147"/>
      <c r="G276" s="14">
        <f>+SUM('1:30'!G276)</f>
        <v>0</v>
      </c>
      <c r="H276" s="14">
        <f>+SUM('1:30'!H276)</f>
        <v>0</v>
      </c>
      <c r="I276" s="14">
        <f>+SUM('1:30'!I276)</f>
        <v>0</v>
      </c>
      <c r="J276" s="14">
        <f>+SUM('1:30'!J276)</f>
        <v>0</v>
      </c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">
        <f>+SUM('1:30'!O276)</f>
        <v>0</v>
      </c>
      <c r="P276" s="146">
        <f t="shared" si="34"/>
        <v>0</v>
      </c>
      <c r="Q276" s="14">
        <f>+SUM('1:30'!Q276)</f>
        <v>0</v>
      </c>
      <c r="R276" s="19">
        <f t="shared" si="35"/>
        <v>0</v>
      </c>
      <c r="S276" s="146">
        <f t="shared" si="36"/>
        <v>0</v>
      </c>
      <c r="T276" s="20">
        <v>2</v>
      </c>
      <c r="U276" s="14">
        <f>+SUM('1:30'!U276)</f>
        <v>0</v>
      </c>
      <c r="V276" s="143"/>
      <c r="W276" s="14">
        <f>+SUM('1:30'!W276)</f>
        <v>0</v>
      </c>
      <c r="X276" s="14">
        <f>+SUM('1:30'!X276)</f>
        <v>0</v>
      </c>
      <c r="Y276" s="14">
        <f>+SUM('1:30'!Y276)</f>
        <v>0</v>
      </c>
      <c r="Z276" s="14">
        <f>+SUM('1:30'!Z276)</f>
        <v>0</v>
      </c>
      <c r="AA276" s="14">
        <f>+SUM('1:30'!AA276)</f>
        <v>0</v>
      </c>
      <c r="AB276" s="14">
        <f>+SUM('1:30'!AB276)</f>
        <v>0</v>
      </c>
      <c r="AC276" s="14">
        <f>+SUM('1:30'!AC276)</f>
        <v>0</v>
      </c>
    </row>
    <row r="277" spans="1:29" s="2" customFormat="1" ht="21.95" customHeight="1">
      <c r="A277" s="142">
        <v>300334</v>
      </c>
      <c r="B277" s="135" t="s">
        <v>67</v>
      </c>
      <c r="C277" s="259" t="s">
        <v>86</v>
      </c>
      <c r="D277" s="260"/>
      <c r="E277" s="148" t="s">
        <v>85</v>
      </c>
      <c r="F277" s="147"/>
      <c r="G277" s="14">
        <f>+SUM('1:30'!G277)</f>
        <v>0</v>
      </c>
      <c r="H277" s="14">
        <f>+SUM('1:30'!H277)</f>
        <v>0</v>
      </c>
      <c r="I277" s="14">
        <f>+SUM('1:30'!I277)</f>
        <v>0</v>
      </c>
      <c r="J277" s="14">
        <f>+SUM('1:30'!J277)</f>
        <v>0</v>
      </c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">
        <f>+SUM('1:30'!O277)</f>
        <v>0</v>
      </c>
      <c r="P277" s="146">
        <f t="shared" si="34"/>
        <v>0</v>
      </c>
      <c r="Q277" s="14">
        <f>+SUM('1:30'!Q277)</f>
        <v>0</v>
      </c>
      <c r="R277" s="19">
        <f t="shared" si="35"/>
        <v>0</v>
      </c>
      <c r="S277" s="146">
        <f t="shared" si="36"/>
        <v>0</v>
      </c>
      <c r="T277" s="20">
        <v>2</v>
      </c>
      <c r="U277" s="14">
        <f>+SUM('1:30'!U277)</f>
        <v>0</v>
      </c>
      <c r="V277" s="143"/>
      <c r="W277" s="14">
        <f>+SUM('1:30'!W277)</f>
        <v>0</v>
      </c>
      <c r="X277" s="14">
        <f>+SUM('1:30'!X277)</f>
        <v>0</v>
      </c>
      <c r="Y277" s="14">
        <f>+SUM('1:30'!Y277)</f>
        <v>0</v>
      </c>
      <c r="Z277" s="14">
        <f>+SUM('1:30'!Z277)</f>
        <v>0</v>
      </c>
      <c r="AA277" s="14">
        <f>+SUM('1:30'!AA277)</f>
        <v>0</v>
      </c>
      <c r="AB277" s="14">
        <f>+SUM('1:30'!AB277)</f>
        <v>0</v>
      </c>
      <c r="AC277" s="14">
        <f>+SUM('1:30'!AC277)</f>
        <v>0</v>
      </c>
    </row>
    <row r="278" spans="1:29" s="2" customFormat="1" ht="21.95" customHeight="1">
      <c r="A278" s="142">
        <v>300335</v>
      </c>
      <c r="B278" s="135" t="s">
        <v>67</v>
      </c>
      <c r="C278" s="259" t="s">
        <v>86</v>
      </c>
      <c r="D278" s="260"/>
      <c r="E278" s="148" t="s">
        <v>49</v>
      </c>
      <c r="F278" s="147"/>
      <c r="G278" s="14">
        <f>+SUM('1:30'!G278)</f>
        <v>0</v>
      </c>
      <c r="H278" s="14">
        <f>+SUM('1:30'!H278)</f>
        <v>0</v>
      </c>
      <c r="I278" s="14">
        <f>+SUM('1:30'!I278)</f>
        <v>0</v>
      </c>
      <c r="J278" s="14">
        <f>+SUM('1:30'!J278)</f>
        <v>0</v>
      </c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">
        <f>+SUM('1:30'!O278)</f>
        <v>0</v>
      </c>
      <c r="P278" s="146">
        <f t="shared" si="34"/>
        <v>0</v>
      </c>
      <c r="Q278" s="14">
        <f>+SUM('1:30'!Q278)</f>
        <v>0</v>
      </c>
      <c r="R278" s="19">
        <f t="shared" si="35"/>
        <v>0</v>
      </c>
      <c r="S278" s="146">
        <f t="shared" si="36"/>
        <v>0</v>
      </c>
      <c r="T278" s="20">
        <v>2</v>
      </c>
      <c r="U278" s="14">
        <f>+SUM('1:30'!U278)</f>
        <v>0</v>
      </c>
      <c r="V278" s="143"/>
      <c r="W278" s="14">
        <f>+SUM('1:30'!W278)</f>
        <v>0</v>
      </c>
      <c r="X278" s="14">
        <f>+SUM('1:30'!X278)</f>
        <v>0</v>
      </c>
      <c r="Y278" s="14">
        <f>+SUM('1:30'!Y278)</f>
        <v>0</v>
      </c>
      <c r="Z278" s="14">
        <f>+SUM('1:30'!Z278)</f>
        <v>0</v>
      </c>
      <c r="AA278" s="14">
        <f>+SUM('1:30'!AA278)</f>
        <v>0</v>
      </c>
      <c r="AB278" s="14">
        <f>+SUM('1:30'!AB278)</f>
        <v>0</v>
      </c>
      <c r="AC278" s="14">
        <f>+SUM('1:30'!AC278)</f>
        <v>0</v>
      </c>
    </row>
    <row r="279" spans="1:29" s="2" customFormat="1" ht="21.95" customHeight="1">
      <c r="A279" s="142">
        <v>300291</v>
      </c>
      <c r="B279" s="135" t="s">
        <v>87</v>
      </c>
      <c r="C279" s="248" t="s">
        <v>88</v>
      </c>
      <c r="D279" s="248" t="s">
        <v>89</v>
      </c>
      <c r="E279" s="148" t="s">
        <v>42</v>
      </c>
      <c r="F279" s="147"/>
      <c r="G279" s="14">
        <f>+SUM('1:30'!G279)</f>
        <v>0</v>
      </c>
      <c r="H279" s="14">
        <f>+SUM('1:30'!H279)</f>
        <v>0</v>
      </c>
      <c r="I279" s="14">
        <f>+SUM('1:30'!I279)</f>
        <v>0</v>
      </c>
      <c r="J279" s="14">
        <f>+SUM('1:30'!J279)</f>
        <v>0</v>
      </c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">
        <f>+SUM('1:30'!O279)</f>
        <v>0</v>
      </c>
      <c r="P279" s="146">
        <f t="shared" si="34"/>
        <v>0</v>
      </c>
      <c r="Q279" s="14">
        <f>+SUM('1:30'!Q279)</f>
        <v>0</v>
      </c>
      <c r="R279" s="19">
        <f t="shared" si="35"/>
        <v>0</v>
      </c>
      <c r="S279" s="146">
        <f t="shared" si="36"/>
        <v>0</v>
      </c>
      <c r="T279" s="20">
        <v>4</v>
      </c>
      <c r="U279" s="14">
        <f>+SUM('1:30'!U279)</f>
        <v>0</v>
      </c>
      <c r="V279" s="143" t="str">
        <f t="array" ref="V279">IF(ISERROR(L279/K279),"",L279/K279)</f>
        <v/>
      </c>
      <c r="W279" s="14">
        <f>+SUM('1:30'!W279)</f>
        <v>0</v>
      </c>
      <c r="X279" s="14">
        <f>+SUM('1:30'!X279)</f>
        <v>0</v>
      </c>
      <c r="Y279" s="14">
        <f>+SUM('1:30'!Y279)</f>
        <v>0</v>
      </c>
      <c r="Z279" s="14">
        <f>+SUM('1:30'!Z279)</f>
        <v>0</v>
      </c>
      <c r="AA279" s="14">
        <f>+SUM('1:30'!AA279)</f>
        <v>0</v>
      </c>
      <c r="AB279" s="14">
        <f>+SUM('1:30'!AB279)</f>
        <v>0</v>
      </c>
      <c r="AC279" s="14">
        <f>+SUM('1:30'!AC279)</f>
        <v>0</v>
      </c>
    </row>
    <row r="280" spans="1:29" s="2" customFormat="1" ht="21.95" customHeight="1">
      <c r="A280" s="142">
        <v>300292</v>
      </c>
      <c r="B280" s="135" t="s">
        <v>87</v>
      </c>
      <c r="C280" s="248" t="s">
        <v>88</v>
      </c>
      <c r="D280" s="248" t="s">
        <v>89</v>
      </c>
      <c r="E280" s="148" t="s">
        <v>41</v>
      </c>
      <c r="F280" s="147"/>
      <c r="G280" s="14">
        <f>+SUM('1:30'!G280)</f>
        <v>0</v>
      </c>
      <c r="H280" s="14">
        <f>+SUM('1:30'!H280)</f>
        <v>0</v>
      </c>
      <c r="I280" s="14">
        <f>+SUM('1:30'!I280)</f>
        <v>0</v>
      </c>
      <c r="J280" s="14">
        <f>+SUM('1:30'!J280)</f>
        <v>0</v>
      </c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">
        <f>+SUM('1:30'!O280)</f>
        <v>0</v>
      </c>
      <c r="P280" s="146">
        <f t="shared" si="34"/>
        <v>0</v>
      </c>
      <c r="Q280" s="14">
        <f>+SUM('1:30'!Q280)</f>
        <v>0</v>
      </c>
      <c r="R280" s="19">
        <f t="shared" si="35"/>
        <v>0</v>
      </c>
      <c r="S280" s="146">
        <f t="shared" si="36"/>
        <v>0</v>
      </c>
      <c r="T280" s="20">
        <v>4</v>
      </c>
      <c r="U280" s="14">
        <f>+SUM('1:30'!U280)</f>
        <v>0</v>
      </c>
      <c r="V280" s="143" t="str">
        <f t="array" ref="V280">IF(ISERROR(L280/K280),"",L280/K280)</f>
        <v/>
      </c>
      <c r="W280" s="14">
        <f>+SUM('1:30'!W280)</f>
        <v>0</v>
      </c>
      <c r="X280" s="14">
        <f>+SUM('1:30'!X280)</f>
        <v>0</v>
      </c>
      <c r="Y280" s="14">
        <f>+SUM('1:30'!Y280)</f>
        <v>0</v>
      </c>
      <c r="Z280" s="14">
        <f>+SUM('1:30'!Z280)</f>
        <v>0</v>
      </c>
      <c r="AA280" s="14">
        <f>+SUM('1:30'!AA280)</f>
        <v>0</v>
      </c>
      <c r="AB280" s="14">
        <f>+SUM('1:30'!AB280)</f>
        <v>0</v>
      </c>
      <c r="AC280" s="14">
        <f>+SUM('1:30'!AC280)</f>
        <v>0</v>
      </c>
    </row>
    <row r="281" spans="1:29" s="2" customFormat="1" ht="21.95" customHeight="1">
      <c r="A281" s="142">
        <v>300293</v>
      </c>
      <c r="B281" s="135" t="s">
        <v>87</v>
      </c>
      <c r="C281" s="248" t="s">
        <v>88</v>
      </c>
      <c r="D281" s="248" t="s">
        <v>89</v>
      </c>
      <c r="E281" s="148" t="s">
        <v>57</v>
      </c>
      <c r="F281" s="147"/>
      <c r="G281" s="14">
        <f>+SUM('1:30'!G281)</f>
        <v>0</v>
      </c>
      <c r="H281" s="14">
        <f>+SUM('1:30'!H281)</f>
        <v>0</v>
      </c>
      <c r="I281" s="14">
        <f>+SUM('1:30'!I281)</f>
        <v>0</v>
      </c>
      <c r="J281" s="14">
        <f>+SUM('1:30'!J281)</f>
        <v>0</v>
      </c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">
        <f>+SUM('1:30'!O281)</f>
        <v>0</v>
      </c>
      <c r="P281" s="146">
        <f t="shared" si="34"/>
        <v>0</v>
      </c>
      <c r="Q281" s="14">
        <f>+SUM('1:30'!Q281)</f>
        <v>0</v>
      </c>
      <c r="R281" s="19">
        <f t="shared" si="35"/>
        <v>0</v>
      </c>
      <c r="S281" s="146">
        <f t="shared" si="36"/>
        <v>0</v>
      </c>
      <c r="T281" s="20">
        <v>4</v>
      </c>
      <c r="U281" s="14">
        <f>+SUM('1:30'!U281)</f>
        <v>0</v>
      </c>
      <c r="V281" s="143" t="str">
        <f t="array" ref="V281">IF(ISERROR(L281/K281),"",L281/K281)</f>
        <v/>
      </c>
      <c r="W281" s="14">
        <f>+SUM('1:30'!W281)</f>
        <v>0</v>
      </c>
      <c r="X281" s="14">
        <f>+SUM('1:30'!X281)</f>
        <v>0</v>
      </c>
      <c r="Y281" s="14">
        <f>+SUM('1:30'!Y281)</f>
        <v>0</v>
      </c>
      <c r="Z281" s="14">
        <f>+SUM('1:30'!Z281)</f>
        <v>0</v>
      </c>
      <c r="AA281" s="14">
        <f>+SUM('1:30'!AA281)</f>
        <v>0</v>
      </c>
      <c r="AB281" s="14">
        <f>+SUM('1:30'!AB281)</f>
        <v>0</v>
      </c>
      <c r="AC281" s="14">
        <f>+SUM('1:30'!AC281)</f>
        <v>0</v>
      </c>
    </row>
    <row r="282" spans="1:29" s="2" customFormat="1" ht="21.95" customHeight="1">
      <c r="A282" s="142">
        <v>300290</v>
      </c>
      <c r="B282" s="135" t="s">
        <v>87</v>
      </c>
      <c r="C282" s="248" t="s">
        <v>88</v>
      </c>
      <c r="D282" s="248" t="s">
        <v>89</v>
      </c>
      <c r="E282" s="148" t="s">
        <v>35</v>
      </c>
      <c r="F282" s="147"/>
      <c r="G282" s="14">
        <f>+SUM('1:30'!G282)</f>
        <v>0</v>
      </c>
      <c r="H282" s="14">
        <f>+SUM('1:30'!H282)</f>
        <v>0</v>
      </c>
      <c r="I282" s="14">
        <f>+SUM('1:30'!I282)</f>
        <v>0</v>
      </c>
      <c r="J282" s="14">
        <f>+SUM('1:30'!J282)</f>
        <v>0</v>
      </c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">
        <f>+SUM('1:30'!O282)</f>
        <v>0</v>
      </c>
      <c r="P282" s="146">
        <f t="shared" si="34"/>
        <v>0</v>
      </c>
      <c r="Q282" s="14">
        <f>+SUM('1:30'!Q282)</f>
        <v>0</v>
      </c>
      <c r="R282" s="19">
        <f t="shared" si="35"/>
        <v>0</v>
      </c>
      <c r="S282" s="146">
        <f t="shared" si="36"/>
        <v>0</v>
      </c>
      <c r="T282" s="20">
        <v>4</v>
      </c>
      <c r="U282" s="14">
        <f>+SUM('1:30'!U282)</f>
        <v>0</v>
      </c>
      <c r="V282" s="143" t="str">
        <f t="array" ref="V282">IF(ISERROR(L282/K282),"",L282/K282)</f>
        <v/>
      </c>
      <c r="W282" s="14">
        <f>+SUM('1:30'!W282)</f>
        <v>0</v>
      </c>
      <c r="X282" s="14">
        <f>+SUM('1:30'!X282)</f>
        <v>0</v>
      </c>
      <c r="Y282" s="14">
        <f>+SUM('1:30'!Y282)</f>
        <v>0</v>
      </c>
      <c r="Z282" s="14">
        <f>+SUM('1:30'!Z282)</f>
        <v>0</v>
      </c>
      <c r="AA282" s="14">
        <f>+SUM('1:30'!AA282)</f>
        <v>0</v>
      </c>
      <c r="AB282" s="14">
        <f>+SUM('1:30'!AB282)</f>
        <v>0</v>
      </c>
      <c r="AC282" s="14">
        <f>+SUM('1:30'!AC282)</f>
        <v>0</v>
      </c>
    </row>
    <row r="283" spans="1:29" s="2" customFormat="1" ht="21.95" customHeight="1">
      <c r="A283" s="142">
        <v>300389</v>
      </c>
      <c r="B283" s="135" t="s">
        <v>87</v>
      </c>
      <c r="C283" s="248" t="s">
        <v>316</v>
      </c>
      <c r="D283" s="248" t="s">
        <v>89</v>
      </c>
      <c r="E283" s="148" t="s">
        <v>35</v>
      </c>
      <c r="F283" s="147"/>
      <c r="G283" s="14">
        <f>+SUM('1:30'!G283)</f>
        <v>8.3800000000000008</v>
      </c>
      <c r="H283" s="14">
        <f>+SUM('1:30'!H283)</f>
        <v>0.375</v>
      </c>
      <c r="I283" s="14">
        <f>+SUM('1:30'!I283)</f>
        <v>8.375</v>
      </c>
      <c r="J283" s="14">
        <f>+SUM('1:30'!J283)</f>
        <v>0</v>
      </c>
      <c r="K283" s="146">
        <f t="shared" si="31"/>
        <v>3598.3720000000003</v>
      </c>
      <c r="L283" s="146">
        <f t="shared" si="32"/>
        <v>3596.2249999999999</v>
      </c>
      <c r="M283" s="146">
        <v>429.4</v>
      </c>
      <c r="N283" s="146">
        <f>+M283*1000/(47*1*110*60)*T283</f>
        <v>5.5370728562217923</v>
      </c>
      <c r="O283" s="14">
        <f>+SUM('1:30'!O283)</f>
        <v>0</v>
      </c>
      <c r="P283" s="146">
        <f t="shared" si="34"/>
        <v>46.372985170857511</v>
      </c>
      <c r="Q283" s="14">
        <f>+SUM('1:30'!Q283)</f>
        <v>10.5</v>
      </c>
      <c r="R283" s="19">
        <f t="shared" si="35"/>
        <v>52.5</v>
      </c>
      <c r="S283" s="146">
        <f t="shared" si="36"/>
        <v>6.1270148291424888</v>
      </c>
      <c r="T283" s="20">
        <v>4</v>
      </c>
      <c r="U283" s="14">
        <f>+SUM('1:30'!U283)</f>
        <v>5</v>
      </c>
      <c r="V283" s="143">
        <f t="array" ref="V283">IF(ISERROR(L283/K283),"",L283/K283)</f>
        <v>0.99940334128878272</v>
      </c>
      <c r="W283" s="14">
        <f>+SUM('1:30'!W283)</f>
        <v>0</v>
      </c>
      <c r="X283" s="14">
        <f>+SUM('1:30'!X283)</f>
        <v>0</v>
      </c>
      <c r="Y283" s="14">
        <f>+SUM('1:30'!Y283)</f>
        <v>0</v>
      </c>
      <c r="Z283" s="14">
        <f>+SUM('1:30'!Z283)</f>
        <v>0</v>
      </c>
      <c r="AA283" s="14">
        <f>+SUM('1:30'!AA283)</f>
        <v>0</v>
      </c>
      <c r="AB283" s="14">
        <f>+SUM('1:30'!AB283)</f>
        <v>0</v>
      </c>
      <c r="AC283" s="14">
        <f>+SUM('1:30'!AC283)</f>
        <v>0</v>
      </c>
    </row>
    <row r="284" spans="1:29" s="2" customFormat="1" ht="21.95" customHeight="1">
      <c r="A284" s="142">
        <v>300058</v>
      </c>
      <c r="B284" s="135" t="s">
        <v>87</v>
      </c>
      <c r="C284" s="248" t="s">
        <v>316</v>
      </c>
      <c r="D284" s="248" t="s">
        <v>89</v>
      </c>
      <c r="E284" s="148" t="s">
        <v>42</v>
      </c>
      <c r="F284" s="147"/>
      <c r="G284" s="14">
        <f>+SUM('1:30'!G284)</f>
        <v>0</v>
      </c>
      <c r="H284" s="14">
        <f>+SUM('1:30'!H284)</f>
        <v>0</v>
      </c>
      <c r="I284" s="14">
        <f>+SUM('1:30'!I284)</f>
        <v>0</v>
      </c>
      <c r="J284" s="14">
        <f>+SUM('1:30'!J284)</f>
        <v>0</v>
      </c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">
        <f>+SUM('1:30'!O284)</f>
        <v>0</v>
      </c>
      <c r="P284" s="146">
        <f t="shared" si="34"/>
        <v>0</v>
      </c>
      <c r="Q284" s="14">
        <f>+SUM('1:30'!Q284)</f>
        <v>0</v>
      </c>
      <c r="R284" s="19">
        <f t="shared" si="35"/>
        <v>0</v>
      </c>
      <c r="S284" s="146">
        <f t="shared" si="36"/>
        <v>0</v>
      </c>
      <c r="T284" s="20">
        <v>4</v>
      </c>
      <c r="U284" s="14">
        <f>+SUM('1:30'!U284)</f>
        <v>0</v>
      </c>
      <c r="V284" s="143" t="str">
        <f t="array" ref="V284">IF(ISERROR(L284/K284),"",L284/K284)</f>
        <v/>
      </c>
      <c r="W284" s="14">
        <f>+SUM('1:30'!W284)</f>
        <v>0</v>
      </c>
      <c r="X284" s="14">
        <f>+SUM('1:30'!X284)</f>
        <v>0</v>
      </c>
      <c r="Y284" s="14">
        <f>+SUM('1:30'!Y284)</f>
        <v>0</v>
      </c>
      <c r="Z284" s="14">
        <f>+SUM('1:30'!Z284)</f>
        <v>0</v>
      </c>
      <c r="AA284" s="14">
        <f>+SUM('1:30'!AA284)</f>
        <v>0</v>
      </c>
      <c r="AB284" s="14">
        <f>+SUM('1:30'!AB284)</f>
        <v>0</v>
      </c>
      <c r="AC284" s="14">
        <f>+SUM('1:30'!AC284)</f>
        <v>0</v>
      </c>
    </row>
    <row r="285" spans="1:29" s="2" customFormat="1" ht="21.95" customHeight="1">
      <c r="A285" s="142">
        <v>300061</v>
      </c>
      <c r="B285" s="135" t="s">
        <v>87</v>
      </c>
      <c r="C285" s="248" t="s">
        <v>317</v>
      </c>
      <c r="D285" s="248" t="s">
        <v>96</v>
      </c>
      <c r="E285" s="148" t="s">
        <v>41</v>
      </c>
      <c r="F285" s="147"/>
      <c r="G285" s="14">
        <f>+SUM('1:30'!G285)</f>
        <v>20</v>
      </c>
      <c r="H285" s="14">
        <f>+SUM('1:30'!H285)</f>
        <v>0.875</v>
      </c>
      <c r="I285" s="14">
        <f>+SUM('1:30'!I285)</f>
        <v>19.75</v>
      </c>
      <c r="J285" s="14">
        <f>+SUM('1:30'!J285)</f>
        <v>50</v>
      </c>
      <c r="K285" s="146">
        <f t="shared" si="31"/>
        <v>8368</v>
      </c>
      <c r="L285" s="146">
        <f t="shared" si="32"/>
        <v>8263.4</v>
      </c>
      <c r="M285" s="146">
        <v>418.4</v>
      </c>
      <c r="N285" s="146">
        <f>+M285*1000/(51*1*110*60)*T285</f>
        <v>4.9720736779560308</v>
      </c>
      <c r="O285" s="14">
        <f>+SUM('1:30'!O285)</f>
        <v>1</v>
      </c>
      <c r="P285" s="146">
        <f t="shared" si="34"/>
        <v>111.1984551396316</v>
      </c>
      <c r="Q285" s="14">
        <f>+SUM('1:30'!Q285)</f>
        <v>19.5</v>
      </c>
      <c r="R285" s="19">
        <f t="shared" si="35"/>
        <v>253.5</v>
      </c>
      <c r="S285" s="146">
        <f t="shared" si="36"/>
        <v>142.30154486036838</v>
      </c>
      <c r="T285" s="20">
        <v>4</v>
      </c>
      <c r="U285" s="14">
        <f>+SUM('1:30'!U285)</f>
        <v>13</v>
      </c>
      <c r="V285" s="143">
        <f t="array" ref="V285">IF(ISERROR(L285/K285),"",L285/K285)</f>
        <v>0.98749999999999993</v>
      </c>
      <c r="W285" s="14">
        <f>+SUM('1:30'!W285)</f>
        <v>0</v>
      </c>
      <c r="X285" s="14">
        <f>+SUM('1:30'!X285)</f>
        <v>2.3333333333333335</v>
      </c>
      <c r="Y285" s="14">
        <f>+SUM('1:30'!Y285)</f>
        <v>0</v>
      </c>
      <c r="Z285" s="14">
        <f>+SUM('1:30'!Z285)</f>
        <v>0</v>
      </c>
      <c r="AA285" s="14">
        <f>+SUM('1:30'!AA285)</f>
        <v>2</v>
      </c>
      <c r="AB285" s="14">
        <f>+SUM('1:30'!AB285)</f>
        <v>0</v>
      </c>
      <c r="AC285" s="14">
        <f>+SUM('1:30'!AC285)</f>
        <v>0</v>
      </c>
    </row>
    <row r="286" spans="1:29" s="2" customFormat="1" ht="21.95" customHeight="1">
      <c r="A286" s="142">
        <v>300064</v>
      </c>
      <c r="B286" s="135">
        <v>5002</v>
      </c>
      <c r="C286" s="248" t="s">
        <v>317</v>
      </c>
      <c r="D286" s="248" t="s">
        <v>96</v>
      </c>
      <c r="E286" s="148" t="s">
        <v>35</v>
      </c>
      <c r="F286" s="147"/>
      <c r="G286" s="14">
        <f>+SUM('1:30'!G286)</f>
        <v>22</v>
      </c>
      <c r="H286" s="14">
        <f>+SUM('1:30'!H286)</f>
        <v>0</v>
      </c>
      <c r="I286" s="14">
        <f>+SUM('1:30'!I286)</f>
        <v>22</v>
      </c>
      <c r="J286" s="14">
        <f>+SUM('1:30'!J286)</f>
        <v>0</v>
      </c>
      <c r="K286" s="146">
        <f t="shared" ref="K286:K362" si="38">G286*M286</f>
        <v>9222.4</v>
      </c>
      <c r="L286" s="146">
        <f t="shared" ref="L286:L362" si="39">I286*M286</f>
        <v>9222.4</v>
      </c>
      <c r="M286" s="146">
        <v>419.2</v>
      </c>
      <c r="N286" s="146">
        <f>+M286*1000/(51.9*1*110*60)*T286</f>
        <v>4.8951947217843168</v>
      </c>
      <c r="O286" s="14">
        <f>+SUM('1:30'!O286)</f>
        <v>0</v>
      </c>
      <c r="P286" s="146">
        <f t="shared" ref="P286:P362" si="40">N286*I286+O286*U286</f>
        <v>107.69428387925497</v>
      </c>
      <c r="Q286" s="14">
        <f>+SUM('1:30'!Q286)</f>
        <v>17.5</v>
      </c>
      <c r="R286" s="19">
        <f t="shared" ref="R286:R362" si="41">Q286*U286</f>
        <v>262.5</v>
      </c>
      <c r="S286" s="146">
        <f t="shared" ref="S286:S362" si="42">R286-P286</f>
        <v>154.80571612074505</v>
      </c>
      <c r="T286" s="20">
        <v>4</v>
      </c>
      <c r="U286" s="14">
        <f>+SUM('1:30'!U286)</f>
        <v>15</v>
      </c>
      <c r="V286" s="143">
        <f t="array" ref="V286">IF(ISERROR(L286/K286),"",L286/K286)</f>
        <v>1</v>
      </c>
      <c r="W286" s="14">
        <f>+SUM('1:30'!W286)</f>
        <v>0</v>
      </c>
      <c r="X286" s="14">
        <f>+SUM('1:30'!X286)</f>
        <v>0</v>
      </c>
      <c r="Y286" s="14">
        <f>+SUM('1:30'!Y286)</f>
        <v>0</v>
      </c>
      <c r="Z286" s="14">
        <f>+SUM('1:30'!Z286)</f>
        <v>0</v>
      </c>
      <c r="AA286" s="14">
        <f>+SUM('1:30'!AA286)</f>
        <v>0</v>
      </c>
      <c r="AB286" s="14">
        <f>+SUM('1:30'!AB286)</f>
        <v>0</v>
      </c>
      <c r="AC286" s="14">
        <f>+SUM('1:30'!AC286)</f>
        <v>0</v>
      </c>
    </row>
    <row r="287" spans="1:29" s="2" customFormat="1" ht="21.95" customHeight="1">
      <c r="A287" s="142">
        <v>300060</v>
      </c>
      <c r="B287" s="135" t="s">
        <v>87</v>
      </c>
      <c r="C287" s="248" t="s">
        <v>317</v>
      </c>
      <c r="D287" s="248" t="s">
        <v>96</v>
      </c>
      <c r="E287" s="148" t="s">
        <v>57</v>
      </c>
      <c r="F287" s="147"/>
      <c r="G287" s="14">
        <f>+SUM('1:30'!G287)</f>
        <v>4.88</v>
      </c>
      <c r="H287" s="14">
        <f>+SUM('1:30'!H287)</f>
        <v>0.875</v>
      </c>
      <c r="I287" s="14">
        <f>+SUM('1:30'!I287)</f>
        <v>4.875</v>
      </c>
      <c r="J287" s="14">
        <f>+SUM('1:30'!J287)</f>
        <v>0</v>
      </c>
      <c r="K287" s="146">
        <f t="shared" si="38"/>
        <v>2034.4719999999998</v>
      </c>
      <c r="L287" s="146">
        <f t="shared" si="39"/>
        <v>2032.3874999999998</v>
      </c>
      <c r="M287" s="146">
        <v>416.9</v>
      </c>
      <c r="N287" s="146">
        <f>+M287*1000/(51*1*110*60)*T287</f>
        <v>4.9542483660130721</v>
      </c>
      <c r="O287" s="14">
        <f>+SUM('1:30'!O287)</f>
        <v>0</v>
      </c>
      <c r="P287" s="146">
        <f t="shared" si="40"/>
        <v>24.151960784313726</v>
      </c>
      <c r="Q287" s="14">
        <f>+SUM('1:30'!Q287)</f>
        <v>6.5</v>
      </c>
      <c r="R287" s="19">
        <f t="shared" si="41"/>
        <v>26</v>
      </c>
      <c r="S287" s="146">
        <f t="shared" si="42"/>
        <v>1.8480392156862742</v>
      </c>
      <c r="T287" s="20">
        <v>4</v>
      </c>
      <c r="U287" s="14">
        <f>+SUM('1:30'!U287)</f>
        <v>4</v>
      </c>
      <c r="V287" s="143">
        <f t="array" ref="V287">IF(ISERROR(L287/K287),"",L287/K287)</f>
        <v>0.99897540983606559</v>
      </c>
      <c r="W287" s="14">
        <f>+SUM('1:30'!W287)</f>
        <v>0</v>
      </c>
      <c r="X287" s="14">
        <f>+SUM('1:30'!X287)</f>
        <v>0</v>
      </c>
      <c r="Y287" s="14">
        <f>+SUM('1:30'!Y287)</f>
        <v>0</v>
      </c>
      <c r="Z287" s="14">
        <f>+SUM('1:30'!Z287)</f>
        <v>0</v>
      </c>
      <c r="AA287" s="14">
        <f>+SUM('1:30'!AA287)</f>
        <v>0</v>
      </c>
      <c r="AB287" s="14">
        <f>+SUM('1:30'!AB287)</f>
        <v>0</v>
      </c>
      <c r="AC287" s="14">
        <f>+SUM('1:30'!AC287)</f>
        <v>0</v>
      </c>
    </row>
    <row r="288" spans="1:29" s="2" customFormat="1" ht="21.95" customHeight="1">
      <c r="A288" s="142">
        <v>300068</v>
      </c>
      <c r="B288" s="135" t="s">
        <v>87</v>
      </c>
      <c r="C288" s="248" t="s">
        <v>98</v>
      </c>
      <c r="D288" s="248" t="s">
        <v>99</v>
      </c>
      <c r="E288" s="148" t="s">
        <v>37</v>
      </c>
      <c r="F288" s="147"/>
      <c r="G288" s="14">
        <f>+SUM('1:30'!G288)</f>
        <v>1</v>
      </c>
      <c r="H288" s="14">
        <f>+SUM('1:30'!H288)</f>
        <v>0</v>
      </c>
      <c r="I288" s="14">
        <f>+SUM('1:30'!I288)</f>
        <v>1</v>
      </c>
      <c r="J288" s="14">
        <f>+SUM('1:30'!J288)</f>
        <v>0</v>
      </c>
      <c r="K288" s="146">
        <f t="shared" si="38"/>
        <v>438.4</v>
      </c>
      <c r="L288" s="146">
        <f t="shared" si="39"/>
        <v>438.4</v>
      </c>
      <c r="M288" s="146">
        <v>438.4</v>
      </c>
      <c r="N288" s="146">
        <f>+M288*1000/(50*1*120*60)*T288</f>
        <v>4.8711111111111114</v>
      </c>
      <c r="O288" s="14">
        <f>+SUM('1:30'!O288)</f>
        <v>0.5</v>
      </c>
      <c r="P288" s="146">
        <f t="shared" si="40"/>
        <v>7.3711111111111114</v>
      </c>
      <c r="Q288" s="14">
        <f>+SUM('1:30'!Q288)</f>
        <v>1</v>
      </c>
      <c r="R288" s="19">
        <f t="shared" si="41"/>
        <v>5</v>
      </c>
      <c r="S288" s="146">
        <f t="shared" si="42"/>
        <v>-2.3711111111111114</v>
      </c>
      <c r="T288" s="20">
        <v>4</v>
      </c>
      <c r="U288" s="14">
        <f>+SUM('1:30'!U288)</f>
        <v>5</v>
      </c>
      <c r="V288" s="143">
        <f t="array" ref="V288">IF(ISERROR(L288/K288),"",L288/K288)</f>
        <v>1</v>
      </c>
      <c r="W288" s="14">
        <f>+SUM('1:30'!W288)</f>
        <v>0</v>
      </c>
      <c r="X288" s="14">
        <f>+SUM('1:30'!X288)</f>
        <v>0</v>
      </c>
      <c r="Y288" s="14">
        <f>+SUM('1:30'!Y288)</f>
        <v>0</v>
      </c>
      <c r="Z288" s="14">
        <f>+SUM('1:30'!Z288)</f>
        <v>0</v>
      </c>
      <c r="AA288" s="14">
        <f>+SUM('1:30'!AA288)</f>
        <v>0</v>
      </c>
      <c r="AB288" s="14">
        <f>+SUM('1:30'!AB288)</f>
        <v>0</v>
      </c>
      <c r="AC288" s="14">
        <f>+SUM('1:30'!AC288)</f>
        <v>0</v>
      </c>
    </row>
    <row r="289" spans="1:29" s="2" customFormat="1" ht="21.95" customHeight="1">
      <c r="A289" s="142">
        <v>300065</v>
      </c>
      <c r="B289" s="135" t="s">
        <v>87</v>
      </c>
      <c r="C289" s="248" t="s">
        <v>98</v>
      </c>
      <c r="D289" s="248" t="s">
        <v>99</v>
      </c>
      <c r="E289" s="148" t="s">
        <v>35</v>
      </c>
      <c r="F289" s="147"/>
      <c r="G289" s="14">
        <f>+SUM('1:30'!G289)</f>
        <v>0</v>
      </c>
      <c r="H289" s="14">
        <f>+SUM('1:30'!H289)</f>
        <v>0</v>
      </c>
      <c r="I289" s="14">
        <f>+SUM('1:30'!I289)</f>
        <v>0</v>
      </c>
      <c r="J289" s="14">
        <f>+SUM('1:30'!J289)</f>
        <v>0</v>
      </c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">
        <f>+SUM('1:30'!O289)</f>
        <v>0</v>
      </c>
      <c r="P289" s="146">
        <f t="shared" si="40"/>
        <v>0</v>
      </c>
      <c r="Q289" s="14">
        <f>+SUM('1:30'!Q289)</f>
        <v>0</v>
      </c>
      <c r="R289" s="19">
        <f t="shared" si="41"/>
        <v>0</v>
      </c>
      <c r="S289" s="146">
        <f t="shared" si="42"/>
        <v>0</v>
      </c>
      <c r="T289" s="20">
        <v>4</v>
      </c>
      <c r="U289" s="14">
        <f>+SUM('1:30'!U289)</f>
        <v>0</v>
      </c>
      <c r="V289" s="143" t="str">
        <f t="array" ref="V289">IF(ISERROR(L289/K289),"",L289/K289)</f>
        <v/>
      </c>
      <c r="W289" s="14">
        <f>+SUM('1:30'!W289)</f>
        <v>0</v>
      </c>
      <c r="X289" s="14">
        <f>+SUM('1:30'!X289)</f>
        <v>0</v>
      </c>
      <c r="Y289" s="14">
        <f>+SUM('1:30'!Y289)</f>
        <v>0</v>
      </c>
      <c r="Z289" s="14">
        <f>+SUM('1:30'!Z289)</f>
        <v>0</v>
      </c>
      <c r="AA289" s="14">
        <f>+SUM('1:30'!AA289)</f>
        <v>0</v>
      </c>
      <c r="AB289" s="14">
        <f>+SUM('1:30'!AB289)</f>
        <v>0</v>
      </c>
      <c r="AC289" s="14">
        <f>+SUM('1:30'!AC289)</f>
        <v>0</v>
      </c>
    </row>
    <row r="290" spans="1:29" s="2" customFormat="1" ht="21.95" customHeight="1">
      <c r="A290" s="142">
        <v>300066</v>
      </c>
      <c r="B290" s="135" t="s">
        <v>87</v>
      </c>
      <c r="C290" s="248" t="s">
        <v>98</v>
      </c>
      <c r="D290" s="248" t="s">
        <v>99</v>
      </c>
      <c r="E290" s="148" t="s">
        <v>66</v>
      </c>
      <c r="F290" s="147"/>
      <c r="G290" s="14">
        <f>+SUM('1:30'!G290)</f>
        <v>0</v>
      </c>
      <c r="H290" s="14">
        <f>+SUM('1:30'!H290)</f>
        <v>0</v>
      </c>
      <c r="I290" s="14">
        <f>+SUM('1:30'!I290)</f>
        <v>0</v>
      </c>
      <c r="J290" s="14">
        <f>+SUM('1:30'!J290)</f>
        <v>0</v>
      </c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">
        <f>+SUM('1:30'!O290)</f>
        <v>0</v>
      </c>
      <c r="P290" s="146">
        <f t="shared" si="40"/>
        <v>0</v>
      </c>
      <c r="Q290" s="14">
        <f>+SUM('1:30'!Q290)</f>
        <v>0</v>
      </c>
      <c r="R290" s="19">
        <f t="shared" si="41"/>
        <v>0</v>
      </c>
      <c r="S290" s="146">
        <f t="shared" si="42"/>
        <v>0</v>
      </c>
      <c r="T290" s="20">
        <v>4</v>
      </c>
      <c r="U290" s="14">
        <f>+SUM('1:30'!U290)</f>
        <v>0</v>
      </c>
      <c r="V290" s="143"/>
      <c r="W290" s="14">
        <f>+SUM('1:30'!W290)</f>
        <v>0</v>
      </c>
      <c r="X290" s="14">
        <f>+SUM('1:30'!X290)</f>
        <v>0</v>
      </c>
      <c r="Y290" s="14">
        <f>+SUM('1:30'!Y290)</f>
        <v>0</v>
      </c>
      <c r="Z290" s="14">
        <f>+SUM('1:30'!Z290)</f>
        <v>0</v>
      </c>
      <c r="AA290" s="14">
        <f>+SUM('1:30'!AA290)</f>
        <v>0</v>
      </c>
      <c r="AB290" s="14">
        <f>+SUM('1:30'!AB290)</f>
        <v>0</v>
      </c>
      <c r="AC290" s="14">
        <f>+SUM('1:30'!AC290)</f>
        <v>0</v>
      </c>
    </row>
    <row r="291" spans="1:29" s="2" customFormat="1" ht="21.95" customHeight="1">
      <c r="A291" s="142">
        <v>300067</v>
      </c>
      <c r="B291" s="135" t="s">
        <v>87</v>
      </c>
      <c r="C291" s="248" t="s">
        <v>98</v>
      </c>
      <c r="D291" s="248" t="s">
        <v>99</v>
      </c>
      <c r="E291" s="148" t="s">
        <v>41</v>
      </c>
      <c r="F291" s="147"/>
      <c r="G291" s="14">
        <f>+SUM('1:30'!G291)</f>
        <v>8</v>
      </c>
      <c r="H291" s="14">
        <f>+SUM('1:30'!H291)</f>
        <v>0.25</v>
      </c>
      <c r="I291" s="14">
        <f>+SUM('1:30'!I291)</f>
        <v>8.25</v>
      </c>
      <c r="J291" s="14">
        <f>+SUM('1:30'!J291)</f>
        <v>0</v>
      </c>
      <c r="K291" s="146">
        <f t="shared" si="38"/>
        <v>3510.4</v>
      </c>
      <c r="L291" s="146">
        <f t="shared" si="39"/>
        <v>3620.1</v>
      </c>
      <c r="M291" s="146">
        <v>438.8</v>
      </c>
      <c r="N291" s="146">
        <f>+M291*1000/(50*1*120*60)*T291</f>
        <v>4.8755555555555556</v>
      </c>
      <c r="O291" s="14">
        <f>+SUM('1:30'!O291)</f>
        <v>0</v>
      </c>
      <c r="P291" s="146">
        <f t="shared" si="40"/>
        <v>40.223333333333336</v>
      </c>
      <c r="Q291" s="14">
        <f>+SUM('1:30'!Q291)</f>
        <v>9</v>
      </c>
      <c r="R291" s="19">
        <f t="shared" si="41"/>
        <v>45</v>
      </c>
      <c r="S291" s="146">
        <f t="shared" si="42"/>
        <v>4.7766666666666637</v>
      </c>
      <c r="T291" s="20">
        <v>4</v>
      </c>
      <c r="U291" s="14">
        <f>+SUM('1:30'!U291)</f>
        <v>5</v>
      </c>
      <c r="V291" s="143">
        <f t="array" ref="V291">IF(ISERROR(L291/K291),"",L291/K291)</f>
        <v>1.03125</v>
      </c>
      <c r="W291" s="14">
        <f>+SUM('1:30'!W291)</f>
        <v>0</v>
      </c>
      <c r="X291" s="14">
        <f>+SUM('1:30'!X291)</f>
        <v>0</v>
      </c>
      <c r="Y291" s="14">
        <f>+SUM('1:30'!Y291)</f>
        <v>0</v>
      </c>
      <c r="Z291" s="14">
        <f>+SUM('1:30'!Z291)</f>
        <v>0</v>
      </c>
      <c r="AA291" s="14">
        <f>+SUM('1:30'!AA291)</f>
        <v>0</v>
      </c>
      <c r="AB291" s="14">
        <f>+SUM('1:30'!AB291)</f>
        <v>0</v>
      </c>
      <c r="AC291" s="14">
        <f>+SUM('1:30'!AC291)</f>
        <v>0</v>
      </c>
    </row>
    <row r="292" spans="1:29" s="132" customFormat="1" ht="21.95" customHeight="1">
      <c r="A292" s="126">
        <v>300437</v>
      </c>
      <c r="B292" s="138" t="s">
        <v>87</v>
      </c>
      <c r="C292" s="261" t="s">
        <v>98</v>
      </c>
      <c r="D292" s="261" t="s">
        <v>99</v>
      </c>
      <c r="E292" s="42" t="s">
        <v>310</v>
      </c>
      <c r="F292" s="127"/>
      <c r="G292" s="14">
        <f>+SUM('1:30'!G292)</f>
        <v>0</v>
      </c>
      <c r="H292" s="14">
        <f>+SUM('1:30'!H292)</f>
        <v>0</v>
      </c>
      <c r="I292" s="14">
        <f>+SUM('1:30'!I292)</f>
        <v>0</v>
      </c>
      <c r="J292" s="14">
        <f>+SUM('1:30'!J292)</f>
        <v>0</v>
      </c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4">
        <f>+SUM('1:30'!O292)</f>
        <v>0</v>
      </c>
      <c r="P292" s="15">
        <f t="shared" si="40"/>
        <v>0</v>
      </c>
      <c r="Q292" s="14">
        <f>+SUM('1:30'!Q292)</f>
        <v>0</v>
      </c>
      <c r="R292" s="129">
        <f t="shared" si="41"/>
        <v>0</v>
      </c>
      <c r="S292" s="15">
        <f t="shared" si="42"/>
        <v>0</v>
      </c>
      <c r="T292" s="130">
        <v>4</v>
      </c>
      <c r="U292" s="14">
        <f>+SUM('1:30'!U292)</f>
        <v>0</v>
      </c>
      <c r="V292" s="131"/>
      <c r="W292" s="14">
        <f>+SUM('1:30'!W292)</f>
        <v>0</v>
      </c>
      <c r="X292" s="14">
        <f>+SUM('1:30'!X292)</f>
        <v>0</v>
      </c>
      <c r="Y292" s="14">
        <f>+SUM('1:30'!Y292)</f>
        <v>0</v>
      </c>
      <c r="Z292" s="14">
        <f>+SUM('1:30'!Z292)</f>
        <v>0</v>
      </c>
      <c r="AA292" s="14">
        <f>+SUM('1:30'!AA292)</f>
        <v>0</v>
      </c>
      <c r="AB292" s="14">
        <f>+SUM('1:30'!AB292)</f>
        <v>0</v>
      </c>
      <c r="AC292" s="14">
        <f>+SUM('1:30'!AC292)</f>
        <v>0</v>
      </c>
    </row>
    <row r="293" spans="1:29" s="2" customFormat="1" ht="21.95" customHeight="1">
      <c r="A293" s="142">
        <v>300384</v>
      </c>
      <c r="B293" s="135" t="s">
        <v>87</v>
      </c>
      <c r="C293" s="248" t="s">
        <v>100</v>
      </c>
      <c r="D293" s="248" t="s">
        <v>101</v>
      </c>
      <c r="E293" s="148" t="s">
        <v>35</v>
      </c>
      <c r="F293" s="147"/>
      <c r="G293" s="14">
        <f>+SUM('1:30'!G293)</f>
        <v>0</v>
      </c>
      <c r="H293" s="14">
        <f>+SUM('1:30'!H293)</f>
        <v>0</v>
      </c>
      <c r="I293" s="14">
        <f>+SUM('1:30'!I293)</f>
        <v>0</v>
      </c>
      <c r="J293" s="14">
        <f>+SUM('1:30'!J293)</f>
        <v>0</v>
      </c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">
        <f>+SUM('1:30'!O293)</f>
        <v>0</v>
      </c>
      <c r="P293" s="146">
        <f t="shared" si="40"/>
        <v>0</v>
      </c>
      <c r="Q293" s="14">
        <f>+SUM('1:30'!Q293)</f>
        <v>0</v>
      </c>
      <c r="R293" s="19">
        <f t="shared" si="41"/>
        <v>0</v>
      </c>
      <c r="S293" s="146">
        <f t="shared" si="42"/>
        <v>0</v>
      </c>
      <c r="T293" s="20">
        <v>7</v>
      </c>
      <c r="U293" s="14">
        <f>+SUM('1:30'!U293)</f>
        <v>0</v>
      </c>
      <c r="V293" s="143" t="str">
        <f t="array" ref="V293">IF(ISERROR(L293/K293),"",L293/K293)</f>
        <v/>
      </c>
      <c r="W293" s="14">
        <f>+SUM('1:30'!W293)</f>
        <v>0</v>
      </c>
      <c r="X293" s="14">
        <f>+SUM('1:30'!X293)</f>
        <v>0</v>
      </c>
      <c r="Y293" s="14">
        <f>+SUM('1:30'!Y293)</f>
        <v>0</v>
      </c>
      <c r="Z293" s="14">
        <f>+SUM('1:30'!Z293)</f>
        <v>0</v>
      </c>
      <c r="AA293" s="14">
        <f>+SUM('1:30'!AA293)</f>
        <v>0</v>
      </c>
      <c r="AB293" s="14">
        <f>+SUM('1:30'!AB293)</f>
        <v>0</v>
      </c>
      <c r="AC293" s="14">
        <f>+SUM('1:30'!AC293)</f>
        <v>0</v>
      </c>
    </row>
    <row r="294" spans="1:29" s="2" customFormat="1" ht="21.95" customHeight="1">
      <c r="A294" s="142">
        <v>300383</v>
      </c>
      <c r="B294" s="135" t="s">
        <v>87</v>
      </c>
      <c r="C294" s="248" t="s">
        <v>100</v>
      </c>
      <c r="D294" s="248" t="s">
        <v>102</v>
      </c>
      <c r="E294" s="148" t="s">
        <v>41</v>
      </c>
      <c r="F294" s="147"/>
      <c r="G294" s="14">
        <f>+SUM('1:30'!G294)</f>
        <v>0</v>
      </c>
      <c r="H294" s="14">
        <f>+SUM('1:30'!H294)</f>
        <v>0</v>
      </c>
      <c r="I294" s="14">
        <f>+SUM('1:30'!I294)</f>
        <v>0</v>
      </c>
      <c r="J294" s="14">
        <f>+SUM('1:30'!J294)</f>
        <v>0</v>
      </c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">
        <f>+SUM('1:30'!O294)</f>
        <v>0</v>
      </c>
      <c r="P294" s="146">
        <f t="shared" si="40"/>
        <v>0</v>
      </c>
      <c r="Q294" s="14">
        <f>+SUM('1:30'!Q294)</f>
        <v>0</v>
      </c>
      <c r="R294" s="19">
        <f t="shared" si="41"/>
        <v>0</v>
      </c>
      <c r="S294" s="146">
        <f t="shared" si="42"/>
        <v>0</v>
      </c>
      <c r="T294" s="20">
        <v>7</v>
      </c>
      <c r="U294" s="14">
        <f>+SUM('1:30'!U294)</f>
        <v>0</v>
      </c>
      <c r="V294" s="143"/>
      <c r="W294" s="14">
        <f>+SUM('1:30'!W294)</f>
        <v>0</v>
      </c>
      <c r="X294" s="14">
        <f>+SUM('1:30'!X294)</f>
        <v>0</v>
      </c>
      <c r="Y294" s="14">
        <f>+SUM('1:30'!Y294)</f>
        <v>0</v>
      </c>
      <c r="Z294" s="14">
        <f>+SUM('1:30'!Z294)</f>
        <v>0</v>
      </c>
      <c r="AA294" s="14">
        <f>+SUM('1:30'!AA294)</f>
        <v>0</v>
      </c>
      <c r="AB294" s="14">
        <f>+SUM('1:30'!AB294)</f>
        <v>0</v>
      </c>
      <c r="AC294" s="14">
        <f>+SUM('1:30'!AC294)</f>
        <v>0</v>
      </c>
    </row>
    <row r="295" spans="1:29" s="2" customFormat="1" ht="21.95" customHeight="1">
      <c r="A295" s="142">
        <v>300386</v>
      </c>
      <c r="B295" s="135" t="s">
        <v>87</v>
      </c>
      <c r="C295" s="248" t="s">
        <v>100</v>
      </c>
      <c r="D295" s="248" t="s">
        <v>103</v>
      </c>
      <c r="E295" s="148" t="s">
        <v>66</v>
      </c>
      <c r="F295" s="147"/>
      <c r="G295" s="14">
        <f>+SUM('1:30'!G295)</f>
        <v>0</v>
      </c>
      <c r="H295" s="14">
        <f>+SUM('1:30'!H295)</f>
        <v>0</v>
      </c>
      <c r="I295" s="14">
        <f>+SUM('1:30'!I295)</f>
        <v>0</v>
      </c>
      <c r="J295" s="14">
        <f>+SUM('1:30'!J295)</f>
        <v>0</v>
      </c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">
        <f>+SUM('1:30'!O295)</f>
        <v>0</v>
      </c>
      <c r="P295" s="146">
        <f t="shared" si="40"/>
        <v>0</v>
      </c>
      <c r="Q295" s="14">
        <f>+SUM('1:30'!Q295)</f>
        <v>0</v>
      </c>
      <c r="R295" s="19">
        <f t="shared" si="41"/>
        <v>0</v>
      </c>
      <c r="S295" s="146">
        <f t="shared" si="42"/>
        <v>0</v>
      </c>
      <c r="T295" s="20">
        <v>7</v>
      </c>
      <c r="U295" s="14">
        <f>+SUM('1:30'!U295)</f>
        <v>0</v>
      </c>
      <c r="V295" s="143"/>
      <c r="W295" s="14">
        <f>+SUM('1:30'!W295)</f>
        <v>0</v>
      </c>
      <c r="X295" s="14">
        <f>+SUM('1:30'!X295)</f>
        <v>0</v>
      </c>
      <c r="Y295" s="14">
        <f>+SUM('1:30'!Y295)</f>
        <v>0</v>
      </c>
      <c r="Z295" s="14">
        <f>+SUM('1:30'!Z295)</f>
        <v>0</v>
      </c>
      <c r="AA295" s="14">
        <f>+SUM('1:30'!AA295)</f>
        <v>0</v>
      </c>
      <c r="AB295" s="14">
        <f>+SUM('1:30'!AB295)</f>
        <v>0</v>
      </c>
      <c r="AC295" s="14">
        <f>+SUM('1:30'!AC295)</f>
        <v>0</v>
      </c>
    </row>
    <row r="296" spans="1:29" s="2" customFormat="1" ht="21.95" customHeight="1">
      <c r="A296" s="142">
        <v>300385</v>
      </c>
      <c r="B296" s="135" t="s">
        <v>87</v>
      </c>
      <c r="C296" s="248" t="s">
        <v>100</v>
      </c>
      <c r="D296" s="248" t="s">
        <v>104</v>
      </c>
      <c r="E296" s="148" t="s">
        <v>105</v>
      </c>
      <c r="F296" s="147"/>
      <c r="G296" s="14">
        <f>+SUM('1:30'!G296)</f>
        <v>0</v>
      </c>
      <c r="H296" s="14">
        <f>+SUM('1:30'!H296)</f>
        <v>0</v>
      </c>
      <c r="I296" s="14">
        <f>+SUM('1:30'!I296)</f>
        <v>0</v>
      </c>
      <c r="J296" s="14">
        <f>+SUM('1:30'!J296)</f>
        <v>0</v>
      </c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">
        <f>+SUM('1:30'!O296)</f>
        <v>0</v>
      </c>
      <c r="P296" s="146">
        <f t="shared" si="40"/>
        <v>0</v>
      </c>
      <c r="Q296" s="14">
        <f>+SUM('1:30'!Q296)</f>
        <v>0</v>
      </c>
      <c r="R296" s="19">
        <f t="shared" si="41"/>
        <v>0</v>
      </c>
      <c r="S296" s="146">
        <f t="shared" si="42"/>
        <v>0</v>
      </c>
      <c r="T296" s="20">
        <v>7</v>
      </c>
      <c r="U296" s="14">
        <f>+SUM('1:30'!U296)</f>
        <v>0</v>
      </c>
      <c r="V296" s="143"/>
      <c r="W296" s="14">
        <f>+SUM('1:30'!W296)</f>
        <v>0</v>
      </c>
      <c r="X296" s="14">
        <f>+SUM('1:30'!X296)</f>
        <v>0</v>
      </c>
      <c r="Y296" s="14">
        <f>+SUM('1:30'!Y296)</f>
        <v>0</v>
      </c>
      <c r="Z296" s="14">
        <f>+SUM('1:30'!Z296)</f>
        <v>0</v>
      </c>
      <c r="AA296" s="14">
        <f>+SUM('1:30'!AA296)</f>
        <v>0</v>
      </c>
      <c r="AB296" s="14">
        <f>+SUM('1:30'!AB296)</f>
        <v>0</v>
      </c>
      <c r="AC296" s="14">
        <f>+SUM('1:30'!AC296)</f>
        <v>0</v>
      </c>
    </row>
    <row r="297" spans="1:29" s="2" customFormat="1" ht="21.95" customHeight="1">
      <c r="A297" s="142">
        <v>300352</v>
      </c>
      <c r="B297" s="135" t="s">
        <v>87</v>
      </c>
      <c r="C297" s="248" t="s">
        <v>106</v>
      </c>
      <c r="D297" s="248" t="s">
        <v>101</v>
      </c>
      <c r="E297" s="148" t="s">
        <v>35</v>
      </c>
      <c r="F297" s="147"/>
      <c r="G297" s="14">
        <f>+SUM('1:30'!G297)</f>
        <v>0</v>
      </c>
      <c r="H297" s="14">
        <f>+SUM('1:30'!H297)</f>
        <v>0</v>
      </c>
      <c r="I297" s="14">
        <f>+SUM('1:30'!I297)</f>
        <v>0</v>
      </c>
      <c r="J297" s="14">
        <f>+SUM('1:30'!J297)</f>
        <v>0</v>
      </c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">
        <f>+SUM('1:30'!O297)</f>
        <v>0</v>
      </c>
      <c r="P297" s="146">
        <f t="shared" si="40"/>
        <v>0</v>
      </c>
      <c r="Q297" s="14">
        <f>+SUM('1:30'!Q297)</f>
        <v>0</v>
      </c>
      <c r="R297" s="19">
        <f t="shared" si="41"/>
        <v>0</v>
      </c>
      <c r="S297" s="146">
        <f t="shared" si="42"/>
        <v>0</v>
      </c>
      <c r="T297" s="20">
        <v>7</v>
      </c>
      <c r="U297" s="14">
        <f>+SUM('1:30'!U297)</f>
        <v>0</v>
      </c>
      <c r="V297" s="143" t="str">
        <f t="array" ref="V297">IF(ISERROR(L297/K297),"",L297/K297)</f>
        <v/>
      </c>
      <c r="W297" s="14">
        <f>+SUM('1:30'!W297)</f>
        <v>0</v>
      </c>
      <c r="X297" s="14">
        <f>+SUM('1:30'!X297)</f>
        <v>0</v>
      </c>
      <c r="Y297" s="14">
        <f>+SUM('1:30'!Y297)</f>
        <v>0</v>
      </c>
      <c r="Z297" s="14">
        <f>+SUM('1:30'!Z297)</f>
        <v>0</v>
      </c>
      <c r="AA297" s="14">
        <f>+SUM('1:30'!AA297)</f>
        <v>0</v>
      </c>
      <c r="AB297" s="14">
        <f>+SUM('1:30'!AB297)</f>
        <v>0</v>
      </c>
      <c r="AC297" s="14">
        <f>+SUM('1:30'!AC297)</f>
        <v>0</v>
      </c>
    </row>
    <row r="298" spans="1:29" s="2" customFormat="1" ht="21.95" customHeight="1">
      <c r="A298" s="142">
        <v>300353</v>
      </c>
      <c r="B298" s="135" t="s">
        <v>87</v>
      </c>
      <c r="C298" s="248" t="s">
        <v>106</v>
      </c>
      <c r="D298" s="248" t="s">
        <v>101</v>
      </c>
      <c r="E298" s="148" t="s">
        <v>105</v>
      </c>
      <c r="F298" s="147"/>
      <c r="G298" s="14">
        <f>+SUM('1:30'!G298)</f>
        <v>0</v>
      </c>
      <c r="H298" s="14">
        <f>+SUM('1:30'!H298)</f>
        <v>0</v>
      </c>
      <c r="I298" s="14">
        <f>+SUM('1:30'!I298)</f>
        <v>0</v>
      </c>
      <c r="J298" s="14">
        <f>+SUM('1:30'!J298)</f>
        <v>0</v>
      </c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">
        <f>+SUM('1:30'!O298)</f>
        <v>0</v>
      </c>
      <c r="P298" s="146">
        <f t="shared" si="40"/>
        <v>0</v>
      </c>
      <c r="Q298" s="14">
        <f>+SUM('1:30'!Q298)</f>
        <v>0</v>
      </c>
      <c r="R298" s="19">
        <f t="shared" si="41"/>
        <v>0</v>
      </c>
      <c r="S298" s="146">
        <f t="shared" si="42"/>
        <v>0</v>
      </c>
      <c r="T298" s="20">
        <v>7</v>
      </c>
      <c r="U298" s="14">
        <f>+SUM('1:30'!U298)</f>
        <v>0</v>
      </c>
      <c r="V298" s="143" t="str">
        <f t="array" ref="V298">IF(ISERROR(L298/K298),"",L298/K298)</f>
        <v/>
      </c>
      <c r="W298" s="14">
        <f>+SUM('1:30'!W298)</f>
        <v>0</v>
      </c>
      <c r="X298" s="14">
        <f>+SUM('1:30'!X298)</f>
        <v>0</v>
      </c>
      <c r="Y298" s="14">
        <f>+SUM('1:30'!Y298)</f>
        <v>0</v>
      </c>
      <c r="Z298" s="14">
        <f>+SUM('1:30'!Z298)</f>
        <v>0</v>
      </c>
      <c r="AA298" s="14">
        <f>+SUM('1:30'!AA298)</f>
        <v>0</v>
      </c>
      <c r="AB298" s="14">
        <f>+SUM('1:30'!AB298)</f>
        <v>0</v>
      </c>
      <c r="AC298" s="14">
        <f>+SUM('1:30'!AC298)</f>
        <v>0</v>
      </c>
    </row>
    <row r="299" spans="1:29" s="2" customFormat="1" ht="21.95" customHeight="1">
      <c r="A299" s="142">
        <v>300351</v>
      </c>
      <c r="B299" s="135" t="s">
        <v>87</v>
      </c>
      <c r="C299" s="248" t="s">
        <v>106</v>
      </c>
      <c r="D299" s="248" t="s">
        <v>101</v>
      </c>
      <c r="E299" s="148" t="s">
        <v>41</v>
      </c>
      <c r="F299" s="147"/>
      <c r="G299" s="14">
        <f>+SUM('1:30'!G299)</f>
        <v>0</v>
      </c>
      <c r="H299" s="14">
        <f>+SUM('1:30'!H299)</f>
        <v>0</v>
      </c>
      <c r="I299" s="14">
        <f>+SUM('1:30'!I299)</f>
        <v>0</v>
      </c>
      <c r="J299" s="14">
        <f>+SUM('1:30'!J299)</f>
        <v>0</v>
      </c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">
        <f>+SUM('1:30'!O299)</f>
        <v>0</v>
      </c>
      <c r="P299" s="146">
        <f t="shared" si="40"/>
        <v>0</v>
      </c>
      <c r="Q299" s="14">
        <f>+SUM('1:30'!Q299)</f>
        <v>0</v>
      </c>
      <c r="R299" s="19">
        <f t="shared" si="41"/>
        <v>0</v>
      </c>
      <c r="S299" s="146">
        <f t="shared" si="42"/>
        <v>0</v>
      </c>
      <c r="T299" s="20">
        <v>7</v>
      </c>
      <c r="U299" s="14">
        <f>+SUM('1:30'!U299)</f>
        <v>0</v>
      </c>
      <c r="V299" s="143" t="str">
        <f t="array" ref="V299">IF(ISERROR(L299/K299),"",L299/K299)</f>
        <v/>
      </c>
      <c r="W299" s="14">
        <f>+SUM('1:30'!W299)</f>
        <v>0</v>
      </c>
      <c r="X299" s="14">
        <f>+SUM('1:30'!X299)</f>
        <v>0</v>
      </c>
      <c r="Y299" s="14">
        <f>+SUM('1:30'!Y299)</f>
        <v>0</v>
      </c>
      <c r="Z299" s="14">
        <f>+SUM('1:30'!Z299)</f>
        <v>0</v>
      </c>
      <c r="AA299" s="14">
        <f>+SUM('1:30'!AA299)</f>
        <v>0</v>
      </c>
      <c r="AB299" s="14">
        <f>+SUM('1:30'!AB299)</f>
        <v>0</v>
      </c>
      <c r="AC299" s="14">
        <f>+SUM('1:30'!AC299)</f>
        <v>0</v>
      </c>
    </row>
    <row r="300" spans="1:29" s="2" customFormat="1" ht="21.95" customHeight="1">
      <c r="A300" s="142">
        <v>300354</v>
      </c>
      <c r="B300" s="135" t="s">
        <v>87</v>
      </c>
      <c r="C300" s="248" t="s">
        <v>106</v>
      </c>
      <c r="D300" s="248" t="s">
        <v>101</v>
      </c>
      <c r="E300" s="148" t="s">
        <v>66</v>
      </c>
      <c r="F300" s="147"/>
      <c r="G300" s="14">
        <f>+SUM('1:30'!G300)</f>
        <v>0</v>
      </c>
      <c r="H300" s="14">
        <f>+SUM('1:30'!H300)</f>
        <v>0</v>
      </c>
      <c r="I300" s="14">
        <f>+SUM('1:30'!I300)</f>
        <v>0</v>
      </c>
      <c r="J300" s="14">
        <f>+SUM('1:30'!J300)</f>
        <v>0</v>
      </c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">
        <f>+SUM('1:30'!O300)</f>
        <v>0</v>
      </c>
      <c r="P300" s="146">
        <f t="shared" si="40"/>
        <v>0</v>
      </c>
      <c r="Q300" s="14">
        <f>+SUM('1:30'!Q300)</f>
        <v>0</v>
      </c>
      <c r="R300" s="19">
        <f t="shared" si="41"/>
        <v>0</v>
      </c>
      <c r="S300" s="146">
        <f t="shared" si="42"/>
        <v>0</v>
      </c>
      <c r="T300" s="20">
        <v>7</v>
      </c>
      <c r="U300" s="14">
        <f>+SUM('1:30'!U300)</f>
        <v>0</v>
      </c>
      <c r="V300" s="143" t="str">
        <f t="array" ref="V300">IF(ISERROR(L300/K300),"",L300/K300)</f>
        <v/>
      </c>
      <c r="W300" s="14">
        <f>+SUM('1:30'!W300)</f>
        <v>0</v>
      </c>
      <c r="X300" s="14">
        <f>+SUM('1:30'!X300)</f>
        <v>0</v>
      </c>
      <c r="Y300" s="14">
        <f>+SUM('1:30'!Y300)</f>
        <v>0</v>
      </c>
      <c r="Z300" s="14">
        <f>+SUM('1:30'!Z300)</f>
        <v>0</v>
      </c>
      <c r="AA300" s="14">
        <f>+SUM('1:30'!AA300)</f>
        <v>0</v>
      </c>
      <c r="AB300" s="14">
        <f>+SUM('1:30'!AB300)</f>
        <v>0</v>
      </c>
      <c r="AC300" s="14">
        <f>+SUM('1:30'!AC300)</f>
        <v>0</v>
      </c>
    </row>
    <row r="301" spans="1:29" s="2" customFormat="1" ht="21.95" customHeight="1">
      <c r="A301" s="142">
        <v>300250</v>
      </c>
      <c r="B301" s="135" t="s">
        <v>87</v>
      </c>
      <c r="C301" s="248" t="s">
        <v>107</v>
      </c>
      <c r="D301" s="248" t="s">
        <v>101</v>
      </c>
      <c r="E301" s="148" t="s">
        <v>35</v>
      </c>
      <c r="F301" s="147"/>
      <c r="G301" s="14">
        <f>+SUM('1:30'!G301)</f>
        <v>0</v>
      </c>
      <c r="H301" s="14">
        <f>+SUM('1:30'!H301)</f>
        <v>0</v>
      </c>
      <c r="I301" s="14">
        <f>+SUM('1:30'!I301)</f>
        <v>0</v>
      </c>
      <c r="J301" s="14">
        <f>+SUM('1:30'!J301)</f>
        <v>0</v>
      </c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">
        <f>+SUM('1:30'!O301)</f>
        <v>0</v>
      </c>
      <c r="P301" s="146">
        <f t="shared" si="40"/>
        <v>0</v>
      </c>
      <c r="Q301" s="14">
        <f>+SUM('1:30'!Q301)</f>
        <v>0</v>
      </c>
      <c r="R301" s="19">
        <f t="shared" si="41"/>
        <v>0</v>
      </c>
      <c r="S301" s="146">
        <f t="shared" si="42"/>
        <v>0</v>
      </c>
      <c r="T301" s="20">
        <v>7</v>
      </c>
      <c r="U301" s="14">
        <f>+SUM('1:30'!U301)</f>
        <v>0</v>
      </c>
      <c r="V301" s="143" t="str">
        <f t="array" ref="V301">IF(ISERROR(L301/K301),"",L301/K301)</f>
        <v/>
      </c>
      <c r="W301" s="14">
        <f>+SUM('1:30'!W301)</f>
        <v>0</v>
      </c>
      <c r="X301" s="14">
        <f>+SUM('1:30'!X301)</f>
        <v>0</v>
      </c>
      <c r="Y301" s="14">
        <f>+SUM('1:30'!Y301)</f>
        <v>0</v>
      </c>
      <c r="Z301" s="14">
        <f>+SUM('1:30'!Z301)</f>
        <v>0</v>
      </c>
      <c r="AA301" s="14">
        <f>+SUM('1:30'!AA301)</f>
        <v>0</v>
      </c>
      <c r="AB301" s="14">
        <f>+SUM('1:30'!AB301)</f>
        <v>0</v>
      </c>
      <c r="AC301" s="14">
        <f>+SUM('1:30'!AC301)</f>
        <v>0</v>
      </c>
    </row>
    <row r="302" spans="1:29" s="2" customFormat="1" ht="21.95" customHeight="1">
      <c r="A302" s="142">
        <v>300251</v>
      </c>
      <c r="B302" s="135" t="s">
        <v>87</v>
      </c>
      <c r="C302" s="248" t="s">
        <v>107</v>
      </c>
      <c r="D302" s="248" t="s">
        <v>101</v>
      </c>
      <c r="E302" s="148" t="s">
        <v>105</v>
      </c>
      <c r="F302" s="147"/>
      <c r="G302" s="14">
        <f>+SUM('1:30'!G302)</f>
        <v>0</v>
      </c>
      <c r="H302" s="14">
        <f>+SUM('1:30'!H302)</f>
        <v>0</v>
      </c>
      <c r="I302" s="14">
        <f>+SUM('1:30'!I302)</f>
        <v>0</v>
      </c>
      <c r="J302" s="14">
        <f>+SUM('1:30'!J302)</f>
        <v>0</v>
      </c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">
        <f>+SUM('1:30'!O302)</f>
        <v>0</v>
      </c>
      <c r="P302" s="146">
        <f t="shared" si="40"/>
        <v>0</v>
      </c>
      <c r="Q302" s="14">
        <f>+SUM('1:30'!Q302)</f>
        <v>0</v>
      </c>
      <c r="R302" s="19">
        <f t="shared" si="41"/>
        <v>0</v>
      </c>
      <c r="S302" s="146">
        <f t="shared" si="42"/>
        <v>0</v>
      </c>
      <c r="T302" s="20">
        <v>7</v>
      </c>
      <c r="U302" s="14">
        <f>+SUM('1:30'!U302)</f>
        <v>0</v>
      </c>
      <c r="V302" s="143" t="str">
        <f t="array" ref="V302">IF(ISERROR(L302/K302),"",L302/K302)</f>
        <v/>
      </c>
      <c r="W302" s="14">
        <f>+SUM('1:30'!W302)</f>
        <v>0</v>
      </c>
      <c r="X302" s="14">
        <f>+SUM('1:30'!X302)</f>
        <v>0</v>
      </c>
      <c r="Y302" s="14">
        <f>+SUM('1:30'!Y302)</f>
        <v>0</v>
      </c>
      <c r="Z302" s="14">
        <f>+SUM('1:30'!Z302)</f>
        <v>0</v>
      </c>
      <c r="AA302" s="14">
        <f>+SUM('1:30'!AA302)</f>
        <v>0</v>
      </c>
      <c r="AB302" s="14">
        <f>+SUM('1:30'!AB302)</f>
        <v>0</v>
      </c>
      <c r="AC302" s="14">
        <f>+SUM('1:30'!AC302)</f>
        <v>0</v>
      </c>
    </row>
    <row r="303" spans="1:29" s="2" customFormat="1" ht="21.95" customHeight="1">
      <c r="A303" s="142">
        <v>300254</v>
      </c>
      <c r="B303" s="135" t="s">
        <v>87</v>
      </c>
      <c r="C303" s="248" t="s">
        <v>107</v>
      </c>
      <c r="D303" s="248" t="s">
        <v>101</v>
      </c>
      <c r="E303" s="148" t="s">
        <v>41</v>
      </c>
      <c r="F303" s="147"/>
      <c r="G303" s="14">
        <f>+SUM('1:30'!G303)</f>
        <v>0</v>
      </c>
      <c r="H303" s="14">
        <f>+SUM('1:30'!H303)</f>
        <v>0</v>
      </c>
      <c r="I303" s="14">
        <f>+SUM('1:30'!I303)</f>
        <v>0</v>
      </c>
      <c r="J303" s="14">
        <f>+SUM('1:30'!J303)</f>
        <v>0</v>
      </c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">
        <f>+SUM('1:30'!O303)</f>
        <v>0</v>
      </c>
      <c r="P303" s="146">
        <f t="shared" si="40"/>
        <v>0</v>
      </c>
      <c r="Q303" s="14">
        <f>+SUM('1:30'!Q303)</f>
        <v>0</v>
      </c>
      <c r="R303" s="19">
        <f t="shared" si="41"/>
        <v>0</v>
      </c>
      <c r="S303" s="146">
        <f t="shared" si="42"/>
        <v>0</v>
      </c>
      <c r="T303" s="20">
        <v>7</v>
      </c>
      <c r="U303" s="14">
        <f>+SUM('1:30'!U303)</f>
        <v>0</v>
      </c>
      <c r="V303" s="143" t="str">
        <f t="array" ref="V303">IF(ISERROR(L303/K303),"",L303/K303)</f>
        <v/>
      </c>
      <c r="W303" s="14">
        <f>+SUM('1:30'!W303)</f>
        <v>0</v>
      </c>
      <c r="X303" s="14">
        <f>+SUM('1:30'!X303)</f>
        <v>0</v>
      </c>
      <c r="Y303" s="14">
        <f>+SUM('1:30'!Y303)</f>
        <v>0</v>
      </c>
      <c r="Z303" s="14">
        <f>+SUM('1:30'!Z303)</f>
        <v>0</v>
      </c>
      <c r="AA303" s="14">
        <f>+SUM('1:30'!AA303)</f>
        <v>0</v>
      </c>
      <c r="AB303" s="14">
        <f>+SUM('1:30'!AB303)</f>
        <v>0</v>
      </c>
      <c r="AC303" s="14">
        <f>+SUM('1:30'!AC303)</f>
        <v>0</v>
      </c>
    </row>
    <row r="304" spans="1:29" s="2" customFormat="1" ht="21.95" customHeight="1">
      <c r="A304" s="142">
        <v>300253</v>
      </c>
      <c r="B304" s="135" t="s">
        <v>87</v>
      </c>
      <c r="C304" s="248" t="s">
        <v>107</v>
      </c>
      <c r="D304" s="248" t="s">
        <v>101</v>
      </c>
      <c r="E304" s="148" t="s">
        <v>66</v>
      </c>
      <c r="F304" s="147"/>
      <c r="G304" s="14">
        <f>+SUM('1:30'!G304)</f>
        <v>0</v>
      </c>
      <c r="H304" s="14">
        <f>+SUM('1:30'!H304)</f>
        <v>0</v>
      </c>
      <c r="I304" s="14">
        <f>+SUM('1:30'!I304)</f>
        <v>0</v>
      </c>
      <c r="J304" s="14">
        <f>+SUM('1:30'!J304)</f>
        <v>0</v>
      </c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">
        <f>+SUM('1:30'!O304)</f>
        <v>0</v>
      </c>
      <c r="P304" s="146">
        <f t="shared" si="40"/>
        <v>0</v>
      </c>
      <c r="Q304" s="14">
        <f>+SUM('1:30'!Q304)</f>
        <v>0</v>
      </c>
      <c r="R304" s="19">
        <f t="shared" si="41"/>
        <v>0</v>
      </c>
      <c r="S304" s="146">
        <f t="shared" si="42"/>
        <v>0</v>
      </c>
      <c r="T304" s="20">
        <v>7</v>
      </c>
      <c r="U304" s="14">
        <f>+SUM('1:30'!U304)</f>
        <v>0</v>
      </c>
      <c r="V304" s="143" t="str">
        <f t="array" ref="V304">IF(ISERROR(L304/K304),"",L304/K304)</f>
        <v/>
      </c>
      <c r="W304" s="14">
        <f>+SUM('1:30'!W304)</f>
        <v>0</v>
      </c>
      <c r="X304" s="14">
        <f>+SUM('1:30'!X304)</f>
        <v>0</v>
      </c>
      <c r="Y304" s="14">
        <f>+SUM('1:30'!Y304)</f>
        <v>0</v>
      </c>
      <c r="Z304" s="14">
        <f>+SUM('1:30'!Z304)</f>
        <v>0</v>
      </c>
      <c r="AA304" s="14">
        <f>+SUM('1:30'!AA304)</f>
        <v>0</v>
      </c>
      <c r="AB304" s="14">
        <f>+SUM('1:30'!AB304)</f>
        <v>0</v>
      </c>
      <c r="AC304" s="14">
        <f>+SUM('1:30'!AC304)</f>
        <v>0</v>
      </c>
    </row>
    <row r="305" spans="1:29" s="2" customFormat="1" ht="23.25" customHeight="1">
      <c r="A305" s="142">
        <v>300255</v>
      </c>
      <c r="B305" s="135" t="s">
        <v>87</v>
      </c>
      <c r="C305" s="248" t="s">
        <v>107</v>
      </c>
      <c r="D305" s="248" t="s">
        <v>101</v>
      </c>
      <c r="E305" s="148" t="s">
        <v>108</v>
      </c>
      <c r="F305" s="147"/>
      <c r="G305" s="14">
        <f>+SUM('1:30'!G305)</f>
        <v>0</v>
      </c>
      <c r="H305" s="14">
        <f>+SUM('1:30'!H305)</f>
        <v>0</v>
      </c>
      <c r="I305" s="14">
        <f>+SUM('1:30'!I305)</f>
        <v>0</v>
      </c>
      <c r="J305" s="14">
        <f>+SUM('1:30'!J305)</f>
        <v>0</v>
      </c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">
        <f>+SUM('1:30'!O305)</f>
        <v>0</v>
      </c>
      <c r="P305" s="146">
        <f t="shared" si="40"/>
        <v>0</v>
      </c>
      <c r="Q305" s="14">
        <f>+SUM('1:30'!Q305)</f>
        <v>0</v>
      </c>
      <c r="R305" s="19">
        <f t="shared" si="41"/>
        <v>0</v>
      </c>
      <c r="S305" s="146">
        <f t="shared" si="42"/>
        <v>0</v>
      </c>
      <c r="T305" s="20">
        <v>7</v>
      </c>
      <c r="U305" s="14">
        <f>+SUM('1:30'!U305)</f>
        <v>0</v>
      </c>
      <c r="V305" s="143" t="str">
        <f t="array" ref="V305">IF(ISERROR(L305/K305),"",L305/K305)</f>
        <v/>
      </c>
      <c r="W305" s="14">
        <f>+SUM('1:30'!W305)</f>
        <v>0</v>
      </c>
      <c r="X305" s="14">
        <f>+SUM('1:30'!X305)</f>
        <v>0</v>
      </c>
      <c r="Y305" s="14">
        <f>+SUM('1:30'!Y305)</f>
        <v>0</v>
      </c>
      <c r="Z305" s="14">
        <f>+SUM('1:30'!Z305)</f>
        <v>0</v>
      </c>
      <c r="AA305" s="14">
        <f>+SUM('1:30'!AA305)</f>
        <v>0</v>
      </c>
      <c r="AB305" s="14">
        <f>+SUM('1:30'!AB305)</f>
        <v>0</v>
      </c>
      <c r="AC305" s="14">
        <f>+SUM('1:30'!AC305)</f>
        <v>0</v>
      </c>
    </row>
    <row r="306" spans="1:29" s="5" customFormat="1" ht="23.25" customHeight="1">
      <c r="A306" s="142">
        <v>300392</v>
      </c>
      <c r="B306" s="135" t="s">
        <v>87</v>
      </c>
      <c r="C306" s="259" t="s">
        <v>109</v>
      </c>
      <c r="D306" s="260"/>
      <c r="E306" s="148" t="s">
        <v>105</v>
      </c>
      <c r="F306" s="142"/>
      <c r="G306" s="14">
        <f>+SUM('1:30'!G306)</f>
        <v>0</v>
      </c>
      <c r="H306" s="14">
        <f>+SUM('1:30'!H306)</f>
        <v>0</v>
      </c>
      <c r="I306" s="14">
        <f>+SUM('1:30'!I306)</f>
        <v>0</v>
      </c>
      <c r="J306" s="14">
        <f>+SUM('1:30'!J306)</f>
        <v>0</v>
      </c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">
        <f>+SUM('1:30'!O306)</f>
        <v>0</v>
      </c>
      <c r="P306" s="146">
        <f t="shared" si="40"/>
        <v>0</v>
      </c>
      <c r="Q306" s="14">
        <f>+SUM('1:30'!Q306)</f>
        <v>0</v>
      </c>
      <c r="R306" s="19">
        <f t="shared" si="41"/>
        <v>0</v>
      </c>
      <c r="S306" s="146">
        <f t="shared" si="42"/>
        <v>0</v>
      </c>
      <c r="T306" s="20">
        <v>7</v>
      </c>
      <c r="U306" s="14">
        <f>+SUM('1:30'!U306)</f>
        <v>0</v>
      </c>
      <c r="V306" s="143" t="str">
        <f t="array" ref="V306">IF(ISERROR(L306/K306),"",L306/K306)</f>
        <v/>
      </c>
      <c r="W306" s="14">
        <f>+SUM('1:30'!W306)</f>
        <v>0</v>
      </c>
      <c r="X306" s="14">
        <f>+SUM('1:30'!X306)</f>
        <v>0</v>
      </c>
      <c r="Y306" s="14">
        <f>+SUM('1:30'!Y306)</f>
        <v>0</v>
      </c>
      <c r="Z306" s="14">
        <f>+SUM('1:30'!Z306)</f>
        <v>0</v>
      </c>
      <c r="AA306" s="14">
        <f>+SUM('1:30'!AA306)</f>
        <v>0</v>
      </c>
      <c r="AB306" s="14">
        <f>+SUM('1:30'!AB306)</f>
        <v>0</v>
      </c>
      <c r="AC306" s="14">
        <f>+SUM('1:30'!AC306)</f>
        <v>0</v>
      </c>
    </row>
    <row r="307" spans="1:29" s="2" customFormat="1" ht="21.95" customHeight="1">
      <c r="A307" s="142">
        <v>300088</v>
      </c>
      <c r="B307" s="135" t="s">
        <v>87</v>
      </c>
      <c r="C307" s="248" t="s">
        <v>318</v>
      </c>
      <c r="D307" s="248" t="s">
        <v>96</v>
      </c>
      <c r="E307" s="148" t="s">
        <v>39</v>
      </c>
      <c r="F307" s="147"/>
      <c r="G307" s="14">
        <f>+SUM('1:30'!G307)</f>
        <v>18.5</v>
      </c>
      <c r="H307" s="14">
        <f>+SUM('1:30'!H307)</f>
        <v>0.5</v>
      </c>
      <c r="I307" s="14">
        <f>+SUM('1:30'!I307)</f>
        <v>18.5</v>
      </c>
      <c r="J307" s="14">
        <f>+SUM('1:30'!J307)</f>
        <v>0</v>
      </c>
      <c r="K307" s="146">
        <f t="shared" si="38"/>
        <v>11429.3</v>
      </c>
      <c r="L307" s="146">
        <f t="shared" si="39"/>
        <v>11429.3</v>
      </c>
      <c r="M307" s="146">
        <v>617.79999999999995</v>
      </c>
      <c r="N307" s="146">
        <f>+M307*1000/(123*1*80*60)*T307</f>
        <v>3.1392276422764223</v>
      </c>
      <c r="O307" s="14">
        <f>+SUM('1:30'!O307)</f>
        <v>0.5</v>
      </c>
      <c r="P307" s="146">
        <f t="shared" si="40"/>
        <v>63.075711382113809</v>
      </c>
      <c r="Q307" s="14">
        <f>+SUM('1:30'!Q307)</f>
        <v>14.5</v>
      </c>
      <c r="R307" s="19">
        <f t="shared" si="41"/>
        <v>145</v>
      </c>
      <c r="S307" s="146">
        <f t="shared" si="42"/>
        <v>81.924288617886191</v>
      </c>
      <c r="T307" s="20">
        <v>3</v>
      </c>
      <c r="U307" s="14">
        <f>+SUM('1:30'!U307)</f>
        <v>10</v>
      </c>
      <c r="V307" s="143">
        <f t="array" ref="V307">IF(ISERROR(L307/K307),"",L307/K307)</f>
        <v>1</v>
      </c>
      <c r="W307" s="14">
        <f>+SUM('1:30'!W307)</f>
        <v>0</v>
      </c>
      <c r="X307" s="14">
        <f>+SUM('1:30'!X307)</f>
        <v>0</v>
      </c>
      <c r="Y307" s="14">
        <f>+SUM('1:30'!Y307)</f>
        <v>0</v>
      </c>
      <c r="Z307" s="14">
        <f>+SUM('1:30'!Z307)</f>
        <v>0</v>
      </c>
      <c r="AA307" s="14">
        <f>+SUM('1:30'!AA307)</f>
        <v>0</v>
      </c>
      <c r="AB307" s="14">
        <f>+SUM('1:30'!AB307)</f>
        <v>0</v>
      </c>
      <c r="AC307" s="14">
        <f>+SUM('1:30'!AC307)</f>
        <v>0</v>
      </c>
    </row>
    <row r="308" spans="1:29" s="2" customFormat="1" ht="21.95" customHeight="1">
      <c r="A308" s="142">
        <v>300089</v>
      </c>
      <c r="B308" s="135" t="s">
        <v>87</v>
      </c>
      <c r="C308" s="248" t="s">
        <v>318</v>
      </c>
      <c r="D308" s="248" t="s">
        <v>96</v>
      </c>
      <c r="E308" s="148" t="s">
        <v>42</v>
      </c>
      <c r="F308" s="147"/>
      <c r="G308" s="14">
        <f>+SUM('1:30'!G308)</f>
        <v>13</v>
      </c>
      <c r="H308" s="14">
        <f>+SUM('1:30'!H308)</f>
        <v>0</v>
      </c>
      <c r="I308" s="14">
        <f>+SUM('1:30'!I308)</f>
        <v>12.3</v>
      </c>
      <c r="J308" s="14">
        <f>+SUM('1:30'!J308)</f>
        <v>350</v>
      </c>
      <c r="K308" s="146">
        <f t="shared" si="38"/>
        <v>8041.8</v>
      </c>
      <c r="L308" s="146">
        <f t="shared" si="39"/>
        <v>7608.7800000000007</v>
      </c>
      <c r="M308" s="146">
        <v>618.6</v>
      </c>
      <c r="N308" s="146">
        <f>+M308*1000/(124*1*80*60)*T308</f>
        <v>3.117943548387097</v>
      </c>
      <c r="O308" s="14">
        <f>+SUM('1:30'!O308)</f>
        <v>0.5</v>
      </c>
      <c r="P308" s="146">
        <f t="shared" si="40"/>
        <v>42.850705645161298</v>
      </c>
      <c r="Q308" s="14">
        <f>+SUM('1:30'!Q308)</f>
        <v>13.5</v>
      </c>
      <c r="R308" s="19">
        <f t="shared" si="41"/>
        <v>121.5</v>
      </c>
      <c r="S308" s="146">
        <f t="shared" si="42"/>
        <v>78.649294354838702</v>
      </c>
      <c r="T308" s="20">
        <v>3</v>
      </c>
      <c r="U308" s="14">
        <f>+SUM('1:30'!U308)</f>
        <v>9</v>
      </c>
      <c r="V308" s="143">
        <f t="array" ref="V308">IF(ISERROR(L308/K308),"",L308/K308)</f>
        <v>0.94615384615384623</v>
      </c>
      <c r="W308" s="14">
        <f>+SUM('1:30'!W308)</f>
        <v>0</v>
      </c>
      <c r="X308" s="14">
        <f>+SUM('1:30'!X308)</f>
        <v>1.3333333333333333</v>
      </c>
      <c r="Y308" s="14">
        <f>+SUM('1:30'!Y308)</f>
        <v>0</v>
      </c>
      <c r="Z308" s="14">
        <f>+SUM('1:30'!Z308)</f>
        <v>0</v>
      </c>
      <c r="AA308" s="14">
        <f>+SUM('1:30'!AA308)</f>
        <v>0</v>
      </c>
      <c r="AB308" s="14">
        <f>+SUM('1:30'!AB308)</f>
        <v>0</v>
      </c>
      <c r="AC308" s="14">
        <f>+SUM('1:30'!AC308)</f>
        <v>0</v>
      </c>
    </row>
    <row r="309" spans="1:29" s="2" customFormat="1" ht="21.95" customHeight="1">
      <c r="A309" s="142">
        <v>300128</v>
      </c>
      <c r="B309" s="135" t="s">
        <v>87</v>
      </c>
      <c r="C309" s="248" t="s">
        <v>112</v>
      </c>
      <c r="D309" s="248" t="s">
        <v>113</v>
      </c>
      <c r="E309" s="148" t="s">
        <v>35</v>
      </c>
      <c r="F309" s="147"/>
      <c r="G309" s="14">
        <f>+SUM('1:30'!G309)</f>
        <v>10.83</v>
      </c>
      <c r="H309" s="14">
        <f>+SUM('1:30'!H309)</f>
        <v>0</v>
      </c>
      <c r="I309" s="14">
        <f>+SUM('1:30'!I309)</f>
        <v>10.833333333333334</v>
      </c>
      <c r="J309" s="14">
        <f>+SUM('1:30'!J309)</f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">
        <f>+SUM('1:30'!O309)</f>
        <v>0.5</v>
      </c>
      <c r="P309" s="146">
        <f t="shared" si="40"/>
        <v>44.98052362707535</v>
      </c>
      <c r="Q309" s="14">
        <f>+SUM('1:30'!Q309)</f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14">
        <f>+SUM('1:30'!U309)</f>
        <v>4</v>
      </c>
      <c r="V309" s="143">
        <f t="array" ref="V309">IF(ISERROR(L309/K309),"",L309/K309)</f>
        <v>1.0003077870113883</v>
      </c>
      <c r="W309" s="14">
        <f>+SUM('1:30'!W309)</f>
        <v>0</v>
      </c>
      <c r="X309" s="14">
        <f>+SUM('1:30'!X309)</f>
        <v>0</v>
      </c>
      <c r="Y309" s="14">
        <f>+SUM('1:30'!Y309)</f>
        <v>0</v>
      </c>
      <c r="Z309" s="14">
        <f>+SUM('1:30'!Z309)</f>
        <v>0</v>
      </c>
      <c r="AA309" s="14">
        <f>+SUM('1:30'!AA309)</f>
        <v>0</v>
      </c>
      <c r="AB309" s="14">
        <f>+SUM('1:30'!AB309)</f>
        <v>0</v>
      </c>
      <c r="AC309" s="14">
        <f>+SUM('1:30'!AC309)</f>
        <v>0</v>
      </c>
    </row>
    <row r="310" spans="1:29" s="2" customFormat="1" ht="21.95" customHeight="1">
      <c r="A310" s="142">
        <v>300129</v>
      </c>
      <c r="B310" s="135" t="s">
        <v>87</v>
      </c>
      <c r="C310" s="248" t="s">
        <v>112</v>
      </c>
      <c r="D310" s="248" t="s">
        <v>113</v>
      </c>
      <c r="E310" s="148" t="s">
        <v>41</v>
      </c>
      <c r="F310" s="147"/>
      <c r="G310" s="14">
        <f>+SUM('1:30'!G310)</f>
        <v>17.75</v>
      </c>
      <c r="H310" s="14">
        <f>+SUM('1:30'!H310)</f>
        <v>0.75</v>
      </c>
      <c r="I310" s="14">
        <f>+SUM('1:30'!I310)</f>
        <v>17.75</v>
      </c>
      <c r="J310" s="14">
        <f>+SUM('1:30'!J310)</f>
        <v>0</v>
      </c>
      <c r="K310" s="146">
        <f t="shared" si="38"/>
        <v>11028.074999999999</v>
      </c>
      <c r="L310" s="146">
        <f t="shared" si="39"/>
        <v>11028.074999999999</v>
      </c>
      <c r="M310" s="146">
        <v>621.29999999999995</v>
      </c>
      <c r="N310" s="146">
        <f t="shared" si="43"/>
        <v>3.9674329501915708</v>
      </c>
      <c r="O310" s="14">
        <f>+SUM('1:30'!O310)</f>
        <v>0.5</v>
      </c>
      <c r="P310" s="146">
        <f t="shared" si="40"/>
        <v>74.921934865900383</v>
      </c>
      <c r="Q310" s="14">
        <f>+SUM('1:30'!Q310)</f>
        <v>22</v>
      </c>
      <c r="R310" s="19">
        <f t="shared" si="41"/>
        <v>198</v>
      </c>
      <c r="S310" s="146">
        <f t="shared" si="42"/>
        <v>123.07806513409962</v>
      </c>
      <c r="T310" s="20">
        <v>4</v>
      </c>
      <c r="U310" s="14">
        <f>+SUM('1:30'!U310)</f>
        <v>9</v>
      </c>
      <c r="V310" s="143">
        <f t="array" ref="V310">IF(ISERROR(L310/K310),"",L310/K310)</f>
        <v>1</v>
      </c>
      <c r="W310" s="14">
        <f>+SUM('1:30'!W310)</f>
        <v>0</v>
      </c>
      <c r="X310" s="14">
        <f>+SUM('1:30'!X310)</f>
        <v>0</v>
      </c>
      <c r="Y310" s="14">
        <f>+SUM('1:30'!Y310)</f>
        <v>0</v>
      </c>
      <c r="Z310" s="14">
        <f>+SUM('1:30'!Z310)</f>
        <v>0</v>
      </c>
      <c r="AA310" s="14">
        <f>+SUM('1:30'!AA310)</f>
        <v>2</v>
      </c>
      <c r="AB310" s="14">
        <f>+SUM('1:30'!AB310)</f>
        <v>0</v>
      </c>
      <c r="AC310" s="14">
        <f>+SUM('1:30'!AC310)</f>
        <v>0</v>
      </c>
    </row>
    <row r="311" spans="1:29" s="2" customFormat="1" ht="21.95" customHeight="1">
      <c r="A311" s="142">
        <v>300130</v>
      </c>
      <c r="B311" s="135" t="s">
        <v>87</v>
      </c>
      <c r="C311" s="248" t="s">
        <v>112</v>
      </c>
      <c r="D311" s="248" t="s">
        <v>113</v>
      </c>
      <c r="E311" s="148" t="s">
        <v>37</v>
      </c>
      <c r="F311" s="147"/>
      <c r="G311" s="14">
        <f>+SUM('1:30'!G311)</f>
        <v>7</v>
      </c>
      <c r="H311" s="14">
        <f>+SUM('1:30'!H311)</f>
        <v>0</v>
      </c>
      <c r="I311" s="14">
        <f>+SUM('1:30'!I311)</f>
        <v>7</v>
      </c>
      <c r="J311" s="14">
        <f>+SUM('1:30'!J311)</f>
        <v>0</v>
      </c>
      <c r="K311" s="146">
        <f t="shared" si="38"/>
        <v>4349.0999999999995</v>
      </c>
      <c r="L311" s="146">
        <f t="shared" si="39"/>
        <v>4349.0999999999995</v>
      </c>
      <c r="M311" s="146">
        <v>621.29999999999995</v>
      </c>
      <c r="N311" s="146">
        <f t="shared" si="43"/>
        <v>3.9674329501915708</v>
      </c>
      <c r="O311" s="14">
        <f>+SUM('1:30'!O311)</f>
        <v>0.5</v>
      </c>
      <c r="P311" s="146">
        <f t="shared" si="40"/>
        <v>30.272030651340994</v>
      </c>
      <c r="Q311" s="14">
        <f>+SUM('1:30'!Q311)</f>
        <v>8</v>
      </c>
      <c r="R311" s="19">
        <f t="shared" si="41"/>
        <v>40</v>
      </c>
      <c r="S311" s="146">
        <f t="shared" si="42"/>
        <v>9.7279693486590055</v>
      </c>
      <c r="T311" s="20">
        <v>4</v>
      </c>
      <c r="U311" s="14">
        <f>+SUM('1:30'!U311)</f>
        <v>5</v>
      </c>
      <c r="V311" s="143">
        <f t="array" ref="V311">IF(ISERROR(L311/K311),"",L311/K311)</f>
        <v>1</v>
      </c>
      <c r="W311" s="14">
        <f>+SUM('1:30'!W311)</f>
        <v>0</v>
      </c>
      <c r="X311" s="14">
        <f>+SUM('1:30'!X311)</f>
        <v>3.333333333333333</v>
      </c>
      <c r="Y311" s="14">
        <f>+SUM('1:30'!Y311)</f>
        <v>0</v>
      </c>
      <c r="Z311" s="14">
        <f>+SUM('1:30'!Z311)</f>
        <v>0</v>
      </c>
      <c r="AA311" s="14">
        <f>+SUM('1:30'!AA311)</f>
        <v>0</v>
      </c>
      <c r="AB311" s="14">
        <f>+SUM('1:30'!AB311)</f>
        <v>0</v>
      </c>
      <c r="AC311" s="14">
        <f>+SUM('1:30'!AC311)</f>
        <v>0</v>
      </c>
    </row>
    <row r="312" spans="1:29" ht="21.95" customHeight="1">
      <c r="A312" s="142">
        <v>300423</v>
      </c>
      <c r="B312" s="135" t="s">
        <v>300</v>
      </c>
      <c r="C312" s="259" t="s">
        <v>296</v>
      </c>
      <c r="D312" s="260"/>
      <c r="E312" s="148" t="s">
        <v>297</v>
      </c>
      <c r="F312" s="13"/>
      <c r="G312" s="14">
        <f>+SUM('1:30'!G312)</f>
        <v>2</v>
      </c>
      <c r="H312" s="14">
        <f>+SUM('1:30'!H312)</f>
        <v>0</v>
      </c>
      <c r="I312" s="14">
        <f>+SUM('1:30'!I312)</f>
        <v>2</v>
      </c>
      <c r="J312" s="14">
        <f>+SUM('1:30'!J312)</f>
        <v>0</v>
      </c>
      <c r="K312" s="146">
        <f t="shared" si="38"/>
        <v>1048.2</v>
      </c>
      <c r="L312" s="146">
        <f t="shared" si="39"/>
        <v>1048.2</v>
      </c>
      <c r="M312" s="146">
        <v>524.1</v>
      </c>
      <c r="N312" s="146">
        <f t="shared" si="43"/>
        <v>3.3467432950191571</v>
      </c>
      <c r="O312" s="14">
        <f>+SUM('1:30'!O312)</f>
        <v>0.5</v>
      </c>
      <c r="P312" s="146">
        <f t="shared" si="40"/>
        <v>9.1934865900383151</v>
      </c>
      <c r="Q312" s="14">
        <f>+SUM('1:30'!Q312)</f>
        <v>2.5</v>
      </c>
      <c r="R312" s="19">
        <f t="shared" si="41"/>
        <v>12.5</v>
      </c>
      <c r="S312" s="146">
        <f t="shared" si="42"/>
        <v>3.3065134099616849</v>
      </c>
      <c r="T312" s="20">
        <v>4</v>
      </c>
      <c r="U312" s="14">
        <f>+SUM('1:30'!U312)</f>
        <v>5</v>
      </c>
      <c r="V312" s="143"/>
      <c r="W312" s="14">
        <f>+SUM('1:30'!W312)</f>
        <v>0</v>
      </c>
      <c r="X312" s="14">
        <f>+SUM('1:30'!X312)</f>
        <v>0</v>
      </c>
      <c r="Y312" s="14">
        <f>+SUM('1:30'!Y312)</f>
        <v>0</v>
      </c>
      <c r="Z312" s="14">
        <f>+SUM('1:30'!Z312)</f>
        <v>0</v>
      </c>
      <c r="AA312" s="14">
        <f>+SUM('1:30'!AA312)</f>
        <v>0</v>
      </c>
      <c r="AB312" s="14">
        <f>+SUM('1:30'!AB312)</f>
        <v>0</v>
      </c>
      <c r="AC312" s="14">
        <f>+SUM('1:30'!AC312)</f>
        <v>0</v>
      </c>
    </row>
    <row r="313" spans="1:29" ht="21.95" customHeight="1">
      <c r="A313" s="142">
        <v>300424</v>
      </c>
      <c r="B313" s="135" t="s">
        <v>300</v>
      </c>
      <c r="C313" s="259" t="s">
        <v>296</v>
      </c>
      <c r="D313" s="260"/>
      <c r="E313" s="148" t="s">
        <v>298</v>
      </c>
      <c r="F313" s="13"/>
      <c r="G313" s="14">
        <f>+SUM('1:30'!G313)</f>
        <v>6.6</v>
      </c>
      <c r="H313" s="14">
        <f>+SUM('1:30'!H313)</f>
        <v>0.6</v>
      </c>
      <c r="I313" s="14">
        <f>+SUM('1:30'!I313)</f>
        <v>6.6</v>
      </c>
      <c r="J313" s="14">
        <f>+SUM('1:30'!J313)</f>
        <v>0</v>
      </c>
      <c r="K313" s="146">
        <f t="shared" si="38"/>
        <v>3459.06</v>
      </c>
      <c r="L313" s="146">
        <f t="shared" si="39"/>
        <v>3459.06</v>
      </c>
      <c r="M313" s="146">
        <v>524.1</v>
      </c>
      <c r="N313" s="146">
        <f t="shared" si="43"/>
        <v>3.3467432950191571</v>
      </c>
      <c r="O313" s="14">
        <f>+SUM('1:30'!O313)</f>
        <v>0</v>
      </c>
      <c r="P313" s="146">
        <f t="shared" si="40"/>
        <v>22.088505747126437</v>
      </c>
      <c r="Q313" s="14">
        <f>+SUM('1:30'!Q313)</f>
        <v>6</v>
      </c>
      <c r="R313" s="19">
        <f t="shared" si="41"/>
        <v>30</v>
      </c>
      <c r="S313" s="146">
        <f t="shared" si="42"/>
        <v>7.9114942528735632</v>
      </c>
      <c r="T313" s="20">
        <v>4</v>
      </c>
      <c r="U313" s="14">
        <f>+SUM('1:30'!U313)</f>
        <v>5</v>
      </c>
      <c r="V313" s="143"/>
      <c r="W313" s="14">
        <f>+SUM('1:30'!W313)</f>
        <v>0</v>
      </c>
      <c r="X313" s="14">
        <f>+SUM('1:30'!X313)</f>
        <v>0</v>
      </c>
      <c r="Y313" s="14">
        <f>+SUM('1:30'!Y313)</f>
        <v>0</v>
      </c>
      <c r="Z313" s="14">
        <f>+SUM('1:30'!Z313)</f>
        <v>0</v>
      </c>
      <c r="AA313" s="14">
        <f>+SUM('1:30'!AA313)</f>
        <v>0</v>
      </c>
      <c r="AB313" s="14">
        <f>+SUM('1:30'!AB313)</f>
        <v>0</v>
      </c>
      <c r="AC313" s="14">
        <f>+SUM('1:30'!AC313)</f>
        <v>0</v>
      </c>
    </row>
    <row r="314" spans="1:29" ht="21.95" customHeight="1">
      <c r="A314" s="142">
        <v>300425</v>
      </c>
      <c r="B314" s="135" t="s">
        <v>300</v>
      </c>
      <c r="C314" s="259" t="s">
        <v>296</v>
      </c>
      <c r="D314" s="260"/>
      <c r="E314" s="148" t="s">
        <v>299</v>
      </c>
      <c r="F314" s="13"/>
      <c r="G314" s="14">
        <f>+SUM('1:30'!G314)</f>
        <v>5.4</v>
      </c>
      <c r="H314" s="14">
        <f>+SUM('1:30'!H314)</f>
        <v>0</v>
      </c>
      <c r="I314" s="14">
        <f>+SUM('1:30'!I314)</f>
        <v>5.4</v>
      </c>
      <c r="J314" s="14">
        <f>+SUM('1:30'!J314)</f>
        <v>300</v>
      </c>
      <c r="K314" s="146">
        <f t="shared" si="38"/>
        <v>2830.1400000000003</v>
      </c>
      <c r="L314" s="146">
        <f t="shared" si="39"/>
        <v>2830.1400000000003</v>
      </c>
      <c r="M314" s="146">
        <v>524.1</v>
      </c>
      <c r="N314" s="146">
        <f t="shared" si="43"/>
        <v>3.3467432950191571</v>
      </c>
      <c r="O314" s="14">
        <f>+SUM('1:30'!O314)</f>
        <v>0.5</v>
      </c>
      <c r="P314" s="146">
        <f t="shared" si="40"/>
        <v>20.572413793103451</v>
      </c>
      <c r="Q314" s="14">
        <f>+SUM('1:30'!Q314)</f>
        <v>5.5</v>
      </c>
      <c r="R314" s="19">
        <f t="shared" si="41"/>
        <v>27.5</v>
      </c>
      <c r="S314" s="146">
        <f t="shared" si="42"/>
        <v>6.9275862068965495</v>
      </c>
      <c r="T314" s="20">
        <v>4</v>
      </c>
      <c r="U314" s="14">
        <f>+SUM('1:30'!U314)</f>
        <v>5</v>
      </c>
      <c r="V314" s="143"/>
      <c r="W314" s="14">
        <f>+SUM('1:30'!W314)</f>
        <v>0</v>
      </c>
      <c r="X314" s="14">
        <f>+SUM('1:30'!X314)</f>
        <v>0</v>
      </c>
      <c r="Y314" s="14">
        <f>+SUM('1:30'!Y314)</f>
        <v>0</v>
      </c>
      <c r="Z314" s="14">
        <f>+SUM('1:30'!Z314)</f>
        <v>0</v>
      </c>
      <c r="AA314" s="14">
        <f>+SUM('1:30'!AA314)</f>
        <v>0</v>
      </c>
      <c r="AB314" s="14">
        <f>+SUM('1:30'!AB314)</f>
        <v>0</v>
      </c>
      <c r="AC314" s="14">
        <f>+SUM('1:30'!AC314)</f>
        <v>0</v>
      </c>
    </row>
    <row r="315" spans="1:29" s="2" customFormat="1" ht="21.95" customHeight="1">
      <c r="A315" s="142">
        <v>300390</v>
      </c>
      <c r="B315" s="135" t="s">
        <v>295</v>
      </c>
      <c r="C315" s="259" t="s">
        <v>114</v>
      </c>
      <c r="D315" s="260"/>
      <c r="E315" s="148" t="s">
        <v>115</v>
      </c>
      <c r="F315" s="147"/>
      <c r="G315" s="14">
        <f>+SUM('1:30'!G315)</f>
        <v>1</v>
      </c>
      <c r="H315" s="14">
        <f>+SUM('1:30'!H315)</f>
        <v>0</v>
      </c>
      <c r="I315" s="14">
        <f>+SUM('1:30'!I315)</f>
        <v>1</v>
      </c>
      <c r="J315" s="14">
        <f>+SUM('1:30'!J315)</f>
        <v>0</v>
      </c>
      <c r="K315" s="146">
        <f t="shared" si="38"/>
        <v>417.4</v>
      </c>
      <c r="L315" s="146">
        <f t="shared" si="39"/>
        <v>417.4</v>
      </c>
      <c r="M315" s="146">
        <v>417.4</v>
      </c>
      <c r="N315" s="146">
        <f>+M315*1000/(87*1*80*60)*T315</f>
        <v>3.9980842911877397</v>
      </c>
      <c r="O315" s="14">
        <f>+SUM('1:30'!O315)</f>
        <v>0.5</v>
      </c>
      <c r="P315" s="146">
        <f t="shared" si="40"/>
        <v>5.9980842911877392</v>
      </c>
      <c r="Q315" s="14">
        <f>+SUM('1:30'!Q315)</f>
        <v>1.5</v>
      </c>
      <c r="R315" s="19">
        <f t="shared" si="41"/>
        <v>6</v>
      </c>
      <c r="S315" s="146">
        <f t="shared" si="42"/>
        <v>1.9157088122607746E-3</v>
      </c>
      <c r="T315" s="20">
        <v>4</v>
      </c>
      <c r="U315" s="14">
        <f>+SUM('1:30'!U315)</f>
        <v>4</v>
      </c>
      <c r="V315" s="143">
        <f t="array" ref="V315">IF(ISERROR(L315/K315),"",L315/K315)</f>
        <v>1</v>
      </c>
      <c r="W315" s="14">
        <f>+SUM('1:30'!W315)</f>
        <v>0</v>
      </c>
      <c r="X315" s="14">
        <f>+SUM('1:30'!X315)</f>
        <v>0</v>
      </c>
      <c r="Y315" s="14">
        <f>+SUM('1:30'!Y315)</f>
        <v>0</v>
      </c>
      <c r="Z315" s="14">
        <f>+SUM('1:30'!Z315)</f>
        <v>0</v>
      </c>
      <c r="AA315" s="14">
        <f>+SUM('1:30'!AA315)</f>
        <v>0</v>
      </c>
      <c r="AB315" s="14">
        <f>+SUM('1:30'!AB315)</f>
        <v>0</v>
      </c>
      <c r="AC315" s="14">
        <f>+SUM('1:30'!AC315)</f>
        <v>0</v>
      </c>
    </row>
    <row r="316" spans="1:29" s="2" customFormat="1" ht="21.95" customHeight="1">
      <c r="A316" s="142">
        <v>300391</v>
      </c>
      <c r="B316" s="135" t="s">
        <v>116</v>
      </c>
      <c r="C316" s="259" t="s">
        <v>114</v>
      </c>
      <c r="D316" s="260"/>
      <c r="E316" s="148" t="s">
        <v>117</v>
      </c>
      <c r="F316" s="147"/>
      <c r="G316" s="14">
        <f>+SUM('1:30'!G316)</f>
        <v>10</v>
      </c>
      <c r="H316" s="14">
        <f>+SUM('1:30'!H316)</f>
        <v>0</v>
      </c>
      <c r="I316" s="14">
        <f>+SUM('1:30'!I316)</f>
        <v>10</v>
      </c>
      <c r="J316" s="14">
        <f>+SUM('1:30'!J316)</f>
        <v>0</v>
      </c>
      <c r="K316" s="146">
        <f t="shared" si="38"/>
        <v>4174</v>
      </c>
      <c r="L316" s="146">
        <f t="shared" si="39"/>
        <v>4174</v>
      </c>
      <c r="M316" s="146">
        <v>417.4</v>
      </c>
      <c r="N316" s="146">
        <f>+M316*1000/(87*1*80*60)*T316</f>
        <v>3.9980842911877397</v>
      </c>
      <c r="O316" s="14">
        <f>+SUM('1:30'!O316)</f>
        <v>0</v>
      </c>
      <c r="P316" s="146">
        <f t="shared" si="40"/>
        <v>39.980842911877396</v>
      </c>
      <c r="Q316" s="14">
        <f>+SUM('1:30'!Q316)</f>
        <v>10</v>
      </c>
      <c r="R316" s="19">
        <f t="shared" si="41"/>
        <v>40</v>
      </c>
      <c r="S316" s="146">
        <f t="shared" si="42"/>
        <v>1.9157088122604193E-2</v>
      </c>
      <c r="T316" s="20">
        <v>4</v>
      </c>
      <c r="U316" s="14">
        <f>+SUM('1:30'!U316)</f>
        <v>4</v>
      </c>
      <c r="V316" s="143">
        <f t="array" ref="V316">IF(ISERROR(L316/K316),"",L316/K316)</f>
        <v>1</v>
      </c>
      <c r="W316" s="14">
        <f>+SUM('1:30'!W316)</f>
        <v>0</v>
      </c>
      <c r="X316" s="14">
        <f>+SUM('1:30'!X316)</f>
        <v>0</v>
      </c>
      <c r="Y316" s="14">
        <f>+SUM('1:30'!Y316)</f>
        <v>0</v>
      </c>
      <c r="Z316" s="14">
        <f>+SUM('1:30'!Z316)</f>
        <v>0</v>
      </c>
      <c r="AA316" s="14">
        <f>+SUM('1:30'!AA316)</f>
        <v>0</v>
      </c>
      <c r="AB316" s="14">
        <f>+SUM('1:30'!AB316)</f>
        <v>0</v>
      </c>
      <c r="AC316" s="14">
        <f>+SUM('1:30'!AC316)</f>
        <v>0</v>
      </c>
    </row>
    <row r="317" spans="1:29" s="3" customFormat="1" ht="21.95" customHeight="1">
      <c r="A317" s="23">
        <v>300431</v>
      </c>
      <c r="B317" s="135" t="s">
        <v>300</v>
      </c>
      <c r="C317" s="262" t="s">
        <v>305</v>
      </c>
      <c r="D317" s="263"/>
      <c r="E317" s="24" t="s">
        <v>306</v>
      </c>
      <c r="F317" s="25"/>
      <c r="G317" s="14">
        <f>+SUM('1:30'!G317)</f>
        <v>1.25</v>
      </c>
      <c r="H317" s="14">
        <f>+SUM('1:30'!H317)</f>
        <v>0.25</v>
      </c>
      <c r="I317" s="14">
        <f>+SUM('1:30'!I317)</f>
        <v>1.25</v>
      </c>
      <c r="J317" s="14">
        <f>+SUM('1:30'!J317)</f>
        <v>0</v>
      </c>
      <c r="K317" s="28">
        <f t="shared" si="38"/>
        <v>786</v>
      </c>
      <c r="L317" s="28">
        <f t="shared" si="39"/>
        <v>786</v>
      </c>
      <c r="M317" s="28">
        <v>628.79999999999995</v>
      </c>
      <c r="N317" s="28">
        <f>+M317*1000/(87*1*80*60)*T317</f>
        <v>6.0229885057471266</v>
      </c>
      <c r="O317" s="14">
        <f>+SUM('1:30'!O317)</f>
        <v>0</v>
      </c>
      <c r="P317" s="28">
        <f t="shared" si="40"/>
        <v>7.5287356321839081</v>
      </c>
      <c r="Q317" s="14">
        <f>+SUM('1:30'!Q317)</f>
        <v>3</v>
      </c>
      <c r="R317" s="29">
        <f t="shared" si="41"/>
        <v>15</v>
      </c>
      <c r="S317" s="28">
        <f t="shared" si="42"/>
        <v>7.4712643678160919</v>
      </c>
      <c r="T317" s="30">
        <v>4</v>
      </c>
      <c r="U317" s="14">
        <f>+SUM('1:30'!U317)</f>
        <v>5</v>
      </c>
      <c r="V317" s="112"/>
      <c r="W317" s="14">
        <f>+SUM('1:30'!W317)</f>
        <v>0</v>
      </c>
      <c r="X317" s="14">
        <f>+SUM('1:30'!X317)</f>
        <v>0</v>
      </c>
      <c r="Y317" s="14">
        <f>+SUM('1:30'!Y317)</f>
        <v>0</v>
      </c>
      <c r="Z317" s="14">
        <f>+SUM('1:30'!Z317)</f>
        <v>0</v>
      </c>
      <c r="AA317" s="14">
        <f>+SUM('1:30'!AA317)</f>
        <v>0</v>
      </c>
      <c r="AB317" s="14">
        <f>+SUM('1:30'!AB317)</f>
        <v>0</v>
      </c>
      <c r="AC317" s="14">
        <f>+SUM('1:30'!AC317)</f>
        <v>0</v>
      </c>
    </row>
    <row r="318" spans="1:29" s="3" customFormat="1" ht="21.95" customHeight="1">
      <c r="A318" s="23">
        <v>300432</v>
      </c>
      <c r="B318" s="135" t="s">
        <v>300</v>
      </c>
      <c r="C318" s="262" t="s">
        <v>305</v>
      </c>
      <c r="D318" s="263"/>
      <c r="E318" s="24" t="s">
        <v>307</v>
      </c>
      <c r="F318" s="25"/>
      <c r="G318" s="14">
        <f>+SUM('1:30'!G318)</f>
        <v>0</v>
      </c>
      <c r="H318" s="14">
        <f>+SUM('1:30'!H318)</f>
        <v>0</v>
      </c>
      <c r="I318" s="14">
        <f>+SUM('1:30'!I318)</f>
        <v>0</v>
      </c>
      <c r="J318" s="14">
        <f>+SUM('1:30'!J318)</f>
        <v>0</v>
      </c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14">
        <f>+SUM('1:30'!O318)</f>
        <v>0</v>
      </c>
      <c r="P318" s="28">
        <f t="shared" si="40"/>
        <v>0</v>
      </c>
      <c r="Q318" s="14">
        <f>+SUM('1:30'!Q318)</f>
        <v>0</v>
      </c>
      <c r="R318" s="29">
        <f t="shared" si="41"/>
        <v>0</v>
      </c>
      <c r="S318" s="28">
        <f t="shared" si="42"/>
        <v>0</v>
      </c>
      <c r="T318" s="30">
        <v>4</v>
      </c>
      <c r="U318" s="14">
        <f>+SUM('1:30'!U318)</f>
        <v>0</v>
      </c>
      <c r="V318" s="112"/>
      <c r="W318" s="14">
        <f>+SUM('1:30'!W318)</f>
        <v>0</v>
      </c>
      <c r="X318" s="14">
        <f>+SUM('1:30'!X318)</f>
        <v>0</v>
      </c>
      <c r="Y318" s="14">
        <f>+SUM('1:30'!Y318)</f>
        <v>0</v>
      </c>
      <c r="Z318" s="14">
        <f>+SUM('1:30'!Z318)</f>
        <v>0</v>
      </c>
      <c r="AA318" s="14">
        <f>+SUM('1:30'!AA318)</f>
        <v>0</v>
      </c>
      <c r="AB318" s="14">
        <f>+SUM('1:30'!AB318)</f>
        <v>0</v>
      </c>
      <c r="AC318" s="14">
        <f>+SUM('1:30'!AC318)</f>
        <v>0</v>
      </c>
    </row>
    <row r="319" spans="1:29" s="3" customFormat="1" ht="21.95" customHeight="1">
      <c r="A319" s="23">
        <v>300433</v>
      </c>
      <c r="B319" s="135" t="s">
        <v>300</v>
      </c>
      <c r="C319" s="262" t="s">
        <v>305</v>
      </c>
      <c r="D319" s="263"/>
      <c r="E319" s="125" t="s">
        <v>308</v>
      </c>
      <c r="F319" s="25"/>
      <c r="G319" s="14">
        <f>+SUM('1:30'!G319)</f>
        <v>8</v>
      </c>
      <c r="H319" s="14">
        <f>+SUM('1:30'!H319)</f>
        <v>0</v>
      </c>
      <c r="I319" s="14">
        <f>+SUM('1:30'!I319)</f>
        <v>8</v>
      </c>
      <c r="J319" s="14">
        <f>+SUM('1:30'!J319)</f>
        <v>0</v>
      </c>
      <c r="K319" s="28">
        <f t="shared" si="38"/>
        <v>5030.3999999999996</v>
      </c>
      <c r="L319" s="28">
        <f t="shared" si="39"/>
        <v>5030.3999999999996</v>
      </c>
      <c r="M319" s="28">
        <v>628.79999999999995</v>
      </c>
      <c r="N319" s="28">
        <f>+M319*1000/(87*1*80*60)*T319</f>
        <v>6.0229885057471266</v>
      </c>
      <c r="O319" s="14">
        <f>+SUM('1:30'!O319)</f>
        <v>0.5</v>
      </c>
      <c r="P319" s="28">
        <f t="shared" si="40"/>
        <v>50.683908045977013</v>
      </c>
      <c r="Q319" s="14">
        <f>+SUM('1:30'!Q319)</f>
        <v>15</v>
      </c>
      <c r="R319" s="29">
        <f t="shared" si="41"/>
        <v>75</v>
      </c>
      <c r="S319" s="28">
        <f t="shared" si="42"/>
        <v>24.316091954022987</v>
      </c>
      <c r="T319" s="30">
        <v>4</v>
      </c>
      <c r="U319" s="14">
        <f>+SUM('1:30'!U319)</f>
        <v>5</v>
      </c>
      <c r="V319" s="112"/>
      <c r="W319" s="14">
        <f>+SUM('1:30'!W319)</f>
        <v>0</v>
      </c>
      <c r="X319" s="14">
        <f>+SUM('1:30'!X319)</f>
        <v>0</v>
      </c>
      <c r="Y319" s="14">
        <f>+SUM('1:30'!Y319)</f>
        <v>0</v>
      </c>
      <c r="Z319" s="14">
        <f>+SUM('1:30'!Z319)</f>
        <v>0</v>
      </c>
      <c r="AA319" s="14">
        <f>+SUM('1:30'!AA319)</f>
        <v>0</v>
      </c>
      <c r="AB319" s="14">
        <f>+SUM('1:30'!AB319)</f>
        <v>0</v>
      </c>
      <c r="AC319" s="14">
        <f>+SUM('1:30'!AC319)</f>
        <v>0</v>
      </c>
    </row>
    <row r="320" spans="1:29" s="2" customFormat="1" ht="21.95" customHeight="1">
      <c r="A320" s="142">
        <v>300074</v>
      </c>
      <c r="B320" s="135" t="s">
        <v>118</v>
      </c>
      <c r="C320" s="248" t="s">
        <v>119</v>
      </c>
      <c r="D320" s="248" t="s">
        <v>120</v>
      </c>
      <c r="E320" s="148" t="s">
        <v>54</v>
      </c>
      <c r="F320" s="147"/>
      <c r="G320" s="14">
        <f>+SUM('1:30'!G320)</f>
        <v>11.25</v>
      </c>
      <c r="H320" s="14">
        <f>+SUM('1:30'!H320)</f>
        <v>0.5</v>
      </c>
      <c r="I320" s="14">
        <f>+SUM('1:30'!I320)</f>
        <v>11.25</v>
      </c>
      <c r="J320" s="14">
        <f>+SUM('1:30'!J320)</f>
        <v>50</v>
      </c>
      <c r="K320" s="146">
        <f t="shared" si="38"/>
        <v>3271.5</v>
      </c>
      <c r="L320" s="146">
        <f t="shared" si="39"/>
        <v>3271.5</v>
      </c>
      <c r="M320" s="146">
        <v>290.8</v>
      </c>
      <c r="N320" s="146">
        <f>+M320*1000/(88*4*13*60)*T320</f>
        <v>3.1774475524475525</v>
      </c>
      <c r="O320" s="14">
        <f>+SUM('1:30'!O320)</f>
        <v>0</v>
      </c>
      <c r="P320" s="146">
        <f t="shared" si="40"/>
        <v>35.746284965034967</v>
      </c>
      <c r="Q320" s="14">
        <f>+SUM('1:30'!Q320)</f>
        <v>11.8</v>
      </c>
      <c r="R320" s="19">
        <f t="shared" si="41"/>
        <v>70.800000000000011</v>
      </c>
      <c r="S320" s="146">
        <f t="shared" si="42"/>
        <v>35.053715034965045</v>
      </c>
      <c r="T320" s="20">
        <v>3</v>
      </c>
      <c r="U320" s="14">
        <f>+SUM('1:30'!U320)</f>
        <v>6</v>
      </c>
      <c r="V320" s="143">
        <f t="array" ref="V320">IF(ISERROR(L320/K320),"",L320/K320)</f>
        <v>1</v>
      </c>
      <c r="W320" s="14">
        <f>+SUM('1:30'!W320)</f>
        <v>0</v>
      </c>
      <c r="X320" s="14">
        <f>+SUM('1:30'!X320)</f>
        <v>0</v>
      </c>
      <c r="Y320" s="14">
        <f>+SUM('1:30'!Y320)</f>
        <v>0</v>
      </c>
      <c r="Z320" s="14">
        <f>+SUM('1:30'!Z320)</f>
        <v>0</v>
      </c>
      <c r="AA320" s="14">
        <f>+SUM('1:30'!AA320)</f>
        <v>0</v>
      </c>
      <c r="AB320" s="14">
        <f>+SUM('1:30'!AB320)</f>
        <v>0</v>
      </c>
      <c r="AC320" s="14">
        <f>+SUM('1:30'!AC320)</f>
        <v>0</v>
      </c>
    </row>
    <row r="321" spans="1:29" s="2" customFormat="1" ht="21.95" customHeight="1">
      <c r="A321" s="142">
        <v>300076</v>
      </c>
      <c r="B321" s="135" t="s">
        <v>118</v>
      </c>
      <c r="C321" s="248" t="s">
        <v>119</v>
      </c>
      <c r="D321" s="248" t="s">
        <v>120</v>
      </c>
      <c r="E321" s="148" t="s">
        <v>35</v>
      </c>
      <c r="F321" s="147"/>
      <c r="G321" s="14">
        <f>+SUM('1:30'!G321)</f>
        <v>17.399999999999999</v>
      </c>
      <c r="H321" s="14">
        <f>+SUM('1:30'!H321)</f>
        <v>0.3</v>
      </c>
      <c r="I321" s="14">
        <f>+SUM('1:30'!I321)</f>
        <v>17.399999999999999</v>
      </c>
      <c r="J321" s="14">
        <f>+SUM('1:30'!J321)</f>
        <v>180</v>
      </c>
      <c r="K321" s="146">
        <f t="shared" si="38"/>
        <v>5273.94</v>
      </c>
      <c r="L321" s="146">
        <f t="shared" si="39"/>
        <v>5273.94</v>
      </c>
      <c r="M321" s="146">
        <v>303.10000000000002</v>
      </c>
      <c r="N321" s="146">
        <f>+M321*1000/(88*4*12*60)*T321</f>
        <v>4.7837752525252526</v>
      </c>
      <c r="O321" s="14">
        <f>+SUM('1:30'!O321)</f>
        <v>0.5</v>
      </c>
      <c r="P321" s="146">
        <f t="shared" si="40"/>
        <v>87.237689393939391</v>
      </c>
      <c r="Q321" s="14">
        <f>+SUM('1:30'!Q321)</f>
        <v>19</v>
      </c>
      <c r="R321" s="19">
        <f t="shared" si="41"/>
        <v>152</v>
      </c>
      <c r="S321" s="146">
        <f t="shared" si="42"/>
        <v>64.762310606060609</v>
      </c>
      <c r="T321" s="20">
        <v>4</v>
      </c>
      <c r="U321" s="14">
        <f>+SUM('1:30'!U321)</f>
        <v>8</v>
      </c>
      <c r="V321" s="143">
        <f t="array" ref="V321">IF(ISERROR(L321/K321),"",L321/K321)</f>
        <v>1</v>
      </c>
      <c r="W321" s="14">
        <f>+SUM('1:30'!W321)</f>
        <v>0</v>
      </c>
      <c r="X321" s="14">
        <f>+SUM('1:30'!X321)</f>
        <v>0</v>
      </c>
      <c r="Y321" s="14">
        <f>+SUM('1:30'!Y321)</f>
        <v>0</v>
      </c>
      <c r="Z321" s="14">
        <f>+SUM('1:30'!Z321)</f>
        <v>0</v>
      </c>
      <c r="AA321" s="14">
        <f>+SUM('1:30'!AA321)</f>
        <v>2</v>
      </c>
      <c r="AB321" s="14">
        <f>+SUM('1:30'!AB321)</f>
        <v>0</v>
      </c>
      <c r="AC321" s="14">
        <f>+SUM('1:30'!AC321)</f>
        <v>0</v>
      </c>
    </row>
    <row r="322" spans="1:29" s="2" customFormat="1" ht="21.95" customHeight="1">
      <c r="A322" s="142">
        <v>300096</v>
      </c>
      <c r="B322" s="138">
        <v>6502</v>
      </c>
      <c r="C322" s="261" t="s">
        <v>121</v>
      </c>
      <c r="D322" s="261" t="s">
        <v>122</v>
      </c>
      <c r="E322" s="42" t="s">
        <v>37</v>
      </c>
      <c r="F322" s="147"/>
      <c r="G322" s="14">
        <f>+SUM('1:30'!G322)</f>
        <v>9.23</v>
      </c>
      <c r="H322" s="14">
        <f>+SUM('1:30'!H322)</f>
        <v>0.5</v>
      </c>
      <c r="I322" s="14">
        <f>+SUM('1:30'!I322)</f>
        <v>9.2333333333333325</v>
      </c>
      <c r="J322" s="14">
        <f>+SUM('1:30'!J322)</f>
        <v>80</v>
      </c>
      <c r="K322" s="146">
        <f t="shared" si="38"/>
        <v>4431.5999000000002</v>
      </c>
      <c r="L322" s="146">
        <f t="shared" si="39"/>
        <v>4433.2003333333332</v>
      </c>
      <c r="M322" s="146">
        <v>480.13</v>
      </c>
      <c r="N322" s="146">
        <f>+M322*1000/(126.5*4*12*60)*T322</f>
        <v>2.6357597716293371</v>
      </c>
      <c r="O322" s="14">
        <f>+SUM('1:30'!O322)</f>
        <v>0</v>
      </c>
      <c r="P322" s="146">
        <f t="shared" si="40"/>
        <v>24.33684855804421</v>
      </c>
      <c r="Q322" s="14">
        <f>+SUM('1:30'!Q322)</f>
        <v>11.5</v>
      </c>
      <c r="R322" s="19">
        <f t="shared" si="41"/>
        <v>23</v>
      </c>
      <c r="S322" s="146">
        <f t="shared" si="42"/>
        <v>-1.3368485580442098</v>
      </c>
      <c r="T322" s="20">
        <v>2</v>
      </c>
      <c r="U322" s="14">
        <f>+SUM('1:30'!U322)</f>
        <v>2</v>
      </c>
      <c r="V322" s="143">
        <f t="array" ref="V322">IF(ISERROR(L322/K322),"",L322/K322)</f>
        <v>1.0003611412062117</v>
      </c>
      <c r="W322" s="14">
        <f>+SUM('1:30'!W322)</f>
        <v>0</v>
      </c>
      <c r="X322" s="14">
        <f>+SUM('1:30'!X322)</f>
        <v>0.83333333333333337</v>
      </c>
      <c r="Y322" s="14">
        <f>+SUM('1:30'!Y322)</f>
        <v>0</v>
      </c>
      <c r="Z322" s="14">
        <f>+SUM('1:30'!Z322)</f>
        <v>0</v>
      </c>
      <c r="AA322" s="14">
        <f>+SUM('1:30'!AA322)</f>
        <v>0</v>
      </c>
      <c r="AB322" s="14">
        <f>+SUM('1:30'!AB322)</f>
        <v>0</v>
      </c>
      <c r="AC322" s="14">
        <f>+SUM('1:30'!AC322)</f>
        <v>0</v>
      </c>
    </row>
    <row r="323" spans="1:29" s="2" customFormat="1" ht="21.95" customHeight="1">
      <c r="A323" s="142"/>
      <c r="B323" s="138" t="s">
        <v>118</v>
      </c>
      <c r="C323" s="261" t="s">
        <v>121</v>
      </c>
      <c r="D323" s="261" t="s">
        <v>122</v>
      </c>
      <c r="E323" s="42" t="s">
        <v>35</v>
      </c>
      <c r="F323" s="147"/>
      <c r="G323" s="14">
        <f>+SUM('1:30'!G323)</f>
        <v>0</v>
      </c>
      <c r="H323" s="14">
        <f>+SUM('1:30'!H323)</f>
        <v>0</v>
      </c>
      <c r="I323" s="14">
        <f>+SUM('1:30'!I323)</f>
        <v>0</v>
      </c>
      <c r="J323" s="14">
        <f>+SUM('1:30'!J323)</f>
        <v>0</v>
      </c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">
        <f>+SUM('1:30'!O323)</f>
        <v>0</v>
      </c>
      <c r="P323" s="146">
        <f t="shared" si="40"/>
        <v>0</v>
      </c>
      <c r="Q323" s="14">
        <f>+SUM('1:30'!Q323)</f>
        <v>0</v>
      </c>
      <c r="R323" s="19">
        <f t="shared" si="41"/>
        <v>0</v>
      </c>
      <c r="S323" s="146">
        <f t="shared" si="42"/>
        <v>0</v>
      </c>
      <c r="T323" s="20">
        <v>2</v>
      </c>
      <c r="U323" s="14">
        <f>+SUM('1:30'!U323)</f>
        <v>0</v>
      </c>
      <c r="V323" s="143" t="str">
        <f t="array" ref="V323">IF(ISERROR(L323/K323),"",L323/K323)</f>
        <v/>
      </c>
      <c r="W323" s="14">
        <f>+SUM('1:30'!W323)</f>
        <v>0</v>
      </c>
      <c r="X323" s="14">
        <f>+SUM('1:30'!X323)</f>
        <v>0</v>
      </c>
      <c r="Y323" s="14">
        <f>+SUM('1:30'!Y323)</f>
        <v>0</v>
      </c>
      <c r="Z323" s="14">
        <f>+SUM('1:30'!Z323)</f>
        <v>0</v>
      </c>
      <c r="AA323" s="14">
        <f>+SUM('1:30'!AA323)</f>
        <v>0</v>
      </c>
      <c r="AB323" s="14">
        <f>+SUM('1:30'!AB323)</f>
        <v>0</v>
      </c>
      <c r="AC323" s="14">
        <f>+SUM('1:30'!AC323)</f>
        <v>0</v>
      </c>
    </row>
    <row r="324" spans="1:29" s="2" customFormat="1" ht="21.95" customHeight="1">
      <c r="A324" s="142">
        <v>300097</v>
      </c>
      <c r="B324" s="138">
        <v>6502</v>
      </c>
      <c r="C324" s="261" t="s">
        <v>121</v>
      </c>
      <c r="D324" s="261" t="s">
        <v>122</v>
      </c>
      <c r="E324" s="42" t="s">
        <v>63</v>
      </c>
      <c r="F324" s="147"/>
      <c r="G324" s="14">
        <f>+SUM('1:30'!G324)</f>
        <v>9.67</v>
      </c>
      <c r="H324" s="14">
        <f>+SUM('1:30'!H324)</f>
        <v>0.93333333333333335</v>
      </c>
      <c r="I324" s="14">
        <f>+SUM('1:30'!I324)</f>
        <v>9.6666666666666661</v>
      </c>
      <c r="J324" s="14">
        <f>+SUM('1:30'!J324)</f>
        <v>80</v>
      </c>
      <c r="K324" s="146">
        <f t="shared" si="38"/>
        <v>4642.8571000000002</v>
      </c>
      <c r="L324" s="146">
        <f t="shared" si="39"/>
        <v>4641.2566666666662</v>
      </c>
      <c r="M324" s="146">
        <v>480.13</v>
      </c>
      <c r="N324" s="146">
        <f>+M324*1000/(126.5*4*12*60)*T324</f>
        <v>2.6357597716293371</v>
      </c>
      <c r="O324" s="14">
        <f>+SUM('1:30'!O324)</f>
        <v>0</v>
      </c>
      <c r="P324" s="146">
        <f t="shared" si="40"/>
        <v>25.479011125750258</v>
      </c>
      <c r="Q324" s="14">
        <f>+SUM('1:30'!Q324)</f>
        <v>11.5</v>
      </c>
      <c r="R324" s="19">
        <f t="shared" si="41"/>
        <v>23</v>
      </c>
      <c r="S324" s="146">
        <f t="shared" si="42"/>
        <v>-2.4790111257502581</v>
      </c>
      <c r="T324" s="20">
        <v>2</v>
      </c>
      <c r="U324" s="14">
        <f>+SUM('1:30'!U324)</f>
        <v>2</v>
      </c>
      <c r="V324" s="143">
        <f t="array" ref="V324">IF(ISERROR(L324/K324),"",L324/K324)</f>
        <v>0.99965529127886921</v>
      </c>
      <c r="W324" s="14">
        <f>+SUM('1:30'!W324)</f>
        <v>0</v>
      </c>
      <c r="X324" s="14">
        <f>+SUM('1:30'!X324)</f>
        <v>1.2</v>
      </c>
      <c r="Y324" s="14">
        <f>+SUM('1:30'!Y324)</f>
        <v>0</v>
      </c>
      <c r="Z324" s="14">
        <f>+SUM('1:30'!Z324)</f>
        <v>0</v>
      </c>
      <c r="AA324" s="14">
        <f>+SUM('1:30'!AA324)</f>
        <v>0</v>
      </c>
      <c r="AB324" s="14">
        <f>+SUM('1:30'!AB324)</f>
        <v>0</v>
      </c>
      <c r="AC324" s="14">
        <f>+SUM('1:30'!AC324)</f>
        <v>0</v>
      </c>
    </row>
    <row r="325" spans="1:29" s="2" customFormat="1" ht="21.95" customHeight="1">
      <c r="A325" s="135">
        <v>300294</v>
      </c>
      <c r="B325" s="135" t="s">
        <v>118</v>
      </c>
      <c r="C325" s="248" t="s">
        <v>123</v>
      </c>
      <c r="D325" s="248"/>
      <c r="E325" s="148" t="s">
        <v>41</v>
      </c>
      <c r="F325" s="147"/>
      <c r="G325" s="14">
        <f>+SUM('1:30'!G325)</f>
        <v>0</v>
      </c>
      <c r="H325" s="14">
        <f>+SUM('1:30'!H325)</f>
        <v>0</v>
      </c>
      <c r="I325" s="14">
        <f>+SUM('1:30'!I325)</f>
        <v>0</v>
      </c>
      <c r="J325" s="14">
        <f>+SUM('1:30'!J325)</f>
        <v>0</v>
      </c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">
        <f>+SUM('1:30'!O325)</f>
        <v>0</v>
      </c>
      <c r="P325" s="146">
        <f t="shared" si="40"/>
        <v>0</v>
      </c>
      <c r="Q325" s="14">
        <f>+SUM('1:30'!Q325)</f>
        <v>0</v>
      </c>
      <c r="R325" s="19">
        <f t="shared" si="41"/>
        <v>0</v>
      </c>
      <c r="S325" s="146">
        <f t="shared" si="42"/>
        <v>0</v>
      </c>
      <c r="T325" s="20">
        <v>3</v>
      </c>
      <c r="U325" s="14">
        <f>+SUM('1:30'!U325)</f>
        <v>0</v>
      </c>
      <c r="V325" s="143" t="str">
        <f t="array" ref="V325">IF(ISERROR(L325/K325),"",L325/K325)</f>
        <v/>
      </c>
      <c r="W325" s="14">
        <f>+SUM('1:30'!W325)</f>
        <v>0</v>
      </c>
      <c r="X325" s="14">
        <f>+SUM('1:30'!X325)</f>
        <v>0</v>
      </c>
      <c r="Y325" s="14">
        <f>+SUM('1:30'!Y325)</f>
        <v>0</v>
      </c>
      <c r="Z325" s="14">
        <f>+SUM('1:30'!Z325)</f>
        <v>0</v>
      </c>
      <c r="AA325" s="14">
        <f>+SUM('1:30'!AA325)</f>
        <v>0</v>
      </c>
      <c r="AB325" s="14">
        <f>+SUM('1:30'!AB325)</f>
        <v>0</v>
      </c>
      <c r="AC325" s="14">
        <f>+SUM('1:30'!AC325)</f>
        <v>0</v>
      </c>
    </row>
    <row r="326" spans="1:29" s="2" customFormat="1" ht="21.95" customHeight="1">
      <c r="A326" s="135">
        <v>300295</v>
      </c>
      <c r="B326" s="135" t="s">
        <v>124</v>
      </c>
      <c r="C326" s="248" t="s">
        <v>125</v>
      </c>
      <c r="D326" s="248"/>
      <c r="E326" s="148" t="s">
        <v>126</v>
      </c>
      <c r="F326" s="147"/>
      <c r="G326" s="14">
        <f>+SUM('1:30'!G326)</f>
        <v>0</v>
      </c>
      <c r="H326" s="14">
        <f>+SUM('1:30'!H326)</f>
        <v>0</v>
      </c>
      <c r="I326" s="14">
        <f>+SUM('1:30'!I326)</f>
        <v>0</v>
      </c>
      <c r="J326" s="14">
        <f>+SUM('1:30'!J326)</f>
        <v>0</v>
      </c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">
        <f>+SUM('1:30'!O326)</f>
        <v>0</v>
      </c>
      <c r="P326" s="146">
        <f t="shared" si="40"/>
        <v>0</v>
      </c>
      <c r="Q326" s="14">
        <f>+SUM('1:30'!Q326)</f>
        <v>0</v>
      </c>
      <c r="R326" s="19">
        <f t="shared" si="41"/>
        <v>0</v>
      </c>
      <c r="S326" s="146">
        <f t="shared" si="42"/>
        <v>0</v>
      </c>
      <c r="T326" s="20">
        <v>3</v>
      </c>
      <c r="U326" s="14">
        <f>+SUM('1:30'!U326)</f>
        <v>0</v>
      </c>
      <c r="V326" s="143" t="str">
        <f t="array" ref="V326">IF(ISERROR(L326/K326),"",L326/K326)</f>
        <v/>
      </c>
      <c r="W326" s="14">
        <f>+SUM('1:30'!W326)</f>
        <v>0</v>
      </c>
      <c r="X326" s="14">
        <f>+SUM('1:30'!X326)</f>
        <v>0</v>
      </c>
      <c r="Y326" s="14">
        <f>+SUM('1:30'!Y326)</f>
        <v>0</v>
      </c>
      <c r="Z326" s="14">
        <f>+SUM('1:30'!Z326)</f>
        <v>0</v>
      </c>
      <c r="AA326" s="14">
        <f>+SUM('1:30'!AA326)</f>
        <v>0</v>
      </c>
      <c r="AB326" s="14">
        <f>+SUM('1:30'!AB326)</f>
        <v>0</v>
      </c>
      <c r="AC326" s="14">
        <f>+SUM('1:30'!AC326)</f>
        <v>0</v>
      </c>
    </row>
    <row r="327" spans="1:29" s="2" customFormat="1" ht="21.95" customHeight="1">
      <c r="A327" s="135">
        <v>300258</v>
      </c>
      <c r="B327" s="135" t="s">
        <v>118</v>
      </c>
      <c r="C327" s="248" t="s">
        <v>123</v>
      </c>
      <c r="D327" s="248"/>
      <c r="E327" s="148" t="s">
        <v>42</v>
      </c>
      <c r="F327" s="147"/>
      <c r="G327" s="14">
        <f>+SUM('1:30'!G327)</f>
        <v>0</v>
      </c>
      <c r="H327" s="14">
        <f>+SUM('1:30'!H327)</f>
        <v>0</v>
      </c>
      <c r="I327" s="14">
        <f>+SUM('1:30'!I327)</f>
        <v>0</v>
      </c>
      <c r="J327" s="14">
        <f>+SUM('1:30'!J327)</f>
        <v>0</v>
      </c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">
        <f>+SUM('1:30'!O327)</f>
        <v>0</v>
      </c>
      <c r="P327" s="146">
        <f t="shared" si="40"/>
        <v>0</v>
      </c>
      <c r="Q327" s="14">
        <f>+SUM('1:30'!Q327)</f>
        <v>0</v>
      </c>
      <c r="R327" s="19">
        <f t="shared" si="41"/>
        <v>0</v>
      </c>
      <c r="S327" s="146">
        <f t="shared" si="42"/>
        <v>0</v>
      </c>
      <c r="T327" s="20">
        <v>3</v>
      </c>
      <c r="U327" s="14">
        <f>+SUM('1:30'!U327)</f>
        <v>0</v>
      </c>
      <c r="V327" s="143" t="str">
        <f t="array" ref="V327">IF(ISERROR(L327/K327),"",L327/K327)</f>
        <v/>
      </c>
      <c r="W327" s="14">
        <f>+SUM('1:30'!W327)</f>
        <v>0</v>
      </c>
      <c r="X327" s="14">
        <f>+SUM('1:30'!X327)</f>
        <v>0</v>
      </c>
      <c r="Y327" s="14">
        <f>+SUM('1:30'!Y327)</f>
        <v>0</v>
      </c>
      <c r="Z327" s="14">
        <f>+SUM('1:30'!Z327)</f>
        <v>0</v>
      </c>
      <c r="AA327" s="14">
        <f>+SUM('1:30'!AA327)</f>
        <v>0</v>
      </c>
      <c r="AB327" s="14">
        <f>+SUM('1:30'!AB327)</f>
        <v>0</v>
      </c>
      <c r="AC327" s="14">
        <f>+SUM('1:30'!AC327)</f>
        <v>0</v>
      </c>
    </row>
    <row r="328" spans="1:29" s="2" customFormat="1" ht="21.95" customHeight="1">
      <c r="A328" s="135">
        <v>300256</v>
      </c>
      <c r="B328" s="135" t="s">
        <v>118</v>
      </c>
      <c r="C328" s="248" t="s">
        <v>123</v>
      </c>
      <c r="D328" s="248"/>
      <c r="E328" s="148" t="s">
        <v>74</v>
      </c>
      <c r="F328" s="147"/>
      <c r="G328" s="14">
        <f>+SUM('1:30'!G328)</f>
        <v>0</v>
      </c>
      <c r="H328" s="14">
        <f>+SUM('1:30'!H328)</f>
        <v>0</v>
      </c>
      <c r="I328" s="14">
        <f>+SUM('1:30'!I328)</f>
        <v>0</v>
      </c>
      <c r="J328" s="14">
        <f>+SUM('1:30'!J328)</f>
        <v>0</v>
      </c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">
        <f>+SUM('1:30'!O328)</f>
        <v>0</v>
      </c>
      <c r="P328" s="146">
        <f t="shared" si="40"/>
        <v>0</v>
      </c>
      <c r="Q328" s="14">
        <f>+SUM('1:30'!Q328)</f>
        <v>0</v>
      </c>
      <c r="R328" s="19">
        <f t="shared" si="41"/>
        <v>0</v>
      </c>
      <c r="S328" s="146">
        <f t="shared" si="42"/>
        <v>0</v>
      </c>
      <c r="T328" s="20">
        <v>3</v>
      </c>
      <c r="U328" s="14">
        <f>+SUM('1:30'!U328)</f>
        <v>0</v>
      </c>
      <c r="V328" s="143" t="str">
        <f t="array" ref="V328">IF(ISERROR(L328/K328),"",L328/K328)</f>
        <v/>
      </c>
      <c r="W328" s="14">
        <f>+SUM('1:30'!W328)</f>
        <v>0</v>
      </c>
      <c r="X328" s="14">
        <f>+SUM('1:30'!X328)</f>
        <v>0</v>
      </c>
      <c r="Y328" s="14">
        <f>+SUM('1:30'!Y328)</f>
        <v>0</v>
      </c>
      <c r="Z328" s="14">
        <f>+SUM('1:30'!Z328)</f>
        <v>0</v>
      </c>
      <c r="AA328" s="14">
        <f>+SUM('1:30'!AA328)</f>
        <v>0</v>
      </c>
      <c r="AB328" s="14">
        <f>+SUM('1:30'!AB328)</f>
        <v>0</v>
      </c>
      <c r="AC328" s="14">
        <f>+SUM('1:30'!AC328)</f>
        <v>0</v>
      </c>
    </row>
    <row r="329" spans="1:29" s="2" customFormat="1" ht="21.95" customHeight="1">
      <c r="A329" s="135">
        <v>300259</v>
      </c>
      <c r="B329" s="135" t="s">
        <v>118</v>
      </c>
      <c r="C329" s="248" t="s">
        <v>123</v>
      </c>
      <c r="D329" s="248"/>
      <c r="E329" s="148" t="s">
        <v>40</v>
      </c>
      <c r="F329" s="147"/>
      <c r="G329" s="14">
        <f>+SUM('1:30'!G329)</f>
        <v>0</v>
      </c>
      <c r="H329" s="14">
        <f>+SUM('1:30'!H329)</f>
        <v>0</v>
      </c>
      <c r="I329" s="14">
        <f>+SUM('1:30'!I329)</f>
        <v>0</v>
      </c>
      <c r="J329" s="14">
        <f>+SUM('1:30'!J329)</f>
        <v>0</v>
      </c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">
        <f>+SUM('1:30'!O329)</f>
        <v>0</v>
      </c>
      <c r="P329" s="146">
        <f t="shared" si="40"/>
        <v>0</v>
      </c>
      <c r="Q329" s="14">
        <f>+SUM('1:30'!Q329)</f>
        <v>0</v>
      </c>
      <c r="R329" s="19">
        <f t="shared" si="41"/>
        <v>0</v>
      </c>
      <c r="S329" s="146">
        <f t="shared" si="42"/>
        <v>0</v>
      </c>
      <c r="T329" s="20">
        <v>3</v>
      </c>
      <c r="U329" s="14">
        <f>+SUM('1:30'!U329)</f>
        <v>0</v>
      </c>
      <c r="V329" s="143" t="str">
        <f t="array" ref="V329">IF(ISERROR(L329/K329),"",L329/K329)</f>
        <v/>
      </c>
      <c r="W329" s="14">
        <f>+SUM('1:30'!W329)</f>
        <v>0</v>
      </c>
      <c r="X329" s="14">
        <f>+SUM('1:30'!X329)</f>
        <v>0</v>
      </c>
      <c r="Y329" s="14">
        <f>+SUM('1:30'!Y329)</f>
        <v>0</v>
      </c>
      <c r="Z329" s="14">
        <f>+SUM('1:30'!Z329)</f>
        <v>0</v>
      </c>
      <c r="AA329" s="14">
        <f>+SUM('1:30'!AA329)</f>
        <v>0</v>
      </c>
      <c r="AB329" s="14">
        <f>+SUM('1:30'!AB329)</f>
        <v>0</v>
      </c>
      <c r="AC329" s="14">
        <f>+SUM('1:30'!AC329)</f>
        <v>0</v>
      </c>
    </row>
    <row r="330" spans="1:29" s="2" customFormat="1" ht="21.95" customHeight="1">
      <c r="A330" s="135">
        <v>300345</v>
      </c>
      <c r="B330" s="135" t="s">
        <v>118</v>
      </c>
      <c r="C330" s="248" t="s">
        <v>127</v>
      </c>
      <c r="D330" s="248"/>
      <c r="E330" s="148" t="s">
        <v>74</v>
      </c>
      <c r="F330" s="147"/>
      <c r="G330" s="14">
        <f>+SUM('1:30'!G330)</f>
        <v>0</v>
      </c>
      <c r="H330" s="14">
        <f>+SUM('1:30'!H330)</f>
        <v>0</v>
      </c>
      <c r="I330" s="14">
        <f>+SUM('1:30'!I330)</f>
        <v>0</v>
      </c>
      <c r="J330" s="14">
        <f>+SUM('1:30'!J330)</f>
        <v>0</v>
      </c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14">
        <f>+SUM('1:30'!O330)</f>
        <v>0</v>
      </c>
      <c r="P330" s="146">
        <f t="shared" si="40"/>
        <v>0</v>
      </c>
      <c r="Q330" s="14">
        <f>+SUM('1:30'!Q330)</f>
        <v>0</v>
      </c>
      <c r="R330" s="19">
        <f t="shared" si="41"/>
        <v>0</v>
      </c>
      <c r="S330" s="146">
        <f t="shared" si="42"/>
        <v>0</v>
      </c>
      <c r="T330" s="20">
        <v>3</v>
      </c>
      <c r="U330" s="14">
        <f>+SUM('1:30'!U330)</f>
        <v>0</v>
      </c>
      <c r="V330" s="143"/>
      <c r="W330" s="14">
        <f>+SUM('1:30'!W330)</f>
        <v>0</v>
      </c>
      <c r="X330" s="14">
        <f>+SUM('1:30'!X330)</f>
        <v>0</v>
      </c>
      <c r="Y330" s="14">
        <f>+SUM('1:30'!Y330)</f>
        <v>0</v>
      </c>
      <c r="Z330" s="14">
        <f>+SUM('1:30'!Z330)</f>
        <v>0</v>
      </c>
      <c r="AA330" s="14">
        <f>+SUM('1:30'!AA330)</f>
        <v>0</v>
      </c>
      <c r="AB330" s="14">
        <f>+SUM('1:30'!AB330)</f>
        <v>0</v>
      </c>
      <c r="AC330" s="14">
        <f>+SUM('1:30'!AC330)</f>
        <v>0</v>
      </c>
    </row>
    <row r="331" spans="1:29" s="2" customFormat="1" ht="21.95" customHeight="1">
      <c r="A331" s="135">
        <v>300346</v>
      </c>
      <c r="B331" s="135" t="s">
        <v>118</v>
      </c>
      <c r="C331" s="248" t="s">
        <v>127</v>
      </c>
      <c r="D331" s="248"/>
      <c r="E331" s="148" t="s">
        <v>42</v>
      </c>
      <c r="F331" s="147"/>
      <c r="G331" s="14">
        <f>+SUM('1:30'!G331)</f>
        <v>0</v>
      </c>
      <c r="H331" s="14">
        <f>+SUM('1:30'!H331)</f>
        <v>0</v>
      </c>
      <c r="I331" s="14">
        <f>+SUM('1:30'!I331)</f>
        <v>0</v>
      </c>
      <c r="J331" s="14">
        <f>+SUM('1:30'!J331)</f>
        <v>0</v>
      </c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14">
        <f>+SUM('1:30'!O331)</f>
        <v>0</v>
      </c>
      <c r="P331" s="146">
        <f t="shared" si="40"/>
        <v>0</v>
      </c>
      <c r="Q331" s="14">
        <f>+SUM('1:30'!Q331)</f>
        <v>0</v>
      </c>
      <c r="R331" s="19">
        <f t="shared" si="41"/>
        <v>0</v>
      </c>
      <c r="S331" s="146">
        <f t="shared" si="42"/>
        <v>0</v>
      </c>
      <c r="T331" s="20">
        <v>3</v>
      </c>
      <c r="U331" s="14">
        <f>+SUM('1:30'!U331)</f>
        <v>0</v>
      </c>
      <c r="V331" s="143"/>
      <c r="W331" s="14">
        <f>+SUM('1:30'!W331)</f>
        <v>0</v>
      </c>
      <c r="X331" s="14">
        <f>+SUM('1:30'!X331)</f>
        <v>0</v>
      </c>
      <c r="Y331" s="14">
        <f>+SUM('1:30'!Y331)</f>
        <v>0</v>
      </c>
      <c r="Z331" s="14">
        <f>+SUM('1:30'!Z331)</f>
        <v>0</v>
      </c>
      <c r="AA331" s="14">
        <f>+SUM('1:30'!AA331)</f>
        <v>0</v>
      </c>
      <c r="AB331" s="14">
        <f>+SUM('1:30'!AB331)</f>
        <v>0</v>
      </c>
      <c r="AC331" s="14">
        <f>+SUM('1:30'!AC331)</f>
        <v>0</v>
      </c>
    </row>
    <row r="332" spans="1:29" s="2" customFormat="1" ht="21.95" customHeight="1">
      <c r="A332" s="135">
        <v>300347</v>
      </c>
      <c r="B332" s="135" t="s">
        <v>118</v>
      </c>
      <c r="C332" s="248" t="s">
        <v>127</v>
      </c>
      <c r="D332" s="248"/>
      <c r="E332" s="148" t="s">
        <v>41</v>
      </c>
      <c r="F332" s="147"/>
      <c r="G332" s="14">
        <f>+SUM('1:30'!G332)</f>
        <v>0</v>
      </c>
      <c r="H332" s="14">
        <f>+SUM('1:30'!H332)</f>
        <v>0</v>
      </c>
      <c r="I332" s="14">
        <f>+SUM('1:30'!I332)</f>
        <v>0</v>
      </c>
      <c r="J332" s="14">
        <f>+SUM('1:30'!J332)</f>
        <v>0</v>
      </c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14">
        <f>+SUM('1:30'!O332)</f>
        <v>0</v>
      </c>
      <c r="P332" s="146">
        <f t="shared" si="40"/>
        <v>0</v>
      </c>
      <c r="Q332" s="14">
        <f>+SUM('1:30'!Q332)</f>
        <v>0</v>
      </c>
      <c r="R332" s="19">
        <f t="shared" si="41"/>
        <v>0</v>
      </c>
      <c r="S332" s="146">
        <f t="shared" si="42"/>
        <v>0</v>
      </c>
      <c r="T332" s="20">
        <v>3</v>
      </c>
      <c r="U332" s="14">
        <f>+SUM('1:30'!U332)</f>
        <v>0</v>
      </c>
      <c r="V332" s="143"/>
      <c r="W332" s="14">
        <f>+SUM('1:30'!W332)</f>
        <v>0</v>
      </c>
      <c r="X332" s="14">
        <f>+SUM('1:30'!X332)</f>
        <v>0</v>
      </c>
      <c r="Y332" s="14">
        <f>+SUM('1:30'!Y332)</f>
        <v>0</v>
      </c>
      <c r="Z332" s="14">
        <f>+SUM('1:30'!Z332)</f>
        <v>0</v>
      </c>
      <c r="AA332" s="14">
        <f>+SUM('1:30'!AA332)</f>
        <v>0</v>
      </c>
      <c r="AB332" s="14">
        <f>+SUM('1:30'!AB332)</f>
        <v>0</v>
      </c>
      <c r="AC332" s="14">
        <f>+SUM('1:30'!AC332)</f>
        <v>0</v>
      </c>
    </row>
    <row r="333" spans="1:29" s="2" customFormat="1" ht="21.95" customHeight="1">
      <c r="A333" s="135">
        <v>300348</v>
      </c>
      <c r="B333" s="135" t="s">
        <v>118</v>
      </c>
      <c r="C333" s="248" t="s">
        <v>127</v>
      </c>
      <c r="D333" s="248"/>
      <c r="E333" s="148" t="s">
        <v>126</v>
      </c>
      <c r="F333" s="147"/>
      <c r="G333" s="14">
        <f>+SUM('1:30'!G333)</f>
        <v>0</v>
      </c>
      <c r="H333" s="14">
        <f>+SUM('1:30'!H333)</f>
        <v>0</v>
      </c>
      <c r="I333" s="14">
        <f>+SUM('1:30'!I333)</f>
        <v>0</v>
      </c>
      <c r="J333" s="14">
        <f>+SUM('1:30'!J333)</f>
        <v>0</v>
      </c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14">
        <f>+SUM('1:30'!O333)</f>
        <v>0</v>
      </c>
      <c r="P333" s="146">
        <f t="shared" si="40"/>
        <v>0</v>
      </c>
      <c r="Q333" s="14">
        <f>+SUM('1:30'!Q333)</f>
        <v>0</v>
      </c>
      <c r="R333" s="19">
        <f t="shared" si="41"/>
        <v>0</v>
      </c>
      <c r="S333" s="146">
        <f t="shared" si="42"/>
        <v>0</v>
      </c>
      <c r="T333" s="20">
        <v>3</v>
      </c>
      <c r="U333" s="14">
        <f>+SUM('1:30'!U333)</f>
        <v>0</v>
      </c>
      <c r="V333" s="143"/>
      <c r="W333" s="14">
        <f>+SUM('1:30'!W333)</f>
        <v>0</v>
      </c>
      <c r="X333" s="14">
        <f>+SUM('1:30'!X333)</f>
        <v>0</v>
      </c>
      <c r="Y333" s="14">
        <f>+SUM('1:30'!Y333)</f>
        <v>0</v>
      </c>
      <c r="Z333" s="14">
        <f>+SUM('1:30'!Z333)</f>
        <v>0</v>
      </c>
      <c r="AA333" s="14">
        <f>+SUM('1:30'!AA333)</f>
        <v>0</v>
      </c>
      <c r="AB333" s="14">
        <f>+SUM('1:30'!AB333)</f>
        <v>0</v>
      </c>
      <c r="AC333" s="14">
        <f>+SUM('1:30'!AC333)</f>
        <v>0</v>
      </c>
    </row>
    <row r="334" spans="1:29" s="2" customFormat="1" ht="21.95" customHeight="1">
      <c r="A334" s="135">
        <v>300349</v>
      </c>
      <c r="B334" s="135" t="s">
        <v>118</v>
      </c>
      <c r="C334" s="248" t="s">
        <v>127</v>
      </c>
      <c r="D334" s="248"/>
      <c r="E334" s="148" t="s">
        <v>40</v>
      </c>
      <c r="F334" s="147"/>
      <c r="G334" s="14">
        <f>+SUM('1:30'!G334)</f>
        <v>0</v>
      </c>
      <c r="H334" s="14">
        <f>+SUM('1:30'!H334)</f>
        <v>0</v>
      </c>
      <c r="I334" s="14">
        <f>+SUM('1:30'!I334)</f>
        <v>0</v>
      </c>
      <c r="J334" s="14">
        <f>+SUM('1:30'!J334)</f>
        <v>0</v>
      </c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14">
        <f>+SUM('1:30'!O334)</f>
        <v>0</v>
      </c>
      <c r="P334" s="146">
        <f t="shared" si="40"/>
        <v>0</v>
      </c>
      <c r="Q334" s="14">
        <f>+SUM('1:30'!Q334)</f>
        <v>0</v>
      </c>
      <c r="R334" s="19">
        <f t="shared" si="41"/>
        <v>0</v>
      </c>
      <c r="S334" s="146">
        <f t="shared" si="42"/>
        <v>0</v>
      </c>
      <c r="T334" s="20">
        <v>3</v>
      </c>
      <c r="U334" s="14">
        <f>+SUM('1:30'!U334)</f>
        <v>0</v>
      </c>
      <c r="V334" s="143"/>
      <c r="W334" s="14">
        <f>+SUM('1:30'!W334)</f>
        <v>0</v>
      </c>
      <c r="X334" s="14">
        <f>+SUM('1:30'!X334)</f>
        <v>0</v>
      </c>
      <c r="Y334" s="14">
        <f>+SUM('1:30'!Y334)</f>
        <v>0</v>
      </c>
      <c r="Z334" s="14">
        <f>+SUM('1:30'!Z334)</f>
        <v>0</v>
      </c>
      <c r="AA334" s="14">
        <f>+SUM('1:30'!AA334)</f>
        <v>0</v>
      </c>
      <c r="AB334" s="14">
        <f>+SUM('1:30'!AB334)</f>
        <v>0</v>
      </c>
      <c r="AC334" s="14">
        <f>+SUM('1:30'!AC334)</f>
        <v>0</v>
      </c>
    </row>
    <row r="335" spans="1:29" s="2" customFormat="1" ht="21.95" customHeight="1">
      <c r="A335" s="135">
        <v>300298</v>
      </c>
      <c r="B335" s="135" t="s">
        <v>118</v>
      </c>
      <c r="C335" s="248" t="s">
        <v>128</v>
      </c>
      <c r="D335" s="248"/>
      <c r="E335" s="148" t="s">
        <v>54</v>
      </c>
      <c r="F335" s="147"/>
      <c r="G335" s="14">
        <f>+SUM('1:30'!G335)</f>
        <v>0</v>
      </c>
      <c r="H335" s="14">
        <f>+SUM('1:30'!H335)</f>
        <v>0</v>
      </c>
      <c r="I335" s="14">
        <f>+SUM('1:30'!I335)</f>
        <v>0</v>
      </c>
      <c r="J335" s="14">
        <f>+SUM('1:30'!J335)</f>
        <v>0</v>
      </c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">
        <f>+SUM('1:30'!O335)</f>
        <v>0</v>
      </c>
      <c r="P335" s="146">
        <f t="shared" si="40"/>
        <v>0</v>
      </c>
      <c r="Q335" s="14">
        <f>+SUM('1:30'!Q335)</f>
        <v>0</v>
      </c>
      <c r="R335" s="19">
        <f t="shared" si="41"/>
        <v>0</v>
      </c>
      <c r="S335" s="146">
        <f t="shared" si="42"/>
        <v>0</v>
      </c>
      <c r="T335" s="20">
        <v>4</v>
      </c>
      <c r="U335" s="14">
        <f>+SUM('1:30'!U335)</f>
        <v>0</v>
      </c>
      <c r="V335" s="143" t="str">
        <f t="array" ref="V335">IF(ISERROR(L335/K335),"",L335/K335)</f>
        <v/>
      </c>
      <c r="W335" s="14">
        <f>+SUM('1:30'!W335)</f>
        <v>0</v>
      </c>
      <c r="X335" s="14">
        <f>+SUM('1:30'!X335)</f>
        <v>0</v>
      </c>
      <c r="Y335" s="14">
        <f>+SUM('1:30'!Y335)</f>
        <v>0</v>
      </c>
      <c r="Z335" s="14">
        <f>+SUM('1:30'!Z335)</f>
        <v>0</v>
      </c>
      <c r="AA335" s="14">
        <f>+SUM('1:30'!AA335)</f>
        <v>0</v>
      </c>
      <c r="AB335" s="14">
        <f>+SUM('1:30'!AB335)</f>
        <v>0</v>
      </c>
      <c r="AC335" s="14">
        <f>+SUM('1:30'!AC335)</f>
        <v>0</v>
      </c>
    </row>
    <row r="336" spans="1:29" s="2" customFormat="1" ht="21.95" customHeight="1">
      <c r="A336" s="135">
        <v>300299</v>
      </c>
      <c r="B336" s="135" t="s">
        <v>118</v>
      </c>
      <c r="C336" s="248" t="s">
        <v>128</v>
      </c>
      <c r="D336" s="248"/>
      <c r="E336" s="148" t="s">
        <v>39</v>
      </c>
      <c r="F336" s="147"/>
      <c r="G336" s="14">
        <f>+SUM('1:30'!G336)</f>
        <v>0</v>
      </c>
      <c r="H336" s="14">
        <f>+SUM('1:30'!H336)</f>
        <v>0</v>
      </c>
      <c r="I336" s="14">
        <f>+SUM('1:30'!I336)</f>
        <v>0</v>
      </c>
      <c r="J336" s="14">
        <f>+SUM('1:30'!J336)</f>
        <v>0</v>
      </c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">
        <f>+SUM('1:30'!O336)</f>
        <v>0</v>
      </c>
      <c r="P336" s="146">
        <f t="shared" si="40"/>
        <v>0</v>
      </c>
      <c r="Q336" s="14">
        <f>+SUM('1:30'!Q336)</f>
        <v>0</v>
      </c>
      <c r="R336" s="19">
        <f t="shared" si="41"/>
        <v>0</v>
      </c>
      <c r="S336" s="146">
        <f t="shared" si="42"/>
        <v>0</v>
      </c>
      <c r="T336" s="20">
        <v>4</v>
      </c>
      <c r="U336" s="14">
        <f>+SUM('1:30'!U336)</f>
        <v>0</v>
      </c>
      <c r="V336" s="143" t="str">
        <f t="array" ref="V336">IF(ISERROR(L336/K336),"",L336/K336)</f>
        <v/>
      </c>
      <c r="W336" s="14">
        <f>+SUM('1:30'!W336)</f>
        <v>0</v>
      </c>
      <c r="X336" s="14">
        <f>+SUM('1:30'!X336)</f>
        <v>0</v>
      </c>
      <c r="Y336" s="14">
        <f>+SUM('1:30'!Y336)</f>
        <v>0</v>
      </c>
      <c r="Z336" s="14">
        <f>+SUM('1:30'!Z336)</f>
        <v>0</v>
      </c>
      <c r="AA336" s="14">
        <f>+SUM('1:30'!AA336)</f>
        <v>0</v>
      </c>
      <c r="AB336" s="14">
        <f>+SUM('1:30'!AB336)</f>
        <v>0</v>
      </c>
      <c r="AC336" s="14">
        <f>+SUM('1:30'!AC336)</f>
        <v>0</v>
      </c>
    </row>
    <row r="337" spans="1:29" s="2" customFormat="1" ht="21.95" customHeight="1">
      <c r="A337" s="135">
        <v>300296</v>
      </c>
      <c r="B337" s="135" t="s">
        <v>118</v>
      </c>
      <c r="C337" s="248" t="s">
        <v>128</v>
      </c>
      <c r="D337" s="248"/>
      <c r="E337" s="148" t="s">
        <v>41</v>
      </c>
      <c r="F337" s="147"/>
      <c r="G337" s="14">
        <f>+SUM('1:30'!G337)</f>
        <v>0</v>
      </c>
      <c r="H337" s="14">
        <f>+SUM('1:30'!H337)</f>
        <v>0</v>
      </c>
      <c r="I337" s="14">
        <f>+SUM('1:30'!I337)</f>
        <v>0</v>
      </c>
      <c r="J337" s="14">
        <f>+SUM('1:30'!J337)</f>
        <v>0</v>
      </c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">
        <f>+SUM('1:30'!O337)</f>
        <v>0</v>
      </c>
      <c r="P337" s="146">
        <f t="shared" si="40"/>
        <v>0</v>
      </c>
      <c r="Q337" s="14">
        <f>+SUM('1:30'!Q337)</f>
        <v>0</v>
      </c>
      <c r="R337" s="19">
        <f t="shared" si="41"/>
        <v>0</v>
      </c>
      <c r="S337" s="146">
        <f t="shared" si="42"/>
        <v>0</v>
      </c>
      <c r="T337" s="20">
        <v>4</v>
      </c>
      <c r="U337" s="14">
        <f>+SUM('1:30'!U337)</f>
        <v>0</v>
      </c>
      <c r="V337" s="143" t="str">
        <f t="array" ref="V337">IF(ISERROR(L337/K337),"",L337/K337)</f>
        <v/>
      </c>
      <c r="W337" s="14">
        <f>+SUM('1:30'!W337)</f>
        <v>0</v>
      </c>
      <c r="X337" s="14">
        <f>+SUM('1:30'!X337)</f>
        <v>0</v>
      </c>
      <c r="Y337" s="14">
        <f>+SUM('1:30'!Y337)</f>
        <v>0</v>
      </c>
      <c r="Z337" s="14">
        <f>+SUM('1:30'!Z337)</f>
        <v>0</v>
      </c>
      <c r="AA337" s="14">
        <f>+SUM('1:30'!AA337)</f>
        <v>0</v>
      </c>
      <c r="AB337" s="14">
        <f>+SUM('1:30'!AB337)</f>
        <v>0</v>
      </c>
      <c r="AC337" s="14">
        <f>+SUM('1:30'!AC337)</f>
        <v>0</v>
      </c>
    </row>
    <row r="338" spans="1:29" s="2" customFormat="1" ht="21.95" customHeight="1">
      <c r="A338" s="135">
        <v>300297</v>
      </c>
      <c r="B338" s="135" t="s">
        <v>118</v>
      </c>
      <c r="C338" s="248" t="s">
        <v>128</v>
      </c>
      <c r="D338" s="248"/>
      <c r="E338" s="148" t="s">
        <v>37</v>
      </c>
      <c r="F338" s="147"/>
      <c r="G338" s="14">
        <f>+SUM('1:30'!G338)</f>
        <v>0</v>
      </c>
      <c r="H338" s="14">
        <f>+SUM('1:30'!H338)</f>
        <v>0</v>
      </c>
      <c r="I338" s="14">
        <f>+SUM('1:30'!I338)</f>
        <v>0</v>
      </c>
      <c r="J338" s="14">
        <f>+SUM('1:30'!J338)</f>
        <v>0</v>
      </c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">
        <f>+SUM('1:30'!O338)</f>
        <v>0</v>
      </c>
      <c r="P338" s="146">
        <f t="shared" si="40"/>
        <v>0</v>
      </c>
      <c r="Q338" s="14">
        <f>+SUM('1:30'!Q338)</f>
        <v>0</v>
      </c>
      <c r="R338" s="19">
        <f t="shared" si="41"/>
        <v>0</v>
      </c>
      <c r="S338" s="146">
        <f t="shared" si="42"/>
        <v>0</v>
      </c>
      <c r="T338" s="20">
        <v>4</v>
      </c>
      <c r="U338" s="14">
        <f>+SUM('1:30'!U338)</f>
        <v>0</v>
      </c>
      <c r="V338" s="143" t="str">
        <f t="array" ref="V338">IF(ISERROR(L338/K338),"",L338/K338)</f>
        <v/>
      </c>
      <c r="W338" s="14">
        <f>+SUM('1:30'!W338)</f>
        <v>0</v>
      </c>
      <c r="X338" s="14">
        <f>+SUM('1:30'!X338)</f>
        <v>0</v>
      </c>
      <c r="Y338" s="14">
        <f>+SUM('1:30'!Y338)</f>
        <v>0</v>
      </c>
      <c r="Z338" s="14">
        <f>+SUM('1:30'!Z338)</f>
        <v>0</v>
      </c>
      <c r="AA338" s="14">
        <f>+SUM('1:30'!AA338)</f>
        <v>0</v>
      </c>
      <c r="AB338" s="14">
        <f>+SUM('1:30'!AB338)</f>
        <v>0</v>
      </c>
      <c r="AC338" s="14">
        <f>+SUM('1:30'!AC338)</f>
        <v>0</v>
      </c>
    </row>
    <row r="339" spans="1:29" s="2" customFormat="1" ht="21.95" customHeight="1">
      <c r="A339" s="135">
        <v>300340</v>
      </c>
      <c r="B339" s="135" t="s">
        <v>118</v>
      </c>
      <c r="C339" s="259" t="s">
        <v>129</v>
      </c>
      <c r="D339" s="260"/>
      <c r="E339" s="148" t="s">
        <v>41</v>
      </c>
      <c r="F339" s="147"/>
      <c r="G339" s="14">
        <f>+SUM('1:30'!G339)</f>
        <v>0</v>
      </c>
      <c r="H339" s="14">
        <f>+SUM('1:30'!H339)</f>
        <v>0</v>
      </c>
      <c r="I339" s="14">
        <f>+SUM('1:30'!I339)</f>
        <v>0</v>
      </c>
      <c r="J339" s="14">
        <f>+SUM('1:30'!J339)</f>
        <v>0</v>
      </c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">
        <f>+SUM('1:30'!O339)</f>
        <v>0</v>
      </c>
      <c r="P339" s="146">
        <f t="shared" si="40"/>
        <v>0</v>
      </c>
      <c r="Q339" s="14">
        <f>+SUM('1:30'!Q339)</f>
        <v>0</v>
      </c>
      <c r="R339" s="19">
        <f t="shared" si="41"/>
        <v>0</v>
      </c>
      <c r="S339" s="146">
        <f t="shared" si="42"/>
        <v>0</v>
      </c>
      <c r="T339" s="20">
        <v>4</v>
      </c>
      <c r="U339" s="14">
        <f>+SUM('1:30'!U339)</f>
        <v>0</v>
      </c>
      <c r="V339" s="143"/>
      <c r="W339" s="14">
        <f>+SUM('1:30'!W339)</f>
        <v>0</v>
      </c>
      <c r="X339" s="14">
        <f>+SUM('1:30'!X339)</f>
        <v>0</v>
      </c>
      <c r="Y339" s="14">
        <f>+SUM('1:30'!Y339)</f>
        <v>0</v>
      </c>
      <c r="Z339" s="14">
        <f>+SUM('1:30'!Z339)</f>
        <v>0</v>
      </c>
      <c r="AA339" s="14">
        <f>+SUM('1:30'!AA339)</f>
        <v>0</v>
      </c>
      <c r="AB339" s="14">
        <f>+SUM('1:30'!AB339)</f>
        <v>0</v>
      </c>
      <c r="AC339" s="14">
        <f>+SUM('1:30'!AC339)</f>
        <v>0</v>
      </c>
    </row>
    <row r="340" spans="1:29" s="2" customFormat="1" ht="21.95" customHeight="1">
      <c r="A340" s="135">
        <v>300339</v>
      </c>
      <c r="B340" s="135" t="s">
        <v>118</v>
      </c>
      <c r="C340" s="259" t="s">
        <v>129</v>
      </c>
      <c r="D340" s="260"/>
      <c r="E340" s="148" t="s">
        <v>39</v>
      </c>
      <c r="F340" s="147"/>
      <c r="G340" s="14">
        <f>+SUM('1:30'!G340)</f>
        <v>0</v>
      </c>
      <c r="H340" s="14">
        <f>+SUM('1:30'!H340)</f>
        <v>0</v>
      </c>
      <c r="I340" s="14">
        <f>+SUM('1:30'!I340)</f>
        <v>0</v>
      </c>
      <c r="J340" s="14">
        <f>+SUM('1:30'!J340)</f>
        <v>0</v>
      </c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">
        <f>+SUM('1:30'!O340)</f>
        <v>0</v>
      </c>
      <c r="P340" s="146">
        <f t="shared" si="40"/>
        <v>0</v>
      </c>
      <c r="Q340" s="14">
        <f>+SUM('1:30'!Q340)</f>
        <v>0</v>
      </c>
      <c r="R340" s="19">
        <f t="shared" si="41"/>
        <v>0</v>
      </c>
      <c r="S340" s="146">
        <f t="shared" si="42"/>
        <v>0</v>
      </c>
      <c r="T340" s="20">
        <v>4</v>
      </c>
      <c r="U340" s="14">
        <f>+SUM('1:30'!U340)</f>
        <v>0</v>
      </c>
      <c r="V340" s="143"/>
      <c r="W340" s="14">
        <f>+SUM('1:30'!W340)</f>
        <v>0</v>
      </c>
      <c r="X340" s="14">
        <f>+SUM('1:30'!X340)</f>
        <v>0</v>
      </c>
      <c r="Y340" s="14">
        <f>+SUM('1:30'!Y340)</f>
        <v>0</v>
      </c>
      <c r="Z340" s="14">
        <f>+SUM('1:30'!Z340)</f>
        <v>0</v>
      </c>
      <c r="AA340" s="14">
        <f>+SUM('1:30'!AA340)</f>
        <v>0</v>
      </c>
      <c r="AB340" s="14">
        <f>+SUM('1:30'!AB340)</f>
        <v>0</v>
      </c>
      <c r="AC340" s="14">
        <f>+SUM('1:30'!AC340)</f>
        <v>0</v>
      </c>
    </row>
    <row r="341" spans="1:29" s="2" customFormat="1" ht="21.95" customHeight="1">
      <c r="A341" s="135">
        <v>300303</v>
      </c>
      <c r="B341" s="135" t="s">
        <v>118</v>
      </c>
      <c r="C341" s="248" t="s">
        <v>130</v>
      </c>
      <c r="D341" s="248" t="s">
        <v>131</v>
      </c>
      <c r="E341" s="148" t="s">
        <v>57</v>
      </c>
      <c r="F341" s="147"/>
      <c r="G341" s="14">
        <f>+SUM('1:30'!G341)</f>
        <v>0</v>
      </c>
      <c r="H341" s="14">
        <f>+SUM('1:30'!H341)</f>
        <v>0</v>
      </c>
      <c r="I341" s="14">
        <f>+SUM('1:30'!I341)</f>
        <v>0</v>
      </c>
      <c r="J341" s="14">
        <f>+SUM('1:30'!J341)</f>
        <v>0</v>
      </c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">
        <f>+SUM('1:30'!O341)</f>
        <v>0</v>
      </c>
      <c r="P341" s="146">
        <f t="shared" si="40"/>
        <v>0</v>
      </c>
      <c r="Q341" s="14">
        <f>+SUM('1:30'!Q341)</f>
        <v>0</v>
      </c>
      <c r="R341" s="19">
        <f t="shared" si="41"/>
        <v>0</v>
      </c>
      <c r="S341" s="146">
        <f t="shared" si="42"/>
        <v>0</v>
      </c>
      <c r="T341" s="20">
        <v>5</v>
      </c>
      <c r="U341" s="14">
        <f>+SUM('1:30'!U341)</f>
        <v>0</v>
      </c>
      <c r="V341" s="143" t="str">
        <f t="array" ref="V341">IF(ISERROR(L341/K341),"",L341/K341)</f>
        <v/>
      </c>
      <c r="W341" s="14">
        <f>+SUM('1:30'!W341)</f>
        <v>0</v>
      </c>
      <c r="X341" s="14">
        <f>+SUM('1:30'!X341)</f>
        <v>0</v>
      </c>
      <c r="Y341" s="14">
        <f>+SUM('1:30'!Y341)</f>
        <v>0</v>
      </c>
      <c r="Z341" s="14">
        <f>+SUM('1:30'!Z341)</f>
        <v>0</v>
      </c>
      <c r="AA341" s="14">
        <f>+SUM('1:30'!AA341)</f>
        <v>0</v>
      </c>
      <c r="AB341" s="14">
        <f>+SUM('1:30'!AB341)</f>
        <v>0</v>
      </c>
      <c r="AC341" s="14">
        <f>+SUM('1:30'!AC341)</f>
        <v>0</v>
      </c>
    </row>
    <row r="342" spans="1:29" s="2" customFormat="1" ht="21.95" customHeight="1">
      <c r="A342" s="135">
        <v>300302</v>
      </c>
      <c r="B342" s="135" t="s">
        <v>118</v>
      </c>
      <c r="C342" s="248" t="s">
        <v>130</v>
      </c>
      <c r="D342" s="248" t="s">
        <v>131</v>
      </c>
      <c r="E342" s="148" t="s">
        <v>117</v>
      </c>
      <c r="F342" s="147"/>
      <c r="G342" s="14">
        <f>+SUM('1:30'!G342)</f>
        <v>0</v>
      </c>
      <c r="H342" s="14">
        <f>+SUM('1:30'!H342)</f>
        <v>0</v>
      </c>
      <c r="I342" s="14">
        <f>+SUM('1:30'!I342)</f>
        <v>0</v>
      </c>
      <c r="J342" s="14">
        <f>+SUM('1:30'!J342)</f>
        <v>0</v>
      </c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">
        <f>+SUM('1:30'!O342)</f>
        <v>0</v>
      </c>
      <c r="P342" s="146">
        <f t="shared" si="40"/>
        <v>0</v>
      </c>
      <c r="Q342" s="14">
        <f>+SUM('1:30'!Q342)</f>
        <v>0</v>
      </c>
      <c r="R342" s="19">
        <f t="shared" si="41"/>
        <v>0</v>
      </c>
      <c r="S342" s="146">
        <f t="shared" si="42"/>
        <v>0</v>
      </c>
      <c r="T342" s="20">
        <v>5</v>
      </c>
      <c r="U342" s="14">
        <f>+SUM('1:30'!U342)</f>
        <v>0</v>
      </c>
      <c r="V342" s="143" t="str">
        <f t="array" ref="V342">IF(ISERROR(L342/K342),"",L342/K342)</f>
        <v/>
      </c>
      <c r="W342" s="14">
        <f>+SUM('1:30'!W342)</f>
        <v>0</v>
      </c>
      <c r="X342" s="14">
        <f>+SUM('1:30'!X342)</f>
        <v>0</v>
      </c>
      <c r="Y342" s="14">
        <f>+SUM('1:30'!Y342)</f>
        <v>0</v>
      </c>
      <c r="Z342" s="14">
        <f>+SUM('1:30'!Z342)</f>
        <v>0</v>
      </c>
      <c r="AA342" s="14">
        <f>+SUM('1:30'!AA342)</f>
        <v>0</v>
      </c>
      <c r="AB342" s="14">
        <f>+SUM('1:30'!AB342)</f>
        <v>0</v>
      </c>
      <c r="AC342" s="14">
        <f>+SUM('1:30'!AC342)</f>
        <v>0</v>
      </c>
    </row>
    <row r="343" spans="1:29" s="2" customFormat="1" ht="21.95" customHeight="1">
      <c r="A343" s="135">
        <v>300301</v>
      </c>
      <c r="B343" s="135" t="s">
        <v>118</v>
      </c>
      <c r="C343" s="248" t="s">
        <v>130</v>
      </c>
      <c r="D343" s="248" t="s">
        <v>131</v>
      </c>
      <c r="E343" s="148" t="s">
        <v>132</v>
      </c>
      <c r="F343" s="147"/>
      <c r="G343" s="14">
        <f>+SUM('1:30'!G343)</f>
        <v>0</v>
      </c>
      <c r="H343" s="14">
        <f>+SUM('1:30'!H343)</f>
        <v>0</v>
      </c>
      <c r="I343" s="14">
        <f>+SUM('1:30'!I343)</f>
        <v>0</v>
      </c>
      <c r="J343" s="14">
        <f>+SUM('1:30'!J343)</f>
        <v>0</v>
      </c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">
        <f>+SUM('1:30'!O343)</f>
        <v>0</v>
      </c>
      <c r="P343" s="146">
        <f t="shared" si="40"/>
        <v>0</v>
      </c>
      <c r="Q343" s="14">
        <f>+SUM('1:30'!Q343)</f>
        <v>0</v>
      </c>
      <c r="R343" s="19">
        <f t="shared" si="41"/>
        <v>0</v>
      </c>
      <c r="S343" s="146">
        <f t="shared" si="42"/>
        <v>0</v>
      </c>
      <c r="T343" s="20">
        <v>5</v>
      </c>
      <c r="U343" s="14">
        <f>+SUM('1:30'!U343)</f>
        <v>0</v>
      </c>
      <c r="V343" s="143" t="str">
        <f t="array" ref="V343">IF(ISERROR(L343/K343),"",L343/K343)</f>
        <v/>
      </c>
      <c r="W343" s="14">
        <f>+SUM('1:30'!W343)</f>
        <v>0</v>
      </c>
      <c r="X343" s="14">
        <f>+SUM('1:30'!X343)</f>
        <v>0</v>
      </c>
      <c r="Y343" s="14">
        <f>+SUM('1:30'!Y343)</f>
        <v>0</v>
      </c>
      <c r="Z343" s="14">
        <f>+SUM('1:30'!Z343)</f>
        <v>0</v>
      </c>
      <c r="AA343" s="14">
        <f>+SUM('1:30'!AA343)</f>
        <v>0</v>
      </c>
      <c r="AB343" s="14">
        <f>+SUM('1:30'!AB343)</f>
        <v>0</v>
      </c>
      <c r="AC343" s="14">
        <f>+SUM('1:30'!AC343)</f>
        <v>0</v>
      </c>
    </row>
    <row r="344" spans="1:29" s="2" customFormat="1" ht="21.95" customHeight="1">
      <c r="A344" s="142">
        <v>300304</v>
      </c>
      <c r="B344" s="135" t="s">
        <v>118</v>
      </c>
      <c r="C344" s="248" t="s">
        <v>130</v>
      </c>
      <c r="D344" s="248"/>
      <c r="E344" s="148" t="s">
        <v>133</v>
      </c>
      <c r="F344" s="147"/>
      <c r="G344" s="14">
        <f>+SUM('1:30'!G344)</f>
        <v>0</v>
      </c>
      <c r="H344" s="14">
        <f>+SUM('1:30'!H344)</f>
        <v>0</v>
      </c>
      <c r="I344" s="14">
        <f>+SUM('1:30'!I344)</f>
        <v>0</v>
      </c>
      <c r="J344" s="14">
        <f>+SUM('1:30'!J344)</f>
        <v>0</v>
      </c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">
        <f>+SUM('1:30'!O344)</f>
        <v>0</v>
      </c>
      <c r="P344" s="146">
        <f t="shared" si="40"/>
        <v>0</v>
      </c>
      <c r="Q344" s="14">
        <f>+SUM('1:30'!Q344)</f>
        <v>0</v>
      </c>
      <c r="R344" s="19">
        <f t="shared" si="41"/>
        <v>0</v>
      </c>
      <c r="S344" s="146">
        <f t="shared" si="42"/>
        <v>0</v>
      </c>
      <c r="T344" s="20">
        <v>5</v>
      </c>
      <c r="U344" s="14">
        <f>+SUM('1:30'!U344)</f>
        <v>0</v>
      </c>
      <c r="V344" s="143" t="str">
        <f t="array" ref="V344">IF(ISERROR(L344/K344),"",L344/K344)</f>
        <v/>
      </c>
      <c r="W344" s="14">
        <f>+SUM('1:30'!W344)</f>
        <v>0</v>
      </c>
      <c r="X344" s="14">
        <f>+SUM('1:30'!X344)</f>
        <v>0</v>
      </c>
      <c r="Y344" s="14">
        <f>+SUM('1:30'!Y344)</f>
        <v>0</v>
      </c>
      <c r="Z344" s="14">
        <f>+SUM('1:30'!Z344)</f>
        <v>0</v>
      </c>
      <c r="AA344" s="14">
        <f>+SUM('1:30'!AA344)</f>
        <v>0</v>
      </c>
      <c r="AB344" s="14">
        <f>+SUM('1:30'!AB344)</f>
        <v>0</v>
      </c>
      <c r="AC344" s="14">
        <f>+SUM('1:30'!AC344)</f>
        <v>0</v>
      </c>
    </row>
    <row r="345" spans="1:29" s="2" customFormat="1" ht="21.95" customHeight="1">
      <c r="A345" s="142">
        <v>300300</v>
      </c>
      <c r="B345" s="135" t="s">
        <v>118</v>
      </c>
      <c r="C345" s="248" t="s">
        <v>130</v>
      </c>
      <c r="D345" s="248" t="s">
        <v>131</v>
      </c>
      <c r="E345" s="148" t="s">
        <v>54</v>
      </c>
      <c r="F345" s="147"/>
      <c r="G345" s="14">
        <f>+SUM('1:30'!G345)</f>
        <v>0</v>
      </c>
      <c r="H345" s="14">
        <f>+SUM('1:30'!H345)</f>
        <v>0</v>
      </c>
      <c r="I345" s="14">
        <f>+SUM('1:30'!I345)</f>
        <v>0</v>
      </c>
      <c r="J345" s="14">
        <f>+SUM('1:30'!J345)</f>
        <v>0</v>
      </c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">
        <f>+SUM('1:30'!O345)</f>
        <v>0</v>
      </c>
      <c r="P345" s="146">
        <f t="shared" si="40"/>
        <v>0</v>
      </c>
      <c r="Q345" s="14">
        <f>+SUM('1:30'!Q345)</f>
        <v>0</v>
      </c>
      <c r="R345" s="19">
        <f t="shared" si="41"/>
        <v>0</v>
      </c>
      <c r="S345" s="146">
        <f t="shared" si="42"/>
        <v>0</v>
      </c>
      <c r="T345" s="20">
        <v>5</v>
      </c>
      <c r="U345" s="14">
        <f>+SUM('1:30'!U345)</f>
        <v>0</v>
      </c>
      <c r="V345" s="143" t="str">
        <f t="array" ref="V345">IF(ISERROR(L345/K345),"",L345/K345)</f>
        <v/>
      </c>
      <c r="W345" s="14">
        <f>+SUM('1:30'!W345)</f>
        <v>0</v>
      </c>
      <c r="X345" s="14">
        <f>+SUM('1:30'!X345)</f>
        <v>0</v>
      </c>
      <c r="Y345" s="14">
        <f>+SUM('1:30'!Y345)</f>
        <v>0</v>
      </c>
      <c r="Z345" s="14">
        <f>+SUM('1:30'!Z345)</f>
        <v>0</v>
      </c>
      <c r="AA345" s="14">
        <f>+SUM('1:30'!AA345)</f>
        <v>0</v>
      </c>
      <c r="AB345" s="14">
        <f>+SUM('1:30'!AB345)</f>
        <v>0</v>
      </c>
      <c r="AC345" s="14">
        <f>+SUM('1:30'!AC345)</f>
        <v>0</v>
      </c>
    </row>
    <row r="346" spans="1:29" s="2" customFormat="1" ht="21.95" customHeight="1">
      <c r="A346" s="142">
        <v>300085</v>
      </c>
      <c r="B346" s="135" t="s">
        <v>118</v>
      </c>
      <c r="C346" s="248" t="s">
        <v>134</v>
      </c>
      <c r="D346" s="248" t="s">
        <v>131</v>
      </c>
      <c r="E346" s="148" t="s">
        <v>135</v>
      </c>
      <c r="F346" s="147"/>
      <c r="G346" s="14">
        <f>+SUM('1:30'!G346)</f>
        <v>2</v>
      </c>
      <c r="H346" s="14">
        <f>+SUM('1:30'!H346)</f>
        <v>0</v>
      </c>
      <c r="I346" s="14">
        <f>+SUM('1:30'!I346)</f>
        <v>1.3333333333333335</v>
      </c>
      <c r="J346" s="14">
        <f>+SUM('1:30'!J346)</f>
        <v>200</v>
      </c>
      <c r="K346" s="146">
        <f t="shared" si="38"/>
        <v>788.6</v>
      </c>
      <c r="L346" s="146">
        <f t="shared" si="39"/>
        <v>525.73333333333346</v>
      </c>
      <c r="M346" s="146">
        <v>394.3</v>
      </c>
      <c r="N346" s="146">
        <f>+M346*1000/(104.2*4*15*60)*T346</f>
        <v>6.3067818298144598</v>
      </c>
      <c r="O346" s="14">
        <f>+SUM('1:30'!O346)</f>
        <v>0.5</v>
      </c>
      <c r="P346" s="146">
        <f t="shared" si="40"/>
        <v>11.409042439752614</v>
      </c>
      <c r="Q346" s="14">
        <f>+SUM('1:30'!Q346)</f>
        <v>2</v>
      </c>
      <c r="R346" s="19">
        <f t="shared" si="41"/>
        <v>12</v>
      </c>
      <c r="S346" s="146">
        <f t="shared" si="42"/>
        <v>0.59095756024738577</v>
      </c>
      <c r="T346" s="20">
        <v>6</v>
      </c>
      <c r="U346" s="14">
        <f>+SUM('1:30'!U346)</f>
        <v>6</v>
      </c>
      <c r="V346" s="143">
        <f t="array" ref="V346">IF(ISERROR(L346/K346),"",L346/K346)</f>
        <v>0.66666666666666685</v>
      </c>
      <c r="W346" s="14">
        <f>+SUM('1:30'!W346)</f>
        <v>0</v>
      </c>
      <c r="X346" s="14">
        <f>+SUM('1:30'!X346)</f>
        <v>0</v>
      </c>
      <c r="Y346" s="14">
        <f>+SUM('1:30'!Y346)</f>
        <v>0</v>
      </c>
      <c r="Z346" s="14">
        <f>+SUM('1:30'!Z346)</f>
        <v>0</v>
      </c>
      <c r="AA346" s="14">
        <f>+SUM('1:30'!AA346)</f>
        <v>0</v>
      </c>
      <c r="AB346" s="14">
        <f>+SUM('1:30'!AB346)</f>
        <v>0</v>
      </c>
      <c r="AC346" s="14">
        <f>+SUM('1:30'!AC346)</f>
        <v>0</v>
      </c>
    </row>
    <row r="347" spans="1:29" s="2" customFormat="1" ht="21.95" customHeight="1">
      <c r="A347" s="142">
        <v>300087</v>
      </c>
      <c r="B347" s="135" t="s">
        <v>118</v>
      </c>
      <c r="C347" s="248" t="s">
        <v>134</v>
      </c>
      <c r="D347" s="248" t="s">
        <v>131</v>
      </c>
      <c r="E347" s="148" t="s">
        <v>80</v>
      </c>
      <c r="F347" s="147"/>
      <c r="G347" s="14">
        <f>+SUM('1:30'!G347)</f>
        <v>8</v>
      </c>
      <c r="H347" s="14">
        <f>+SUM('1:30'!H347)</f>
        <v>0.16666666666666666</v>
      </c>
      <c r="I347" s="14">
        <f>+SUM('1:30'!I347)</f>
        <v>7.166666666666667</v>
      </c>
      <c r="J347" s="14">
        <f>+SUM('1:30'!J347)</f>
        <v>0</v>
      </c>
      <c r="K347" s="146">
        <f t="shared" si="38"/>
        <v>3040.8</v>
      </c>
      <c r="L347" s="146">
        <f t="shared" si="39"/>
        <v>2724.05</v>
      </c>
      <c r="M347" s="146">
        <v>380.1</v>
      </c>
      <c r="N347" s="146">
        <f>+M347*1000/(104.2*4*16*60)*T347</f>
        <v>4.7497300863723604</v>
      </c>
      <c r="O347" s="14">
        <f>+SUM('1:30'!O347)</f>
        <v>0</v>
      </c>
      <c r="P347" s="146">
        <f t="shared" si="40"/>
        <v>34.039732285668585</v>
      </c>
      <c r="Q347" s="14">
        <f>+SUM('1:30'!Q347)</f>
        <v>9.5</v>
      </c>
      <c r="R347" s="19">
        <f t="shared" si="41"/>
        <v>47.5</v>
      </c>
      <c r="S347" s="146">
        <f t="shared" si="42"/>
        <v>13.460267714331415</v>
      </c>
      <c r="T347" s="20">
        <v>5</v>
      </c>
      <c r="U347" s="14">
        <f>+SUM('1:30'!U347)</f>
        <v>5</v>
      </c>
      <c r="V347" s="143">
        <f t="array" ref="V347">IF(ISERROR(L347/K347),"",L347/K347)</f>
        <v>0.89583333333333337</v>
      </c>
      <c r="W347" s="14">
        <f>+SUM('1:30'!W347)</f>
        <v>0</v>
      </c>
      <c r="X347" s="14">
        <f>+SUM('1:30'!X347)</f>
        <v>0</v>
      </c>
      <c r="Y347" s="14">
        <f>+SUM('1:30'!Y347)</f>
        <v>0</v>
      </c>
      <c r="Z347" s="14">
        <f>+SUM('1:30'!Z347)</f>
        <v>0</v>
      </c>
      <c r="AA347" s="14">
        <f>+SUM('1:30'!AA347)</f>
        <v>0</v>
      </c>
      <c r="AB347" s="14">
        <f>+SUM('1:30'!AB347)</f>
        <v>0</v>
      </c>
      <c r="AC347" s="14">
        <f>+SUM('1:30'!AC347)</f>
        <v>0</v>
      </c>
    </row>
    <row r="348" spans="1:29" s="2" customFormat="1" ht="21" customHeight="1">
      <c r="A348" s="142">
        <v>300387</v>
      </c>
      <c r="B348" s="135" t="s">
        <v>136</v>
      </c>
      <c r="C348" s="259" t="s">
        <v>137</v>
      </c>
      <c r="D348" s="260"/>
      <c r="E348" s="148" t="s">
        <v>57</v>
      </c>
      <c r="F348" s="147"/>
      <c r="G348" s="14">
        <f>+SUM('1:30'!G348)</f>
        <v>3</v>
      </c>
      <c r="H348" s="14">
        <f>+SUM('1:30'!H348)</f>
        <v>0</v>
      </c>
      <c r="I348" s="14">
        <f>+SUM('1:30'!I348)</f>
        <v>3</v>
      </c>
      <c r="J348" s="14">
        <f>+SUM('1:30'!J348)</f>
        <v>0</v>
      </c>
      <c r="K348" s="146">
        <f t="shared" si="38"/>
        <v>1056.8700000000001</v>
      </c>
      <c r="L348" s="146">
        <f t="shared" si="39"/>
        <v>1056.8700000000001</v>
      </c>
      <c r="M348" s="146">
        <v>352.29</v>
      </c>
      <c r="N348" s="146">
        <f>+M348*1000/(104.2*4*16*60)*T348</f>
        <v>4.4022162907869484</v>
      </c>
      <c r="O348" s="14">
        <f>+SUM('1:30'!O348)</f>
        <v>0</v>
      </c>
      <c r="P348" s="146">
        <f t="shared" si="40"/>
        <v>13.206648872360844</v>
      </c>
      <c r="Q348" s="14">
        <f>+SUM('1:30'!Q348)</f>
        <v>6</v>
      </c>
      <c r="R348" s="19">
        <f t="shared" si="41"/>
        <v>30</v>
      </c>
      <c r="S348" s="146">
        <f t="shared" si="42"/>
        <v>16.793351127639156</v>
      </c>
      <c r="T348" s="20">
        <v>5</v>
      </c>
      <c r="U348" s="14">
        <f>+SUM('1:30'!U348)</f>
        <v>5</v>
      </c>
      <c r="V348" s="143">
        <f t="array" ref="V348">IF(ISERROR(L348/K348),"",L348/K348)</f>
        <v>1</v>
      </c>
      <c r="W348" s="14">
        <f>+SUM('1:30'!W348)</f>
        <v>0</v>
      </c>
      <c r="X348" s="14">
        <f>+SUM('1:30'!X348)</f>
        <v>0</v>
      </c>
      <c r="Y348" s="14">
        <f>+SUM('1:30'!Y348)</f>
        <v>0</v>
      </c>
      <c r="Z348" s="14">
        <f>+SUM('1:30'!Z348)</f>
        <v>0</v>
      </c>
      <c r="AA348" s="14">
        <f>+SUM('1:30'!AA348)</f>
        <v>2</v>
      </c>
      <c r="AB348" s="14">
        <f>+SUM('1:30'!AB348)</f>
        <v>0</v>
      </c>
      <c r="AC348" s="14">
        <f>+SUM('1:30'!AC348)</f>
        <v>0</v>
      </c>
    </row>
    <row r="349" spans="1:29" s="2" customFormat="1" ht="21.95" customHeight="1">
      <c r="A349" s="142">
        <v>300388</v>
      </c>
      <c r="B349" s="135" t="s">
        <v>138</v>
      </c>
      <c r="C349" s="259" t="s">
        <v>137</v>
      </c>
      <c r="D349" s="260"/>
      <c r="E349" s="148" t="s">
        <v>117</v>
      </c>
      <c r="F349" s="147"/>
      <c r="G349" s="14">
        <f>+SUM('1:30'!G349)</f>
        <v>0</v>
      </c>
      <c r="H349" s="14">
        <f>+SUM('1:30'!H349)</f>
        <v>0</v>
      </c>
      <c r="I349" s="14">
        <f>+SUM('1:30'!I349)</f>
        <v>0</v>
      </c>
      <c r="J349" s="14">
        <f>+SUM('1:30'!J349)</f>
        <v>0</v>
      </c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">
        <f>+SUM('1:30'!O349)</f>
        <v>0</v>
      </c>
      <c r="P349" s="146">
        <f t="shared" si="40"/>
        <v>0</v>
      </c>
      <c r="Q349" s="14">
        <f>+SUM('1:30'!Q349)</f>
        <v>0</v>
      </c>
      <c r="R349" s="19">
        <f t="shared" si="41"/>
        <v>0</v>
      </c>
      <c r="S349" s="146">
        <f t="shared" si="42"/>
        <v>0</v>
      </c>
      <c r="T349" s="20">
        <v>5</v>
      </c>
      <c r="U349" s="14">
        <f>+SUM('1:30'!U349)</f>
        <v>0</v>
      </c>
      <c r="V349" s="143" t="str">
        <f t="array" ref="V349">IF(ISERROR(L349/K349),"",L349/K349)</f>
        <v/>
      </c>
      <c r="W349" s="14">
        <f>+SUM('1:30'!W349)</f>
        <v>0</v>
      </c>
      <c r="X349" s="14">
        <f>+SUM('1:30'!X349)</f>
        <v>0</v>
      </c>
      <c r="Y349" s="14">
        <f>+SUM('1:30'!Y349)</f>
        <v>0</v>
      </c>
      <c r="Z349" s="14">
        <f>+SUM('1:30'!Z349)</f>
        <v>0</v>
      </c>
      <c r="AA349" s="14">
        <f>+SUM('1:30'!AA349)</f>
        <v>0</v>
      </c>
      <c r="AB349" s="14">
        <f>+SUM('1:30'!AB349)</f>
        <v>0</v>
      </c>
      <c r="AC349" s="14">
        <f>+SUM('1:30'!AC349)</f>
        <v>0</v>
      </c>
    </row>
    <row r="350" spans="1:29" s="2" customFormat="1" ht="21.95" customHeight="1">
      <c r="A350" s="142">
        <v>300123</v>
      </c>
      <c r="B350" s="135" t="s">
        <v>118</v>
      </c>
      <c r="C350" s="248" t="s">
        <v>139</v>
      </c>
      <c r="D350" s="248" t="s">
        <v>140</v>
      </c>
      <c r="E350" s="148" t="s">
        <v>135</v>
      </c>
      <c r="F350" s="147"/>
      <c r="G350" s="14">
        <f>+SUM('1:30'!G350)</f>
        <v>24.5</v>
      </c>
      <c r="H350" s="14">
        <f>+SUM('1:30'!H350)</f>
        <v>0.82499999999999996</v>
      </c>
      <c r="I350" s="14">
        <f>+SUM('1:30'!I350)</f>
        <v>24.25</v>
      </c>
      <c r="J350" s="14">
        <f>+SUM('1:30'!J350)</f>
        <v>230</v>
      </c>
      <c r="K350" s="146">
        <f t="shared" si="38"/>
        <v>13646.5</v>
      </c>
      <c r="L350" s="146">
        <f t="shared" si="39"/>
        <v>13507.25</v>
      </c>
      <c r="M350" s="146">
        <v>557</v>
      </c>
      <c r="N350" s="146">
        <f>+M350*1000/(126.5*4*15*60)*T350</f>
        <v>6.1155028546332888</v>
      </c>
      <c r="O350" s="14">
        <f>+SUM('1:30'!O350)</f>
        <v>0</v>
      </c>
      <c r="P350" s="146">
        <f t="shared" si="40"/>
        <v>148.30094422485726</v>
      </c>
      <c r="Q350" s="14">
        <f>+SUM('1:30'!Q350)</f>
        <v>34.5</v>
      </c>
      <c r="R350" s="19">
        <f t="shared" si="41"/>
        <v>621</v>
      </c>
      <c r="S350" s="146">
        <f t="shared" si="42"/>
        <v>472.69905577514271</v>
      </c>
      <c r="T350" s="20">
        <v>5</v>
      </c>
      <c r="U350" s="14">
        <f>+SUM('1:30'!U350)</f>
        <v>18</v>
      </c>
      <c r="V350" s="143">
        <f t="array" ref="V350">IF(ISERROR(L350/K350),"",L350/K350)</f>
        <v>0.98979591836734693</v>
      </c>
      <c r="W350" s="14">
        <f>+SUM('1:30'!W350)</f>
        <v>0</v>
      </c>
      <c r="X350" s="14">
        <f>+SUM('1:30'!X350)</f>
        <v>0</v>
      </c>
      <c r="Y350" s="14">
        <f>+SUM('1:30'!Y350)</f>
        <v>0</v>
      </c>
      <c r="Z350" s="14">
        <f>+SUM('1:30'!Z350)</f>
        <v>0</v>
      </c>
      <c r="AA350" s="14">
        <f>+SUM('1:30'!AA350)</f>
        <v>0</v>
      </c>
      <c r="AB350" s="14">
        <f>+SUM('1:30'!AB350)</f>
        <v>0</v>
      </c>
      <c r="AC350" s="14">
        <f>+SUM('1:30'!AC350)</f>
        <v>0</v>
      </c>
    </row>
    <row r="351" spans="1:29" s="2" customFormat="1" ht="21.95" customHeight="1">
      <c r="A351" s="142">
        <v>300270</v>
      </c>
      <c r="B351" s="135" t="s">
        <v>118</v>
      </c>
      <c r="C351" s="248" t="s">
        <v>141</v>
      </c>
      <c r="D351" s="248"/>
      <c r="E351" s="148" t="s">
        <v>142</v>
      </c>
      <c r="F351" s="147"/>
      <c r="G351" s="14">
        <f>+SUM('1:30'!G351)</f>
        <v>0</v>
      </c>
      <c r="H351" s="14">
        <f>+SUM('1:30'!H351)</f>
        <v>0</v>
      </c>
      <c r="I351" s="14">
        <f>+SUM('1:30'!I351)</f>
        <v>0</v>
      </c>
      <c r="J351" s="14">
        <f>+SUM('1:30'!J351)</f>
        <v>0</v>
      </c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">
        <f>+SUM('1:30'!O351)</f>
        <v>0</v>
      </c>
      <c r="P351" s="146">
        <f t="shared" si="40"/>
        <v>0</v>
      </c>
      <c r="Q351" s="14">
        <f>+SUM('1:30'!Q351)</f>
        <v>0</v>
      </c>
      <c r="R351" s="19">
        <f t="shared" si="41"/>
        <v>0</v>
      </c>
      <c r="S351" s="146">
        <f t="shared" si="42"/>
        <v>0</v>
      </c>
      <c r="T351" s="20">
        <v>4</v>
      </c>
      <c r="U351" s="14">
        <f>+SUM('1:30'!U351)</f>
        <v>0</v>
      </c>
      <c r="V351" s="143" t="str">
        <f t="array" ref="V351">IF(ISERROR(L351/K351),"",L351/K351)</f>
        <v/>
      </c>
      <c r="W351" s="14">
        <f>+SUM('1:30'!W351)</f>
        <v>0</v>
      </c>
      <c r="X351" s="14">
        <f>+SUM('1:30'!X351)</f>
        <v>0</v>
      </c>
      <c r="Y351" s="14">
        <f>+SUM('1:30'!Y351)</f>
        <v>0</v>
      </c>
      <c r="Z351" s="14">
        <f>+SUM('1:30'!Z351)</f>
        <v>0</v>
      </c>
      <c r="AA351" s="14">
        <f>+SUM('1:30'!AA351)</f>
        <v>0</v>
      </c>
      <c r="AB351" s="14">
        <f>+SUM('1:30'!AB351)</f>
        <v>0</v>
      </c>
      <c r="AC351" s="14">
        <f>+SUM('1:30'!AC351)</f>
        <v>0</v>
      </c>
    </row>
    <row r="352" spans="1:29" s="2" customFormat="1" ht="21.95" customHeight="1">
      <c r="A352" s="142">
        <v>300336</v>
      </c>
      <c r="B352" s="135" t="s">
        <v>118</v>
      </c>
      <c r="C352" s="248" t="s">
        <v>143</v>
      </c>
      <c r="D352" s="248"/>
      <c r="E352" s="148" t="s">
        <v>84</v>
      </c>
      <c r="F352" s="147"/>
      <c r="G352" s="14">
        <f>+SUM('1:30'!G352)</f>
        <v>0</v>
      </c>
      <c r="H352" s="14">
        <f>+SUM('1:30'!H352)</f>
        <v>0</v>
      </c>
      <c r="I352" s="14">
        <f>+SUM('1:30'!I352)</f>
        <v>0</v>
      </c>
      <c r="J352" s="14">
        <f>+SUM('1:30'!J352)</f>
        <v>0</v>
      </c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">
        <f>+SUM('1:30'!O352)</f>
        <v>0</v>
      </c>
      <c r="P352" s="146">
        <f t="shared" si="40"/>
        <v>0</v>
      </c>
      <c r="Q352" s="14">
        <f>+SUM('1:30'!Q352)</f>
        <v>0</v>
      </c>
      <c r="R352" s="19">
        <f t="shared" si="41"/>
        <v>0</v>
      </c>
      <c r="S352" s="146">
        <f t="shared" si="42"/>
        <v>0</v>
      </c>
      <c r="T352" s="20">
        <v>2</v>
      </c>
      <c r="U352" s="14">
        <f>+SUM('1:30'!U352)</f>
        <v>0</v>
      </c>
      <c r="V352" s="143" t="str">
        <f t="array" ref="V352">IF(ISERROR(L352/K352),"",L352/K352)</f>
        <v/>
      </c>
      <c r="W352" s="14">
        <f>+SUM('1:30'!W352)</f>
        <v>0</v>
      </c>
      <c r="X352" s="14">
        <f>+SUM('1:30'!X352)</f>
        <v>0</v>
      </c>
      <c r="Y352" s="14">
        <f>+SUM('1:30'!Y352)</f>
        <v>0</v>
      </c>
      <c r="Z352" s="14">
        <f>+SUM('1:30'!Z352)</f>
        <v>0</v>
      </c>
      <c r="AA352" s="14">
        <f>+SUM('1:30'!AA352)</f>
        <v>0</v>
      </c>
      <c r="AB352" s="14">
        <f>+SUM('1:30'!AB352)</f>
        <v>0</v>
      </c>
      <c r="AC352" s="14">
        <f>+SUM('1:30'!AC352)</f>
        <v>0</v>
      </c>
    </row>
    <row r="353" spans="1:29" s="2" customFormat="1" ht="21.95" customHeight="1">
      <c r="A353" s="142">
        <v>300337</v>
      </c>
      <c r="B353" s="135" t="s">
        <v>118</v>
      </c>
      <c r="C353" s="248" t="s">
        <v>143</v>
      </c>
      <c r="D353" s="248"/>
      <c r="E353" s="148" t="s">
        <v>49</v>
      </c>
      <c r="F353" s="147"/>
      <c r="G353" s="14">
        <f>+SUM('1:30'!G353)</f>
        <v>0</v>
      </c>
      <c r="H353" s="14">
        <f>+SUM('1:30'!H353)</f>
        <v>0</v>
      </c>
      <c r="I353" s="14">
        <f>+SUM('1:30'!I353)</f>
        <v>0</v>
      </c>
      <c r="J353" s="14">
        <f>+SUM('1:30'!J353)</f>
        <v>0</v>
      </c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">
        <f>+SUM('1:30'!O353)</f>
        <v>0</v>
      </c>
      <c r="P353" s="146">
        <f t="shared" si="40"/>
        <v>0</v>
      </c>
      <c r="Q353" s="14">
        <f>+SUM('1:30'!Q353)</f>
        <v>0</v>
      </c>
      <c r="R353" s="19">
        <f t="shared" si="41"/>
        <v>0</v>
      </c>
      <c r="S353" s="146">
        <f t="shared" si="42"/>
        <v>0</v>
      </c>
      <c r="T353" s="20">
        <v>2</v>
      </c>
      <c r="U353" s="14">
        <f>+SUM('1:30'!U353)</f>
        <v>0</v>
      </c>
      <c r="V353" s="143"/>
      <c r="W353" s="14">
        <f>+SUM('1:30'!W353)</f>
        <v>0</v>
      </c>
      <c r="X353" s="14">
        <f>+SUM('1:30'!X353)</f>
        <v>0</v>
      </c>
      <c r="Y353" s="14">
        <f>+SUM('1:30'!Y353)</f>
        <v>0</v>
      </c>
      <c r="Z353" s="14">
        <f>+SUM('1:30'!Z353)</f>
        <v>0</v>
      </c>
      <c r="AA353" s="14">
        <f>+SUM('1:30'!AA353)</f>
        <v>0</v>
      </c>
      <c r="AB353" s="14">
        <f>+SUM('1:30'!AB353)</f>
        <v>0</v>
      </c>
      <c r="AC353" s="14">
        <f>+SUM('1:30'!AC353)</f>
        <v>0</v>
      </c>
    </row>
    <row r="354" spans="1:29" s="2" customFormat="1" ht="21.95" customHeight="1">
      <c r="A354" s="142">
        <v>300338</v>
      </c>
      <c r="B354" s="135" t="s">
        <v>118</v>
      </c>
      <c r="C354" s="248" t="s">
        <v>143</v>
      </c>
      <c r="D354" s="248"/>
      <c r="E354" s="148" t="s">
        <v>85</v>
      </c>
      <c r="F354" s="147"/>
      <c r="G354" s="14">
        <f>+SUM('1:30'!G354)</f>
        <v>0</v>
      </c>
      <c r="H354" s="14">
        <f>+SUM('1:30'!H354)</f>
        <v>0</v>
      </c>
      <c r="I354" s="14">
        <f>+SUM('1:30'!I354)</f>
        <v>0</v>
      </c>
      <c r="J354" s="14">
        <f>+SUM('1:30'!J354)</f>
        <v>0</v>
      </c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">
        <f>+SUM('1:30'!O354)</f>
        <v>0</v>
      </c>
      <c r="P354" s="146">
        <f t="shared" si="40"/>
        <v>0</v>
      </c>
      <c r="Q354" s="14">
        <f>+SUM('1:30'!Q354)</f>
        <v>0</v>
      </c>
      <c r="R354" s="19">
        <f t="shared" si="41"/>
        <v>0</v>
      </c>
      <c r="S354" s="146">
        <f t="shared" si="42"/>
        <v>0</v>
      </c>
      <c r="T354" s="20">
        <v>2</v>
      </c>
      <c r="U354" s="14">
        <f>+SUM('1:30'!U354)</f>
        <v>0</v>
      </c>
      <c r="V354" s="143"/>
      <c r="W354" s="14">
        <f>+SUM('1:30'!W354)</f>
        <v>0</v>
      </c>
      <c r="X354" s="14">
        <f>+SUM('1:30'!X354)</f>
        <v>0</v>
      </c>
      <c r="Y354" s="14">
        <f>+SUM('1:30'!Y354)</f>
        <v>0</v>
      </c>
      <c r="Z354" s="14">
        <f>+SUM('1:30'!Z354)</f>
        <v>0</v>
      </c>
      <c r="AA354" s="14">
        <f>+SUM('1:30'!AA354)</f>
        <v>0</v>
      </c>
      <c r="AB354" s="14">
        <f>+SUM('1:30'!AB354)</f>
        <v>0</v>
      </c>
      <c r="AC354" s="14">
        <f>+SUM('1:30'!AC354)</f>
        <v>0</v>
      </c>
    </row>
    <row r="355" spans="1:29" s="2" customFormat="1" ht="21.95" customHeight="1">
      <c r="A355" s="142">
        <v>300309</v>
      </c>
      <c r="B355" s="135">
        <v>6504</v>
      </c>
      <c r="C355" s="248" t="s">
        <v>145</v>
      </c>
      <c r="D355" s="248"/>
      <c r="E355" s="148" t="s">
        <v>47</v>
      </c>
      <c r="F355" s="147"/>
      <c r="G355" s="14">
        <f>+SUM('1:30'!G355)</f>
        <v>0</v>
      </c>
      <c r="H355" s="14">
        <f>+SUM('1:30'!H355)</f>
        <v>0</v>
      </c>
      <c r="I355" s="14">
        <f>+SUM('1:30'!I355)</f>
        <v>0</v>
      </c>
      <c r="J355" s="14">
        <f>+SUM('1:30'!J355)</f>
        <v>0</v>
      </c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">
        <f>+SUM('1:30'!O355)</f>
        <v>0</v>
      </c>
      <c r="P355" s="146">
        <f t="shared" si="40"/>
        <v>0</v>
      </c>
      <c r="Q355" s="14">
        <f>+SUM('1:30'!Q355)</f>
        <v>0</v>
      </c>
      <c r="R355" s="19">
        <f t="shared" si="41"/>
        <v>0</v>
      </c>
      <c r="S355" s="146">
        <f t="shared" si="42"/>
        <v>0</v>
      </c>
      <c r="T355" s="20">
        <v>6</v>
      </c>
      <c r="U355" s="14">
        <f>+SUM('1:30'!U355)</f>
        <v>0</v>
      </c>
      <c r="V355" s="143" t="str">
        <f t="array" ref="V355">IF(ISERROR(L355/K355),"",L355/K355)</f>
        <v/>
      </c>
      <c r="W355" s="14">
        <f>+SUM('1:30'!W355)</f>
        <v>0</v>
      </c>
      <c r="X355" s="14">
        <f>+SUM('1:30'!X355)</f>
        <v>0</v>
      </c>
      <c r="Y355" s="14">
        <f>+SUM('1:30'!Y355)</f>
        <v>0</v>
      </c>
      <c r="Z355" s="14">
        <f>+SUM('1:30'!Z355)</f>
        <v>0</v>
      </c>
      <c r="AA355" s="14">
        <f>+SUM('1:30'!AA355)</f>
        <v>0</v>
      </c>
      <c r="AB355" s="14">
        <f>+SUM('1:30'!AB355)</f>
        <v>0</v>
      </c>
      <c r="AC355" s="14">
        <f>+SUM('1:30'!AC355)</f>
        <v>0</v>
      </c>
    </row>
    <row r="356" spans="1:29" s="2" customFormat="1" ht="21.95" customHeight="1">
      <c r="A356" s="142">
        <v>300310</v>
      </c>
      <c r="B356" s="135">
        <v>6504</v>
      </c>
      <c r="C356" s="248" t="s">
        <v>145</v>
      </c>
      <c r="D356" s="248"/>
      <c r="E356" s="148" t="s">
        <v>146</v>
      </c>
      <c r="F356" s="147"/>
      <c r="G356" s="14">
        <f>+SUM('1:30'!G356)</f>
        <v>0</v>
      </c>
      <c r="H356" s="14">
        <f>+SUM('1:30'!H356)</f>
        <v>0</v>
      </c>
      <c r="I356" s="14">
        <f>+SUM('1:30'!I356)</f>
        <v>0</v>
      </c>
      <c r="J356" s="14">
        <f>+SUM('1:30'!J356)</f>
        <v>0</v>
      </c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">
        <f>+SUM('1:30'!O356)</f>
        <v>0</v>
      </c>
      <c r="P356" s="146">
        <f t="shared" si="40"/>
        <v>0</v>
      </c>
      <c r="Q356" s="14">
        <f>+SUM('1:30'!Q356)</f>
        <v>0</v>
      </c>
      <c r="R356" s="19">
        <f t="shared" si="41"/>
        <v>0</v>
      </c>
      <c r="S356" s="146">
        <f t="shared" si="42"/>
        <v>0</v>
      </c>
      <c r="T356" s="20">
        <v>6</v>
      </c>
      <c r="U356" s="14">
        <f>+SUM('1:30'!U356)</f>
        <v>0</v>
      </c>
      <c r="V356" s="143" t="str">
        <f t="array" ref="V356">IF(ISERROR(L356/K356),"",L356/K356)</f>
        <v/>
      </c>
      <c r="W356" s="14">
        <f>+SUM('1:30'!W356)</f>
        <v>0</v>
      </c>
      <c r="X356" s="14">
        <f>+SUM('1:30'!X356)</f>
        <v>0</v>
      </c>
      <c r="Y356" s="14">
        <f>+SUM('1:30'!Y356)</f>
        <v>0</v>
      </c>
      <c r="Z356" s="14">
        <f>+SUM('1:30'!Z356)</f>
        <v>0</v>
      </c>
      <c r="AA356" s="14">
        <f>+SUM('1:30'!AA356)</f>
        <v>0</v>
      </c>
      <c r="AB356" s="14">
        <f>+SUM('1:30'!AB356)</f>
        <v>0</v>
      </c>
      <c r="AC356" s="14">
        <f>+SUM('1:30'!AC356)</f>
        <v>0</v>
      </c>
    </row>
    <row r="357" spans="1:29" s="2" customFormat="1" ht="21.95" customHeight="1">
      <c r="A357" s="142">
        <v>300312</v>
      </c>
      <c r="B357" s="135">
        <v>6504</v>
      </c>
      <c r="C357" s="248" t="s">
        <v>145</v>
      </c>
      <c r="D357" s="248"/>
      <c r="E357" s="148" t="s">
        <v>147</v>
      </c>
      <c r="F357" s="147"/>
      <c r="G357" s="14">
        <f>+SUM('1:30'!G357)</f>
        <v>0</v>
      </c>
      <c r="H357" s="14">
        <f>+SUM('1:30'!H357)</f>
        <v>0</v>
      </c>
      <c r="I357" s="14">
        <f>+SUM('1:30'!I357)</f>
        <v>0</v>
      </c>
      <c r="J357" s="14">
        <f>+SUM('1:30'!J357)</f>
        <v>0</v>
      </c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">
        <f>+SUM('1:30'!O357)</f>
        <v>0</v>
      </c>
      <c r="P357" s="146">
        <f t="shared" si="40"/>
        <v>0</v>
      </c>
      <c r="Q357" s="14">
        <f>+SUM('1:30'!Q357)</f>
        <v>0</v>
      </c>
      <c r="R357" s="19">
        <f t="shared" si="41"/>
        <v>0</v>
      </c>
      <c r="S357" s="146">
        <f t="shared" si="42"/>
        <v>0</v>
      </c>
      <c r="T357" s="20">
        <v>6</v>
      </c>
      <c r="U357" s="14">
        <f>+SUM('1:30'!U357)</f>
        <v>0</v>
      </c>
      <c r="V357" s="143" t="str">
        <f t="array" ref="V357">IF(ISERROR(L357/K357),"",L357/K357)</f>
        <v/>
      </c>
      <c r="W357" s="14">
        <f>+SUM('1:30'!W357)</f>
        <v>0</v>
      </c>
      <c r="X357" s="14">
        <f>+SUM('1:30'!X357)</f>
        <v>0</v>
      </c>
      <c r="Y357" s="14">
        <f>+SUM('1:30'!Y357)</f>
        <v>0</v>
      </c>
      <c r="Z357" s="14">
        <f>+SUM('1:30'!Z357)</f>
        <v>0</v>
      </c>
      <c r="AA357" s="14">
        <f>+SUM('1:30'!AA357)</f>
        <v>0</v>
      </c>
      <c r="AB357" s="14">
        <f>+SUM('1:30'!AB357)</f>
        <v>0</v>
      </c>
      <c r="AC357" s="14">
        <f>+SUM('1:30'!AC357)</f>
        <v>0</v>
      </c>
    </row>
    <row r="358" spans="1:29" s="2" customFormat="1" ht="21.95" customHeight="1">
      <c r="A358" s="142">
        <v>300311</v>
      </c>
      <c r="B358" s="135">
        <v>6504</v>
      </c>
      <c r="C358" s="248" t="s">
        <v>145</v>
      </c>
      <c r="D358" s="248"/>
      <c r="E358" s="148" t="s">
        <v>74</v>
      </c>
      <c r="F358" s="147"/>
      <c r="G358" s="14">
        <f>+SUM('1:30'!G358)</f>
        <v>0</v>
      </c>
      <c r="H358" s="14">
        <f>+SUM('1:30'!H358)</f>
        <v>0</v>
      </c>
      <c r="I358" s="14">
        <f>+SUM('1:30'!I358)</f>
        <v>0</v>
      </c>
      <c r="J358" s="14">
        <f>+SUM('1:30'!J358)</f>
        <v>0</v>
      </c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">
        <f>+SUM('1:30'!O358)</f>
        <v>0</v>
      </c>
      <c r="P358" s="146">
        <f t="shared" si="40"/>
        <v>0</v>
      </c>
      <c r="Q358" s="14">
        <f>+SUM('1:30'!Q358)</f>
        <v>0</v>
      </c>
      <c r="R358" s="19">
        <f t="shared" si="41"/>
        <v>0</v>
      </c>
      <c r="S358" s="146">
        <f t="shared" si="42"/>
        <v>0</v>
      </c>
      <c r="T358" s="20">
        <v>6</v>
      </c>
      <c r="U358" s="14">
        <f>+SUM('1:30'!U358)</f>
        <v>0</v>
      </c>
      <c r="V358" s="143" t="str">
        <f t="array" ref="V358">IF(ISERROR(L358/K358),"",L358/K358)</f>
        <v/>
      </c>
      <c r="W358" s="14">
        <f>+SUM('1:30'!W358)</f>
        <v>0</v>
      </c>
      <c r="X358" s="14">
        <f>+SUM('1:30'!X358)</f>
        <v>0</v>
      </c>
      <c r="Y358" s="14">
        <f>+SUM('1:30'!Y358)</f>
        <v>0</v>
      </c>
      <c r="Z358" s="14">
        <f>+SUM('1:30'!Z358)</f>
        <v>0</v>
      </c>
      <c r="AA358" s="14">
        <f>+SUM('1:30'!AA358)</f>
        <v>0</v>
      </c>
      <c r="AB358" s="14">
        <f>+SUM('1:30'!AB358)</f>
        <v>0</v>
      </c>
      <c r="AC358" s="14">
        <f>+SUM('1:30'!AC358)</f>
        <v>0</v>
      </c>
    </row>
    <row r="359" spans="1:29" s="2" customFormat="1" ht="21.95" customHeight="1">
      <c r="A359" s="142">
        <v>300399</v>
      </c>
      <c r="B359" s="135">
        <v>18501</v>
      </c>
      <c r="C359" s="259" t="s">
        <v>148</v>
      </c>
      <c r="D359" s="260"/>
      <c r="E359" s="148" t="s">
        <v>41</v>
      </c>
      <c r="F359" s="147"/>
      <c r="G359" s="14">
        <f>+SUM('1:30'!G359)</f>
        <v>0</v>
      </c>
      <c r="H359" s="14">
        <f>+SUM('1:30'!H359)</f>
        <v>0</v>
      </c>
      <c r="I359" s="14">
        <f>+SUM('1:30'!I359)</f>
        <v>0</v>
      </c>
      <c r="J359" s="14">
        <f>+SUM('1:30'!J359)</f>
        <v>0</v>
      </c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">
        <f>+SUM('1:30'!O359)</f>
        <v>0</v>
      </c>
      <c r="P359" s="146">
        <f t="shared" si="40"/>
        <v>0</v>
      </c>
      <c r="Q359" s="14">
        <f>+SUM('1:30'!Q359)</f>
        <v>0</v>
      </c>
      <c r="R359" s="19">
        <f t="shared" si="41"/>
        <v>0</v>
      </c>
      <c r="S359" s="146">
        <f t="shared" si="42"/>
        <v>0</v>
      </c>
      <c r="T359" s="20">
        <v>6</v>
      </c>
      <c r="U359" s="14">
        <f>+SUM('1:30'!U359)</f>
        <v>0</v>
      </c>
      <c r="V359" s="143"/>
      <c r="W359" s="14">
        <f>+SUM('1:30'!W359)</f>
        <v>0</v>
      </c>
      <c r="X359" s="14">
        <f>+SUM('1:30'!X359)</f>
        <v>0</v>
      </c>
      <c r="Y359" s="14">
        <f>+SUM('1:30'!Y359)</f>
        <v>0</v>
      </c>
      <c r="Z359" s="14">
        <f>+SUM('1:30'!Z359)</f>
        <v>0</v>
      </c>
      <c r="AA359" s="14">
        <f>+SUM('1:30'!AA359)</f>
        <v>0</v>
      </c>
      <c r="AB359" s="14">
        <f>+SUM('1:30'!AB359)</f>
        <v>0</v>
      </c>
      <c r="AC359" s="14">
        <f>+SUM('1:30'!AC359)</f>
        <v>0</v>
      </c>
    </row>
    <row r="360" spans="1:29" s="2" customFormat="1" ht="21.95" customHeight="1">
      <c r="A360" s="142">
        <v>300400</v>
      </c>
      <c r="B360" s="135">
        <v>18501</v>
      </c>
      <c r="C360" s="259" t="s">
        <v>148</v>
      </c>
      <c r="D360" s="260"/>
      <c r="E360" s="148" t="s">
        <v>66</v>
      </c>
      <c r="F360" s="147"/>
      <c r="G360" s="14">
        <f>+SUM('1:30'!G360)</f>
        <v>0</v>
      </c>
      <c r="H360" s="14">
        <f>+SUM('1:30'!H360)</f>
        <v>0</v>
      </c>
      <c r="I360" s="14">
        <f>+SUM('1:30'!I360)</f>
        <v>0</v>
      </c>
      <c r="J360" s="14">
        <f>+SUM('1:30'!J360)</f>
        <v>0</v>
      </c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">
        <f>+SUM('1:30'!O360)</f>
        <v>0</v>
      </c>
      <c r="P360" s="146">
        <f t="shared" si="40"/>
        <v>0</v>
      </c>
      <c r="Q360" s="14">
        <f>+SUM('1:30'!Q360)</f>
        <v>0</v>
      </c>
      <c r="R360" s="19">
        <f t="shared" si="41"/>
        <v>0</v>
      </c>
      <c r="S360" s="146">
        <f t="shared" si="42"/>
        <v>0</v>
      </c>
      <c r="T360" s="20">
        <v>6</v>
      </c>
      <c r="U360" s="14">
        <f>+SUM('1:30'!U360)</f>
        <v>0</v>
      </c>
      <c r="V360" s="143"/>
      <c r="W360" s="14">
        <f>+SUM('1:30'!W360)</f>
        <v>0</v>
      </c>
      <c r="X360" s="14">
        <f>+SUM('1:30'!X360)</f>
        <v>0</v>
      </c>
      <c r="Y360" s="14">
        <f>+SUM('1:30'!Y360)</f>
        <v>0</v>
      </c>
      <c r="Z360" s="14">
        <f>+SUM('1:30'!Z360)</f>
        <v>0</v>
      </c>
      <c r="AA360" s="14">
        <f>+SUM('1:30'!AA360)</f>
        <v>0</v>
      </c>
      <c r="AB360" s="14">
        <f>+SUM('1:30'!AB360)</f>
        <v>0</v>
      </c>
      <c r="AC360" s="14">
        <f>+SUM('1:30'!AC360)</f>
        <v>0</v>
      </c>
    </row>
    <row r="361" spans="1:29" s="2" customFormat="1" ht="21.95" customHeight="1">
      <c r="A361" s="142">
        <v>300401</v>
      </c>
      <c r="B361" s="135">
        <v>18501</v>
      </c>
      <c r="C361" s="259" t="s">
        <v>148</v>
      </c>
      <c r="D361" s="260"/>
      <c r="E361" s="148" t="s">
        <v>149</v>
      </c>
      <c r="F361" s="147"/>
      <c r="G361" s="14">
        <f>+SUM('1:30'!G361)</f>
        <v>0</v>
      </c>
      <c r="H361" s="14">
        <f>+SUM('1:30'!H361)</f>
        <v>0</v>
      </c>
      <c r="I361" s="14">
        <f>+SUM('1:30'!I361)</f>
        <v>0</v>
      </c>
      <c r="J361" s="14">
        <f>+SUM('1:30'!J361)</f>
        <v>0</v>
      </c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">
        <f>+SUM('1:30'!O361)</f>
        <v>0</v>
      </c>
      <c r="P361" s="146">
        <f t="shared" si="40"/>
        <v>0</v>
      </c>
      <c r="Q361" s="14">
        <f>+SUM('1:30'!Q361)</f>
        <v>0</v>
      </c>
      <c r="R361" s="19">
        <f t="shared" si="41"/>
        <v>0</v>
      </c>
      <c r="S361" s="146">
        <f t="shared" si="42"/>
        <v>0</v>
      </c>
      <c r="T361" s="20">
        <v>6</v>
      </c>
      <c r="U361" s="14">
        <f>+SUM('1:30'!U361)</f>
        <v>0</v>
      </c>
      <c r="V361" s="143"/>
      <c r="W361" s="14">
        <f>+SUM('1:30'!W361)</f>
        <v>0</v>
      </c>
      <c r="X361" s="14">
        <f>+SUM('1:30'!X361)</f>
        <v>0</v>
      </c>
      <c r="Y361" s="14">
        <f>+SUM('1:30'!Y361)</f>
        <v>0</v>
      </c>
      <c r="Z361" s="14">
        <f>+SUM('1:30'!Z361)</f>
        <v>0</v>
      </c>
      <c r="AA361" s="14">
        <f>+SUM('1:30'!AA361)</f>
        <v>0</v>
      </c>
      <c r="AB361" s="14">
        <f>+SUM('1:30'!AB361)</f>
        <v>0</v>
      </c>
      <c r="AC361" s="14">
        <f>+SUM('1:30'!AC361)</f>
        <v>0</v>
      </c>
    </row>
    <row r="362" spans="1:29" s="2" customFormat="1" ht="21.95" customHeight="1">
      <c r="A362" s="142">
        <v>300402</v>
      </c>
      <c r="B362" s="135">
        <v>18501</v>
      </c>
      <c r="C362" s="259" t="s">
        <v>150</v>
      </c>
      <c r="D362" s="260"/>
      <c r="E362" s="148" t="s">
        <v>151</v>
      </c>
      <c r="F362" s="147"/>
      <c r="G362" s="14">
        <f>+SUM('1:30'!G362)</f>
        <v>0</v>
      </c>
      <c r="H362" s="14">
        <f>+SUM('1:30'!H362)</f>
        <v>0</v>
      </c>
      <c r="I362" s="14">
        <f>+SUM('1:30'!I362)</f>
        <v>0</v>
      </c>
      <c r="J362" s="14">
        <f>+SUM('1:30'!J362)</f>
        <v>0</v>
      </c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">
        <f>+SUM('1:30'!O362)</f>
        <v>0</v>
      </c>
      <c r="P362" s="146">
        <f t="shared" si="40"/>
        <v>0</v>
      </c>
      <c r="Q362" s="14">
        <f>+SUM('1:30'!Q362)</f>
        <v>0</v>
      </c>
      <c r="R362" s="19">
        <f t="shared" si="41"/>
        <v>0</v>
      </c>
      <c r="S362" s="146">
        <f t="shared" si="42"/>
        <v>0</v>
      </c>
      <c r="T362" s="20">
        <v>6</v>
      </c>
      <c r="U362" s="14">
        <f>+SUM('1:30'!U362)</f>
        <v>0</v>
      </c>
      <c r="V362" s="143"/>
      <c r="W362" s="14">
        <f>+SUM('1:30'!W362)</f>
        <v>0</v>
      </c>
      <c r="X362" s="14">
        <f>+SUM('1:30'!X362)</f>
        <v>0</v>
      </c>
      <c r="Y362" s="14">
        <f>+SUM('1:30'!Y362)</f>
        <v>0</v>
      </c>
      <c r="Z362" s="14">
        <f>+SUM('1:30'!Z362)</f>
        <v>0</v>
      </c>
      <c r="AA362" s="14">
        <f>+SUM('1:30'!AA362)</f>
        <v>0</v>
      </c>
      <c r="AB362" s="14">
        <f>+SUM('1:30'!AB362)</f>
        <v>0</v>
      </c>
      <c r="AC362" s="14">
        <f>+SUM('1:30'!AC362)</f>
        <v>0</v>
      </c>
    </row>
    <row r="363" spans="1:29" s="2" customFormat="1" ht="21.95" customHeight="1">
      <c r="A363" s="142">
        <v>300403</v>
      </c>
      <c r="B363" s="135">
        <v>18501</v>
      </c>
      <c r="C363" s="259" t="s">
        <v>150</v>
      </c>
      <c r="D363" s="260"/>
      <c r="E363" s="148" t="s">
        <v>152</v>
      </c>
      <c r="F363" s="147"/>
      <c r="G363" s="14">
        <f>+SUM('1:30'!G363)</f>
        <v>0</v>
      </c>
      <c r="H363" s="14">
        <f>+SUM('1:30'!H363)</f>
        <v>0</v>
      </c>
      <c r="I363" s="14">
        <f>+SUM('1:30'!I363)</f>
        <v>0</v>
      </c>
      <c r="J363" s="14">
        <f>+SUM('1:30'!J363)</f>
        <v>0</v>
      </c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">
        <f>+SUM('1:30'!O363)</f>
        <v>0</v>
      </c>
      <c r="P363" s="146">
        <f t="shared" ref="P363:P399" si="48">N363*I363+O363*U363</f>
        <v>0</v>
      </c>
      <c r="Q363" s="14">
        <f>+SUM('1:30'!Q363)</f>
        <v>0</v>
      </c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14">
        <f>+SUM('1:30'!U363)</f>
        <v>0</v>
      </c>
      <c r="V363" s="143"/>
      <c r="W363" s="14">
        <f>+SUM('1:30'!W363)</f>
        <v>0</v>
      </c>
      <c r="X363" s="14">
        <f>+SUM('1:30'!X363)</f>
        <v>0</v>
      </c>
      <c r="Y363" s="14">
        <f>+SUM('1:30'!Y363)</f>
        <v>0</v>
      </c>
      <c r="Z363" s="14">
        <f>+SUM('1:30'!Z363)</f>
        <v>0</v>
      </c>
      <c r="AA363" s="14">
        <f>+SUM('1:30'!AA363)</f>
        <v>0</v>
      </c>
      <c r="AB363" s="14">
        <f>+SUM('1:30'!AB363)</f>
        <v>0</v>
      </c>
      <c r="AC363" s="14">
        <f>+SUM('1:30'!AC363)</f>
        <v>0</v>
      </c>
    </row>
    <row r="364" spans="1:29" s="2" customFormat="1" ht="21.95" customHeight="1">
      <c r="A364" s="142">
        <v>300404</v>
      </c>
      <c r="B364" s="135">
        <v>18501</v>
      </c>
      <c r="C364" s="259" t="s">
        <v>150</v>
      </c>
      <c r="D364" s="260"/>
      <c r="E364" s="148" t="s">
        <v>70</v>
      </c>
      <c r="F364" s="147"/>
      <c r="G364" s="14">
        <f>+SUM('1:30'!G364)</f>
        <v>0</v>
      </c>
      <c r="H364" s="14">
        <f>+SUM('1:30'!H364)</f>
        <v>0</v>
      </c>
      <c r="I364" s="14">
        <f>+SUM('1:30'!I364)</f>
        <v>0</v>
      </c>
      <c r="J364" s="14">
        <f>+SUM('1:30'!J364)</f>
        <v>0</v>
      </c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">
        <f>+SUM('1:30'!O364)</f>
        <v>0</v>
      </c>
      <c r="P364" s="146">
        <f t="shared" si="48"/>
        <v>0</v>
      </c>
      <c r="Q364" s="14">
        <f>+SUM('1:30'!Q364)</f>
        <v>0</v>
      </c>
      <c r="R364" s="19">
        <f t="shared" si="49"/>
        <v>0</v>
      </c>
      <c r="S364" s="146">
        <f t="shared" si="50"/>
        <v>0</v>
      </c>
      <c r="T364" s="20">
        <v>6</v>
      </c>
      <c r="U364" s="14">
        <f>+SUM('1:30'!U364)</f>
        <v>0</v>
      </c>
      <c r="V364" s="143"/>
      <c r="W364" s="14">
        <f>+SUM('1:30'!W364)</f>
        <v>0</v>
      </c>
      <c r="X364" s="14">
        <f>+SUM('1:30'!X364)</f>
        <v>0</v>
      </c>
      <c r="Y364" s="14">
        <f>+SUM('1:30'!Y364)</f>
        <v>0</v>
      </c>
      <c r="Z364" s="14">
        <f>+SUM('1:30'!Z364)</f>
        <v>0</v>
      </c>
      <c r="AA364" s="14">
        <f>+SUM('1:30'!AA364)</f>
        <v>0</v>
      </c>
      <c r="AB364" s="14">
        <f>+SUM('1:30'!AB364)</f>
        <v>0</v>
      </c>
      <c r="AC364" s="14">
        <f>+SUM('1:30'!AC364)</f>
        <v>0</v>
      </c>
    </row>
    <row r="365" spans="1:29" s="2" customFormat="1" ht="21.95" customHeight="1">
      <c r="A365" s="142">
        <v>300405</v>
      </c>
      <c r="B365" s="135">
        <v>18501</v>
      </c>
      <c r="C365" s="259" t="s">
        <v>150</v>
      </c>
      <c r="D365" s="260"/>
      <c r="E365" s="148" t="s">
        <v>35</v>
      </c>
      <c r="F365" s="147"/>
      <c r="G365" s="14">
        <f>+SUM('1:30'!G365)</f>
        <v>0</v>
      </c>
      <c r="H365" s="14">
        <f>+SUM('1:30'!H365)</f>
        <v>0</v>
      </c>
      <c r="I365" s="14">
        <f>+SUM('1:30'!I365)</f>
        <v>0</v>
      </c>
      <c r="J365" s="14">
        <f>+SUM('1:30'!J365)</f>
        <v>0</v>
      </c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">
        <f>+SUM('1:30'!O365)</f>
        <v>0</v>
      </c>
      <c r="P365" s="146">
        <f t="shared" si="48"/>
        <v>0</v>
      </c>
      <c r="Q365" s="14">
        <f>+SUM('1:30'!Q365)</f>
        <v>0</v>
      </c>
      <c r="R365" s="19">
        <f t="shared" si="49"/>
        <v>0</v>
      </c>
      <c r="S365" s="146">
        <f t="shared" si="50"/>
        <v>0</v>
      </c>
      <c r="T365" s="20">
        <v>6</v>
      </c>
      <c r="U365" s="14">
        <f>+SUM('1:30'!U365)</f>
        <v>0</v>
      </c>
      <c r="V365" s="143"/>
      <c r="W365" s="14">
        <f>+SUM('1:30'!W365)</f>
        <v>0</v>
      </c>
      <c r="X365" s="14">
        <f>+SUM('1:30'!X365)</f>
        <v>0</v>
      </c>
      <c r="Y365" s="14">
        <f>+SUM('1:30'!Y365)</f>
        <v>0</v>
      </c>
      <c r="Z365" s="14">
        <f>+SUM('1:30'!Z365)</f>
        <v>0</v>
      </c>
      <c r="AA365" s="14">
        <f>+SUM('1:30'!AA365)</f>
        <v>0</v>
      </c>
      <c r="AB365" s="14">
        <f>+SUM('1:30'!AB365)</f>
        <v>0</v>
      </c>
      <c r="AC365" s="14">
        <f>+SUM('1:30'!AC365)</f>
        <v>0</v>
      </c>
    </row>
    <row r="366" spans="1:29" s="2" customFormat="1" ht="21.95" customHeight="1">
      <c r="A366" s="142">
        <v>300372</v>
      </c>
      <c r="B366" s="135">
        <v>18501</v>
      </c>
      <c r="C366" s="259" t="s">
        <v>153</v>
      </c>
      <c r="D366" s="260"/>
      <c r="E366" s="148" t="s">
        <v>47</v>
      </c>
      <c r="F366" s="147"/>
      <c r="G366" s="14">
        <f>+SUM('1:30'!G366)</f>
        <v>0</v>
      </c>
      <c r="H366" s="14">
        <f>+SUM('1:30'!H366)</f>
        <v>0</v>
      </c>
      <c r="I366" s="14">
        <f>+SUM('1:30'!I366)</f>
        <v>0</v>
      </c>
      <c r="J366" s="14">
        <f>+SUM('1:30'!J366)</f>
        <v>0</v>
      </c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">
        <f>+SUM('1:30'!O366)</f>
        <v>0</v>
      </c>
      <c r="P366" s="146">
        <f t="shared" si="48"/>
        <v>0</v>
      </c>
      <c r="Q366" s="14">
        <f>+SUM('1:30'!Q366)</f>
        <v>0</v>
      </c>
      <c r="R366" s="19">
        <f t="shared" si="49"/>
        <v>0</v>
      </c>
      <c r="S366" s="146">
        <f t="shared" si="50"/>
        <v>0</v>
      </c>
      <c r="T366" s="20">
        <v>6</v>
      </c>
      <c r="U366" s="14">
        <f>+SUM('1:30'!U366)</f>
        <v>0</v>
      </c>
      <c r="V366" s="143"/>
      <c r="W366" s="14">
        <f>+SUM('1:30'!W366)</f>
        <v>0</v>
      </c>
      <c r="X366" s="14">
        <f>+SUM('1:30'!X366)</f>
        <v>0</v>
      </c>
      <c r="Y366" s="14">
        <f>+SUM('1:30'!Y366)</f>
        <v>0</v>
      </c>
      <c r="Z366" s="14">
        <f>+SUM('1:30'!Z366)</f>
        <v>0</v>
      </c>
      <c r="AA366" s="14">
        <f>+SUM('1:30'!AA366)</f>
        <v>0</v>
      </c>
      <c r="AB366" s="14">
        <f>+SUM('1:30'!AB366)</f>
        <v>0</v>
      </c>
      <c r="AC366" s="14">
        <f>+SUM('1:30'!AC366)</f>
        <v>0</v>
      </c>
    </row>
    <row r="367" spans="1:29" s="2" customFormat="1" ht="21.95" customHeight="1">
      <c r="A367" s="142">
        <v>300373</v>
      </c>
      <c r="B367" s="135">
        <v>18501</v>
      </c>
      <c r="C367" s="259" t="s">
        <v>153</v>
      </c>
      <c r="D367" s="260"/>
      <c r="E367" s="148" t="s">
        <v>146</v>
      </c>
      <c r="F367" s="147"/>
      <c r="G367" s="14">
        <f>+SUM('1:30'!G367)</f>
        <v>0</v>
      </c>
      <c r="H367" s="14">
        <f>+SUM('1:30'!H367)</f>
        <v>0</v>
      </c>
      <c r="I367" s="14">
        <f>+SUM('1:30'!I367)</f>
        <v>0</v>
      </c>
      <c r="J367" s="14">
        <f>+SUM('1:30'!J367)</f>
        <v>0</v>
      </c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">
        <f>+SUM('1:30'!O367)</f>
        <v>0</v>
      </c>
      <c r="P367" s="146">
        <f t="shared" si="48"/>
        <v>0</v>
      </c>
      <c r="Q367" s="14">
        <f>+SUM('1:30'!Q367)</f>
        <v>0</v>
      </c>
      <c r="R367" s="19">
        <f t="shared" si="49"/>
        <v>0</v>
      </c>
      <c r="S367" s="146">
        <f t="shared" si="50"/>
        <v>0</v>
      </c>
      <c r="T367" s="20">
        <v>6</v>
      </c>
      <c r="U367" s="14">
        <f>+SUM('1:30'!U367)</f>
        <v>0</v>
      </c>
      <c r="V367" s="143"/>
      <c r="W367" s="14">
        <f>+SUM('1:30'!W367)</f>
        <v>0</v>
      </c>
      <c r="X367" s="14">
        <f>+SUM('1:30'!X367)</f>
        <v>0</v>
      </c>
      <c r="Y367" s="14">
        <f>+SUM('1:30'!Y367)</f>
        <v>0</v>
      </c>
      <c r="Z367" s="14">
        <f>+SUM('1:30'!Z367)</f>
        <v>0</v>
      </c>
      <c r="AA367" s="14">
        <f>+SUM('1:30'!AA367)</f>
        <v>0</v>
      </c>
      <c r="AB367" s="14">
        <f>+SUM('1:30'!AB367)</f>
        <v>0</v>
      </c>
      <c r="AC367" s="14">
        <f>+SUM('1:30'!AC367)</f>
        <v>0</v>
      </c>
    </row>
    <row r="368" spans="1:29" s="2" customFormat="1" ht="21.95" customHeight="1">
      <c r="A368" s="142">
        <v>300374</v>
      </c>
      <c r="B368" s="135">
        <v>18501</v>
      </c>
      <c r="C368" s="259" t="s">
        <v>153</v>
      </c>
      <c r="D368" s="260"/>
      <c r="E368" s="148" t="s">
        <v>147</v>
      </c>
      <c r="F368" s="147"/>
      <c r="G368" s="14">
        <f>+SUM('1:30'!G368)</f>
        <v>0</v>
      </c>
      <c r="H368" s="14">
        <f>+SUM('1:30'!H368)</f>
        <v>0</v>
      </c>
      <c r="I368" s="14">
        <f>+SUM('1:30'!I368)</f>
        <v>0</v>
      </c>
      <c r="J368" s="14">
        <f>+SUM('1:30'!J368)</f>
        <v>0</v>
      </c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">
        <f>+SUM('1:30'!O368)</f>
        <v>0</v>
      </c>
      <c r="P368" s="146">
        <f t="shared" si="48"/>
        <v>0</v>
      </c>
      <c r="Q368" s="14">
        <f>+SUM('1:30'!Q368)</f>
        <v>0</v>
      </c>
      <c r="R368" s="19">
        <f t="shared" si="49"/>
        <v>0</v>
      </c>
      <c r="S368" s="146">
        <f t="shared" si="50"/>
        <v>0</v>
      </c>
      <c r="T368" s="20">
        <v>6</v>
      </c>
      <c r="U368" s="14">
        <f>+SUM('1:30'!U368)</f>
        <v>0</v>
      </c>
      <c r="V368" s="143"/>
      <c r="W368" s="14">
        <f>+SUM('1:30'!W368)</f>
        <v>0</v>
      </c>
      <c r="X368" s="14">
        <f>+SUM('1:30'!X368)</f>
        <v>0</v>
      </c>
      <c r="Y368" s="14">
        <f>+SUM('1:30'!Y368)</f>
        <v>0</v>
      </c>
      <c r="Z368" s="14">
        <f>+SUM('1:30'!Z368)</f>
        <v>0</v>
      </c>
      <c r="AA368" s="14">
        <f>+SUM('1:30'!AA368)</f>
        <v>0</v>
      </c>
      <c r="AB368" s="14">
        <f>+SUM('1:30'!AB368)</f>
        <v>0</v>
      </c>
      <c r="AC368" s="14">
        <f>+SUM('1:30'!AC368)</f>
        <v>0</v>
      </c>
    </row>
    <row r="369" spans="1:29" s="2" customFormat="1" ht="21.95" customHeight="1">
      <c r="A369" s="142">
        <v>300375</v>
      </c>
      <c r="B369" s="135">
        <v>18501</v>
      </c>
      <c r="C369" s="259" t="s">
        <v>153</v>
      </c>
      <c r="D369" s="260"/>
      <c r="E369" s="148" t="s">
        <v>74</v>
      </c>
      <c r="F369" s="147"/>
      <c r="G369" s="14">
        <f>+SUM('1:30'!G369)</f>
        <v>0</v>
      </c>
      <c r="H369" s="14">
        <f>+SUM('1:30'!H369)</f>
        <v>0</v>
      </c>
      <c r="I369" s="14">
        <f>+SUM('1:30'!I369)</f>
        <v>0</v>
      </c>
      <c r="J369" s="14">
        <f>+SUM('1:30'!J369)</f>
        <v>0</v>
      </c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">
        <f>+SUM('1:30'!O369)</f>
        <v>0</v>
      </c>
      <c r="P369" s="146">
        <f t="shared" si="48"/>
        <v>0</v>
      </c>
      <c r="Q369" s="14">
        <f>+SUM('1:30'!Q369)</f>
        <v>0</v>
      </c>
      <c r="R369" s="19">
        <f t="shared" si="49"/>
        <v>0</v>
      </c>
      <c r="S369" s="146">
        <f t="shared" si="50"/>
        <v>0</v>
      </c>
      <c r="T369" s="20">
        <v>6</v>
      </c>
      <c r="U369" s="14">
        <f>+SUM('1:30'!U369)</f>
        <v>0</v>
      </c>
      <c r="V369" s="143"/>
      <c r="W369" s="14">
        <f>+SUM('1:30'!W369)</f>
        <v>0</v>
      </c>
      <c r="X369" s="14">
        <f>+SUM('1:30'!X369)</f>
        <v>0</v>
      </c>
      <c r="Y369" s="14">
        <f>+SUM('1:30'!Y369)</f>
        <v>0</v>
      </c>
      <c r="Z369" s="14">
        <f>+SUM('1:30'!Z369)</f>
        <v>0</v>
      </c>
      <c r="AA369" s="14">
        <f>+SUM('1:30'!AA369)</f>
        <v>0</v>
      </c>
      <c r="AB369" s="14">
        <f>+SUM('1:30'!AB369)</f>
        <v>0</v>
      </c>
      <c r="AC369" s="14">
        <f>+SUM('1:30'!AC369)</f>
        <v>0</v>
      </c>
    </row>
    <row r="370" spans="1:29" s="2" customFormat="1" ht="21.95" customHeight="1">
      <c r="A370" s="142">
        <v>300341</v>
      </c>
      <c r="B370" s="135">
        <v>18501</v>
      </c>
      <c r="C370" s="266" t="s">
        <v>154</v>
      </c>
      <c r="D370" s="267"/>
      <c r="E370" s="148" t="s">
        <v>39</v>
      </c>
      <c r="F370" s="147"/>
      <c r="G370" s="14">
        <f>+SUM('1:30'!G370)</f>
        <v>0</v>
      </c>
      <c r="H370" s="14">
        <f>+SUM('1:30'!H370)</f>
        <v>0</v>
      </c>
      <c r="I370" s="14">
        <f>+SUM('1:30'!I370)</f>
        <v>0</v>
      </c>
      <c r="J370" s="14">
        <f>+SUM('1:30'!J370)</f>
        <v>0</v>
      </c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">
        <f>+SUM('1:30'!O370)</f>
        <v>0</v>
      </c>
      <c r="P370" s="146">
        <f t="shared" si="48"/>
        <v>0</v>
      </c>
      <c r="Q370" s="14">
        <f>+SUM('1:30'!Q370)</f>
        <v>0</v>
      </c>
      <c r="R370" s="19">
        <f t="shared" si="49"/>
        <v>0</v>
      </c>
      <c r="S370" s="146">
        <f t="shared" si="50"/>
        <v>0</v>
      </c>
      <c r="T370" s="20">
        <v>5</v>
      </c>
      <c r="U370" s="14">
        <f>+SUM('1:30'!U370)</f>
        <v>0</v>
      </c>
      <c r="V370" s="143"/>
      <c r="W370" s="14">
        <f>+SUM('1:30'!W370)</f>
        <v>0</v>
      </c>
      <c r="X370" s="14">
        <f>+SUM('1:30'!X370)</f>
        <v>0</v>
      </c>
      <c r="Y370" s="14">
        <f>+SUM('1:30'!Y370)</f>
        <v>0</v>
      </c>
      <c r="Z370" s="14">
        <f>+SUM('1:30'!Z370)</f>
        <v>0</v>
      </c>
      <c r="AA370" s="14">
        <f>+SUM('1:30'!AA370)</f>
        <v>0</v>
      </c>
      <c r="AB370" s="14">
        <f>+SUM('1:30'!AB370)</f>
        <v>0</v>
      </c>
      <c r="AC370" s="14">
        <f>+SUM('1:30'!AC370)</f>
        <v>0</v>
      </c>
    </row>
    <row r="371" spans="1:29" s="2" customFormat="1" ht="21.95" customHeight="1">
      <c r="A371" s="142">
        <v>300342</v>
      </c>
      <c r="B371" s="135">
        <v>18501</v>
      </c>
      <c r="C371" s="266" t="s">
        <v>154</v>
      </c>
      <c r="D371" s="267"/>
      <c r="E371" s="148" t="s">
        <v>80</v>
      </c>
      <c r="F371" s="147"/>
      <c r="G371" s="14">
        <f>+SUM('1:30'!G371)</f>
        <v>0</v>
      </c>
      <c r="H371" s="14">
        <f>+SUM('1:30'!H371)</f>
        <v>0</v>
      </c>
      <c r="I371" s="14">
        <f>+SUM('1:30'!I371)</f>
        <v>0</v>
      </c>
      <c r="J371" s="14">
        <f>+SUM('1:30'!J371)</f>
        <v>0</v>
      </c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">
        <f>+SUM('1:30'!O371)</f>
        <v>0</v>
      </c>
      <c r="P371" s="146">
        <f t="shared" si="48"/>
        <v>0</v>
      </c>
      <c r="Q371" s="14">
        <f>+SUM('1:30'!Q371)</f>
        <v>0</v>
      </c>
      <c r="R371" s="19">
        <f t="shared" si="49"/>
        <v>0</v>
      </c>
      <c r="S371" s="146">
        <f t="shared" si="50"/>
        <v>0</v>
      </c>
      <c r="T371" s="20">
        <v>5</v>
      </c>
      <c r="U371" s="14">
        <f>+SUM('1:30'!U371)</f>
        <v>0</v>
      </c>
      <c r="V371" s="143"/>
      <c r="W371" s="14">
        <f>+SUM('1:30'!W371)</f>
        <v>0</v>
      </c>
      <c r="X371" s="14">
        <f>+SUM('1:30'!X371)</f>
        <v>0</v>
      </c>
      <c r="Y371" s="14">
        <f>+SUM('1:30'!Y371)</f>
        <v>0</v>
      </c>
      <c r="Z371" s="14">
        <f>+SUM('1:30'!Z371)</f>
        <v>0</v>
      </c>
      <c r="AA371" s="14">
        <f>+SUM('1:30'!AA371)</f>
        <v>0</v>
      </c>
      <c r="AB371" s="14">
        <f>+SUM('1:30'!AB371)</f>
        <v>0</v>
      </c>
      <c r="AC371" s="14">
        <f>+SUM('1:30'!AC371)</f>
        <v>0</v>
      </c>
    </row>
    <row r="372" spans="1:29" s="2" customFormat="1" ht="21.95" customHeight="1">
      <c r="A372" s="142">
        <v>300343</v>
      </c>
      <c r="B372" s="135">
        <v>18501</v>
      </c>
      <c r="C372" s="266" t="s">
        <v>154</v>
      </c>
      <c r="D372" s="267"/>
      <c r="E372" s="148" t="s">
        <v>35</v>
      </c>
      <c r="F372" s="147"/>
      <c r="G372" s="14">
        <f>+SUM('1:30'!G372)</f>
        <v>0</v>
      </c>
      <c r="H372" s="14">
        <f>+SUM('1:30'!H372)</f>
        <v>0</v>
      </c>
      <c r="I372" s="14">
        <f>+SUM('1:30'!I372)</f>
        <v>0</v>
      </c>
      <c r="J372" s="14">
        <f>+SUM('1:30'!J372)</f>
        <v>0</v>
      </c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">
        <f>+SUM('1:30'!O372)</f>
        <v>0</v>
      </c>
      <c r="P372" s="146">
        <f t="shared" si="48"/>
        <v>0</v>
      </c>
      <c r="Q372" s="14">
        <f>+SUM('1:30'!Q372)</f>
        <v>0</v>
      </c>
      <c r="R372" s="19">
        <f t="shared" si="49"/>
        <v>0</v>
      </c>
      <c r="S372" s="146">
        <f t="shared" si="50"/>
        <v>0</v>
      </c>
      <c r="T372" s="20">
        <v>5</v>
      </c>
      <c r="U372" s="14">
        <f>+SUM('1:30'!U372)</f>
        <v>0</v>
      </c>
      <c r="V372" s="143"/>
      <c r="W372" s="14">
        <f>+SUM('1:30'!W372)</f>
        <v>0</v>
      </c>
      <c r="X372" s="14">
        <f>+SUM('1:30'!X372)</f>
        <v>0</v>
      </c>
      <c r="Y372" s="14">
        <f>+SUM('1:30'!Y372)</f>
        <v>0</v>
      </c>
      <c r="Z372" s="14">
        <f>+SUM('1:30'!Z372)</f>
        <v>0</v>
      </c>
      <c r="AA372" s="14">
        <f>+SUM('1:30'!AA372)</f>
        <v>0</v>
      </c>
      <c r="AB372" s="14">
        <f>+SUM('1:30'!AB372)</f>
        <v>0</v>
      </c>
      <c r="AC372" s="14">
        <f>+SUM('1:30'!AC372)</f>
        <v>0</v>
      </c>
    </row>
    <row r="373" spans="1:29" s="2" customFormat="1" ht="21.95" customHeight="1">
      <c r="A373" s="142">
        <v>300344</v>
      </c>
      <c r="B373" s="135">
        <v>18501</v>
      </c>
      <c r="C373" s="266" t="s">
        <v>154</v>
      </c>
      <c r="D373" s="267"/>
      <c r="E373" s="148" t="s">
        <v>40</v>
      </c>
      <c r="F373" s="147"/>
      <c r="G373" s="14">
        <f>+SUM('1:30'!G373)</f>
        <v>0</v>
      </c>
      <c r="H373" s="14">
        <f>+SUM('1:30'!H373)</f>
        <v>0</v>
      </c>
      <c r="I373" s="14">
        <f>+SUM('1:30'!I373)</f>
        <v>0</v>
      </c>
      <c r="J373" s="14">
        <f>+SUM('1:30'!J373)</f>
        <v>0</v>
      </c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">
        <f>+SUM('1:30'!O373)</f>
        <v>0</v>
      </c>
      <c r="P373" s="146">
        <f t="shared" si="48"/>
        <v>0</v>
      </c>
      <c r="Q373" s="14">
        <f>+SUM('1:30'!Q373)</f>
        <v>0</v>
      </c>
      <c r="R373" s="19">
        <f t="shared" si="49"/>
        <v>0</v>
      </c>
      <c r="S373" s="146">
        <f t="shared" si="50"/>
        <v>0</v>
      </c>
      <c r="T373" s="20">
        <v>5</v>
      </c>
      <c r="U373" s="14">
        <f>+SUM('1:30'!U373)</f>
        <v>0</v>
      </c>
      <c r="V373" s="143"/>
      <c r="W373" s="14">
        <f>+SUM('1:30'!W373)</f>
        <v>0</v>
      </c>
      <c r="X373" s="14">
        <f>+SUM('1:30'!X373)</f>
        <v>0</v>
      </c>
      <c r="Y373" s="14">
        <f>+SUM('1:30'!Y373)</f>
        <v>0</v>
      </c>
      <c r="Z373" s="14">
        <f>+SUM('1:30'!Z373)</f>
        <v>0</v>
      </c>
      <c r="AA373" s="14">
        <f>+SUM('1:30'!AA373)</f>
        <v>0</v>
      </c>
      <c r="AB373" s="14">
        <f>+SUM('1:30'!AB373)</f>
        <v>0</v>
      </c>
      <c r="AC373" s="14">
        <f>+SUM('1:30'!AC373)</f>
        <v>0</v>
      </c>
    </row>
    <row r="374" spans="1:29" s="2" customFormat="1" ht="21.95" customHeight="1">
      <c r="A374" s="142">
        <v>300396</v>
      </c>
      <c r="B374" s="135">
        <v>18501</v>
      </c>
      <c r="C374" s="266" t="s">
        <v>155</v>
      </c>
      <c r="D374" s="267"/>
      <c r="E374" s="148" t="s">
        <v>41</v>
      </c>
      <c r="F374" s="147"/>
      <c r="G374" s="14">
        <f>+SUM('1:30'!G374)</f>
        <v>0</v>
      </c>
      <c r="H374" s="14">
        <f>+SUM('1:30'!H374)</f>
        <v>0</v>
      </c>
      <c r="I374" s="14">
        <f>+SUM('1:30'!I374)</f>
        <v>0</v>
      </c>
      <c r="J374" s="14">
        <f>+SUM('1:30'!J374)</f>
        <v>0</v>
      </c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">
        <f>+SUM('1:30'!O374)</f>
        <v>0</v>
      </c>
      <c r="P374" s="146">
        <f t="shared" si="48"/>
        <v>0</v>
      </c>
      <c r="Q374" s="14">
        <f>+SUM('1:30'!Q374)</f>
        <v>0</v>
      </c>
      <c r="R374" s="19">
        <f t="shared" si="49"/>
        <v>0</v>
      </c>
      <c r="S374" s="146">
        <f t="shared" si="50"/>
        <v>0</v>
      </c>
      <c r="T374" s="20">
        <v>5</v>
      </c>
      <c r="U374" s="14">
        <f>+SUM('1:30'!U374)</f>
        <v>0</v>
      </c>
      <c r="V374" s="143"/>
      <c r="W374" s="14">
        <f>+SUM('1:30'!W374)</f>
        <v>0</v>
      </c>
      <c r="X374" s="14">
        <f>+SUM('1:30'!X374)</f>
        <v>0</v>
      </c>
      <c r="Y374" s="14">
        <f>+SUM('1:30'!Y374)</f>
        <v>0</v>
      </c>
      <c r="Z374" s="14">
        <f>+SUM('1:30'!Z374)</f>
        <v>0</v>
      </c>
      <c r="AA374" s="14">
        <f>+SUM('1:30'!AA374)</f>
        <v>0</v>
      </c>
      <c r="AB374" s="14">
        <f>+SUM('1:30'!AB374)</f>
        <v>0</v>
      </c>
      <c r="AC374" s="14">
        <f>+SUM('1:30'!AC374)</f>
        <v>0</v>
      </c>
    </row>
    <row r="375" spans="1:29" s="2" customFormat="1" ht="21.95" customHeight="1">
      <c r="A375" s="142">
        <v>300397</v>
      </c>
      <c r="B375" s="135">
        <v>18501</v>
      </c>
      <c r="C375" s="266" t="s">
        <v>155</v>
      </c>
      <c r="D375" s="267"/>
      <c r="E375" s="148" t="s">
        <v>66</v>
      </c>
      <c r="F375" s="147"/>
      <c r="G375" s="14">
        <f>+SUM('1:30'!G375)</f>
        <v>0</v>
      </c>
      <c r="H375" s="14">
        <f>+SUM('1:30'!H375)</f>
        <v>0</v>
      </c>
      <c r="I375" s="14">
        <f>+SUM('1:30'!I375)</f>
        <v>0</v>
      </c>
      <c r="J375" s="14">
        <f>+SUM('1:30'!J375)</f>
        <v>0</v>
      </c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">
        <f>+SUM('1:30'!O375)</f>
        <v>0</v>
      </c>
      <c r="P375" s="146">
        <f t="shared" si="48"/>
        <v>0</v>
      </c>
      <c r="Q375" s="14">
        <f>+SUM('1:30'!Q375)</f>
        <v>0</v>
      </c>
      <c r="R375" s="19">
        <f t="shared" si="49"/>
        <v>0</v>
      </c>
      <c r="S375" s="146">
        <f t="shared" si="50"/>
        <v>0</v>
      </c>
      <c r="T375" s="20">
        <v>5</v>
      </c>
      <c r="U375" s="14">
        <f>+SUM('1:30'!U375)</f>
        <v>0</v>
      </c>
      <c r="V375" s="143"/>
      <c r="W375" s="14">
        <f>+SUM('1:30'!W375)</f>
        <v>0</v>
      </c>
      <c r="X375" s="14">
        <f>+SUM('1:30'!X375)</f>
        <v>0</v>
      </c>
      <c r="Y375" s="14">
        <f>+SUM('1:30'!Y375)</f>
        <v>0</v>
      </c>
      <c r="Z375" s="14">
        <f>+SUM('1:30'!Z375)</f>
        <v>0</v>
      </c>
      <c r="AA375" s="14">
        <f>+SUM('1:30'!AA375)</f>
        <v>0</v>
      </c>
      <c r="AB375" s="14">
        <f>+SUM('1:30'!AB375)</f>
        <v>0</v>
      </c>
      <c r="AC375" s="14">
        <f>+SUM('1:30'!AC375)</f>
        <v>0</v>
      </c>
    </row>
    <row r="376" spans="1:29" s="2" customFormat="1" ht="21.95" customHeight="1">
      <c r="A376" s="142">
        <v>300398</v>
      </c>
      <c r="B376" s="135">
        <v>18501</v>
      </c>
      <c r="C376" s="266" t="s">
        <v>155</v>
      </c>
      <c r="D376" s="267"/>
      <c r="E376" s="148" t="s">
        <v>149</v>
      </c>
      <c r="F376" s="147"/>
      <c r="G376" s="14">
        <f>+SUM('1:30'!G376)</f>
        <v>0</v>
      </c>
      <c r="H376" s="14">
        <f>+SUM('1:30'!H376)</f>
        <v>0</v>
      </c>
      <c r="I376" s="14">
        <f>+SUM('1:30'!I376)</f>
        <v>0</v>
      </c>
      <c r="J376" s="14">
        <f>+SUM('1:30'!J376)</f>
        <v>0</v>
      </c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">
        <f>+SUM('1:30'!O376)</f>
        <v>0</v>
      </c>
      <c r="P376" s="146">
        <f t="shared" si="48"/>
        <v>0</v>
      </c>
      <c r="Q376" s="14">
        <f>+SUM('1:30'!Q376)</f>
        <v>0</v>
      </c>
      <c r="R376" s="19">
        <f t="shared" si="49"/>
        <v>0</v>
      </c>
      <c r="S376" s="146">
        <f t="shared" si="50"/>
        <v>0</v>
      </c>
      <c r="T376" s="20">
        <v>5</v>
      </c>
      <c r="U376" s="14">
        <f>+SUM('1:30'!U376)</f>
        <v>0</v>
      </c>
      <c r="V376" s="143"/>
      <c r="W376" s="14">
        <f>+SUM('1:30'!W376)</f>
        <v>0</v>
      </c>
      <c r="X376" s="14">
        <f>+SUM('1:30'!X376)</f>
        <v>0</v>
      </c>
      <c r="Y376" s="14">
        <f>+SUM('1:30'!Y376)</f>
        <v>0</v>
      </c>
      <c r="Z376" s="14">
        <f>+SUM('1:30'!Z376)</f>
        <v>0</v>
      </c>
      <c r="AA376" s="14">
        <f>+SUM('1:30'!AA376)</f>
        <v>0</v>
      </c>
      <c r="AB376" s="14">
        <f>+SUM('1:30'!AB376)</f>
        <v>0</v>
      </c>
      <c r="AC376" s="14">
        <f>+SUM('1:30'!AC376)</f>
        <v>0</v>
      </c>
    </row>
    <row r="377" spans="1:29" s="2" customFormat="1" ht="21.95" customHeight="1">
      <c r="A377" s="142">
        <v>300271</v>
      </c>
      <c r="B377" s="135">
        <v>18501</v>
      </c>
      <c r="C377" s="248" t="s">
        <v>156</v>
      </c>
      <c r="D377" s="248"/>
      <c r="E377" s="148" t="s">
        <v>142</v>
      </c>
      <c r="F377" s="147"/>
      <c r="G377" s="14">
        <f>+SUM('1:30'!G377)</f>
        <v>0</v>
      </c>
      <c r="H377" s="14">
        <f>+SUM('1:30'!H377)</f>
        <v>0</v>
      </c>
      <c r="I377" s="14">
        <f>+SUM('1:30'!I377)</f>
        <v>0</v>
      </c>
      <c r="J377" s="14">
        <f>+SUM('1:30'!J377)</f>
        <v>0</v>
      </c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">
        <f>+SUM('1:30'!O377)</f>
        <v>0</v>
      </c>
      <c r="P377" s="146">
        <f t="shared" si="48"/>
        <v>0</v>
      </c>
      <c r="Q377" s="14">
        <f>+SUM('1:30'!Q377)</f>
        <v>0</v>
      </c>
      <c r="R377" s="19">
        <f t="shared" si="49"/>
        <v>0</v>
      </c>
      <c r="S377" s="146">
        <f t="shared" si="50"/>
        <v>0</v>
      </c>
      <c r="T377" s="20">
        <v>5</v>
      </c>
      <c r="U377" s="14">
        <f>+SUM('1:30'!U377)</f>
        <v>0</v>
      </c>
      <c r="V377" s="143" t="str">
        <f t="array" ref="V377">IF(ISERROR(L377/K377),"",L377/K377)</f>
        <v/>
      </c>
      <c r="W377" s="14">
        <f>+SUM('1:30'!W377)</f>
        <v>0</v>
      </c>
      <c r="X377" s="14">
        <f>+SUM('1:30'!X377)</f>
        <v>0</v>
      </c>
      <c r="Y377" s="14">
        <f>+SUM('1:30'!Y377)</f>
        <v>0</v>
      </c>
      <c r="Z377" s="14">
        <f>+SUM('1:30'!Z377)</f>
        <v>0</v>
      </c>
      <c r="AA377" s="14">
        <f>+SUM('1:30'!AA377)</f>
        <v>0</v>
      </c>
      <c r="AB377" s="14">
        <f>+SUM('1:30'!AB377)</f>
        <v>0</v>
      </c>
      <c r="AC377" s="14">
        <f>+SUM('1:30'!AC377)</f>
        <v>0</v>
      </c>
    </row>
    <row r="378" spans="1:29" s="2" customFormat="1" ht="21.95" customHeight="1">
      <c r="A378" s="142">
        <v>300009</v>
      </c>
      <c r="B378" s="135">
        <v>18501</v>
      </c>
      <c r="C378" s="248" t="s">
        <v>157</v>
      </c>
      <c r="D378" s="248" t="s">
        <v>158</v>
      </c>
      <c r="E378" s="148" t="s">
        <v>135</v>
      </c>
      <c r="F378" s="147"/>
      <c r="G378" s="14">
        <f>+SUM('1:30'!G378)</f>
        <v>27</v>
      </c>
      <c r="H378" s="14">
        <f>+SUM('1:30'!H378)</f>
        <v>0</v>
      </c>
      <c r="I378" s="14">
        <f>+SUM('1:30'!I378)</f>
        <v>24.7</v>
      </c>
      <c r="J378" s="14">
        <f>+SUM('1:30'!J378)</f>
        <v>120</v>
      </c>
      <c r="K378" s="146">
        <f t="shared" si="46"/>
        <v>14061.599999999999</v>
      </c>
      <c r="L378" s="146">
        <f t="shared" si="47"/>
        <v>12863.759999999998</v>
      </c>
      <c r="M378" s="15">
        <v>520.79999999999995</v>
      </c>
      <c r="N378" s="146">
        <f>+M378*1000/(188*4*13*60)*T378</f>
        <v>4.4394435351882153</v>
      </c>
      <c r="O378" s="14">
        <f>+SUM('1:30'!O378)</f>
        <v>0.5</v>
      </c>
      <c r="P378" s="146">
        <f t="shared" si="48"/>
        <v>121.15425531914892</v>
      </c>
      <c r="Q378" s="14">
        <f>+SUM('1:30'!Q378)</f>
        <v>26</v>
      </c>
      <c r="R378" s="19">
        <f t="shared" si="49"/>
        <v>598</v>
      </c>
      <c r="S378" s="146">
        <f t="shared" si="50"/>
        <v>476.84574468085111</v>
      </c>
      <c r="T378" s="20">
        <v>5</v>
      </c>
      <c r="U378" s="14">
        <f>+SUM('1:30'!U378)</f>
        <v>23</v>
      </c>
      <c r="V378" s="143">
        <f t="array" ref="V378">IF(ISERROR(L378/K378),"",L378/K378)</f>
        <v>0.91481481481481475</v>
      </c>
      <c r="W378" s="14">
        <f>+SUM('1:30'!W378)</f>
        <v>0</v>
      </c>
      <c r="X378" s="14">
        <f>+SUM('1:30'!X378)</f>
        <v>0</v>
      </c>
      <c r="Y378" s="14">
        <f>+SUM('1:30'!Y378)</f>
        <v>0</v>
      </c>
      <c r="Z378" s="14">
        <f>+SUM('1:30'!Z378)</f>
        <v>0</v>
      </c>
      <c r="AA378" s="14">
        <f>+SUM('1:30'!AA378)</f>
        <v>2</v>
      </c>
      <c r="AB378" s="14">
        <f>+SUM('1:30'!AB378)</f>
        <v>0</v>
      </c>
      <c r="AC378" s="14">
        <f>+SUM('1:30'!AC378)</f>
        <v>0</v>
      </c>
    </row>
    <row r="379" spans="1:29" s="2" customFormat="1" ht="21.95" customHeight="1">
      <c r="A379" s="142">
        <v>300010</v>
      </c>
      <c r="B379" s="135">
        <v>18501</v>
      </c>
      <c r="C379" s="248" t="s">
        <v>157</v>
      </c>
      <c r="D379" s="248" t="s">
        <v>158</v>
      </c>
      <c r="E379" s="148" t="s">
        <v>80</v>
      </c>
      <c r="F379" s="147"/>
      <c r="G379" s="14">
        <f>+SUM('1:30'!G379)</f>
        <v>11</v>
      </c>
      <c r="H379" s="14">
        <f>+SUM('1:30'!H379)</f>
        <v>0</v>
      </c>
      <c r="I379" s="14">
        <f>+SUM('1:30'!I379)</f>
        <v>10.55</v>
      </c>
      <c r="J379" s="14">
        <f>+SUM('1:30'!J379)</f>
        <v>180</v>
      </c>
      <c r="K379" s="146">
        <f t="shared" si="46"/>
        <v>5839.9</v>
      </c>
      <c r="L379" s="146">
        <f t="shared" si="47"/>
        <v>5600.9949999999999</v>
      </c>
      <c r="M379" s="15">
        <v>530.9</v>
      </c>
      <c r="N379" s="146">
        <f>+M379*1000/(188*4*13*60)*T379</f>
        <v>4.5255387343153304</v>
      </c>
      <c r="O379" s="14">
        <f>+SUM('1:30'!O379)</f>
        <v>0</v>
      </c>
      <c r="P379" s="146">
        <f t="shared" si="48"/>
        <v>47.744433647026739</v>
      </c>
      <c r="Q379" s="14">
        <f>+SUM('1:30'!Q379)</f>
        <v>11</v>
      </c>
      <c r="R379" s="19">
        <f t="shared" si="49"/>
        <v>77</v>
      </c>
      <c r="S379" s="146">
        <f t="shared" si="50"/>
        <v>29.255566352973261</v>
      </c>
      <c r="T379" s="20">
        <v>5</v>
      </c>
      <c r="U379" s="14">
        <f>+SUM('1:30'!U379)</f>
        <v>7</v>
      </c>
      <c r="V379" s="143">
        <f t="array" ref="V379">IF(ISERROR(L379/K379),"",L379/K379)</f>
        <v>0.95909090909090911</v>
      </c>
      <c r="W379" s="14">
        <f>+SUM('1:30'!W379)</f>
        <v>0</v>
      </c>
      <c r="X379" s="14">
        <f>+SUM('1:30'!X379)</f>
        <v>1.75</v>
      </c>
      <c r="Y379" s="14">
        <f>+SUM('1:30'!Y379)</f>
        <v>0</v>
      </c>
      <c r="Z379" s="14">
        <f>+SUM('1:30'!Z379)</f>
        <v>0</v>
      </c>
      <c r="AA379" s="14">
        <f>+SUM('1:30'!AA379)</f>
        <v>0</v>
      </c>
      <c r="AB379" s="14">
        <f>+SUM('1:30'!AB379)</f>
        <v>0</v>
      </c>
      <c r="AC379" s="14">
        <f>+SUM('1:30'!AC379)</f>
        <v>0</v>
      </c>
    </row>
    <row r="380" spans="1:29" s="2" customFormat="1" ht="21.95" customHeight="1">
      <c r="A380" s="142">
        <v>300305</v>
      </c>
      <c r="B380" s="135">
        <v>18501</v>
      </c>
      <c r="C380" s="248" t="s">
        <v>159</v>
      </c>
      <c r="D380" s="248" t="s">
        <v>160</v>
      </c>
      <c r="E380" s="148" t="s">
        <v>57</v>
      </c>
      <c r="F380" s="147"/>
      <c r="G380" s="14">
        <f>+SUM('1:30'!G380)</f>
        <v>0</v>
      </c>
      <c r="H380" s="14">
        <f>+SUM('1:30'!H380)</f>
        <v>0</v>
      </c>
      <c r="I380" s="14">
        <f>+SUM('1:30'!I380)</f>
        <v>0</v>
      </c>
      <c r="J380" s="14">
        <f>+SUM('1:30'!J380)</f>
        <v>0</v>
      </c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">
        <f>+SUM('1:30'!O380)</f>
        <v>0</v>
      </c>
      <c r="P380" s="146">
        <f t="shared" si="48"/>
        <v>0</v>
      </c>
      <c r="Q380" s="14">
        <f>+SUM('1:30'!Q380)</f>
        <v>0</v>
      </c>
      <c r="R380" s="19">
        <f t="shared" si="49"/>
        <v>0</v>
      </c>
      <c r="S380" s="146">
        <f t="shared" si="50"/>
        <v>0</v>
      </c>
      <c r="T380" s="20">
        <v>5</v>
      </c>
      <c r="U380" s="14">
        <f>+SUM('1:30'!U380)</f>
        <v>0</v>
      </c>
      <c r="V380" s="143" t="str">
        <f t="array" ref="V380">IF(ISERROR(L380/K380),"",L380/K380)</f>
        <v/>
      </c>
      <c r="W380" s="14">
        <f>+SUM('1:30'!W380)</f>
        <v>0</v>
      </c>
      <c r="X380" s="14">
        <f>+SUM('1:30'!X380)</f>
        <v>0</v>
      </c>
      <c r="Y380" s="14">
        <f>+SUM('1:30'!Y380)</f>
        <v>0</v>
      </c>
      <c r="Z380" s="14">
        <f>+SUM('1:30'!Z380)</f>
        <v>0</v>
      </c>
      <c r="AA380" s="14">
        <f>+SUM('1:30'!AA380)</f>
        <v>0</v>
      </c>
      <c r="AB380" s="14">
        <f>+SUM('1:30'!AB380)</f>
        <v>0</v>
      </c>
      <c r="AC380" s="14">
        <f>+SUM('1:30'!AC380)</f>
        <v>0</v>
      </c>
    </row>
    <row r="381" spans="1:29" s="2" customFormat="1" ht="21.95" customHeight="1">
      <c r="A381" s="142">
        <v>300306</v>
      </c>
      <c r="B381" s="135">
        <v>18501</v>
      </c>
      <c r="C381" s="248" t="s">
        <v>159</v>
      </c>
      <c r="D381" s="248" t="s">
        <v>160</v>
      </c>
      <c r="E381" s="148" t="s">
        <v>117</v>
      </c>
      <c r="F381" s="147"/>
      <c r="G381" s="14">
        <f>+SUM('1:30'!G381)</f>
        <v>0</v>
      </c>
      <c r="H381" s="14">
        <f>+SUM('1:30'!H381)</f>
        <v>0</v>
      </c>
      <c r="I381" s="14">
        <f>+SUM('1:30'!I381)</f>
        <v>0</v>
      </c>
      <c r="J381" s="14">
        <f>+SUM('1:30'!J381)</f>
        <v>0</v>
      </c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">
        <f>+SUM('1:30'!O381)</f>
        <v>0</v>
      </c>
      <c r="P381" s="146">
        <f t="shared" si="48"/>
        <v>0</v>
      </c>
      <c r="Q381" s="14">
        <f>+SUM('1:30'!Q381)</f>
        <v>0</v>
      </c>
      <c r="R381" s="19">
        <f t="shared" si="49"/>
        <v>0</v>
      </c>
      <c r="S381" s="146">
        <f t="shared" si="50"/>
        <v>0</v>
      </c>
      <c r="T381" s="20">
        <v>5</v>
      </c>
      <c r="U381" s="14">
        <f>+SUM('1:30'!U381)</f>
        <v>0</v>
      </c>
      <c r="V381" s="143" t="str">
        <f t="array" ref="V381">IF(ISERROR(L381/K381),"",L381/K381)</f>
        <v/>
      </c>
      <c r="W381" s="14">
        <f>+SUM('1:30'!W381)</f>
        <v>0</v>
      </c>
      <c r="X381" s="14">
        <f>+SUM('1:30'!X381)</f>
        <v>0</v>
      </c>
      <c r="Y381" s="14">
        <f>+SUM('1:30'!Y381)</f>
        <v>0</v>
      </c>
      <c r="Z381" s="14">
        <f>+SUM('1:30'!Z381)</f>
        <v>0</v>
      </c>
      <c r="AA381" s="14">
        <f>+SUM('1:30'!AA381)</f>
        <v>0</v>
      </c>
      <c r="AB381" s="14">
        <f>+SUM('1:30'!AB381)</f>
        <v>0</v>
      </c>
      <c r="AC381" s="14">
        <f>+SUM('1:30'!AC381)</f>
        <v>0</v>
      </c>
    </row>
    <row r="382" spans="1:29" s="2" customFormat="1" ht="22.5" customHeight="1">
      <c r="A382" s="142">
        <v>300307</v>
      </c>
      <c r="B382" s="135">
        <v>18501</v>
      </c>
      <c r="C382" s="248" t="s">
        <v>159</v>
      </c>
      <c r="D382" s="248" t="s">
        <v>160</v>
      </c>
      <c r="E382" s="148" t="s">
        <v>133</v>
      </c>
      <c r="F382" s="147"/>
      <c r="G382" s="14">
        <f>+SUM('1:30'!G382)</f>
        <v>0</v>
      </c>
      <c r="H382" s="14">
        <f>+SUM('1:30'!H382)</f>
        <v>0</v>
      </c>
      <c r="I382" s="14">
        <f>+SUM('1:30'!I382)</f>
        <v>0</v>
      </c>
      <c r="J382" s="14">
        <f>+SUM('1:30'!J382)</f>
        <v>0</v>
      </c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">
        <f>+SUM('1:30'!O382)</f>
        <v>0</v>
      </c>
      <c r="P382" s="146">
        <f t="shared" si="48"/>
        <v>0</v>
      </c>
      <c r="Q382" s="14">
        <f>+SUM('1:30'!Q382)</f>
        <v>0</v>
      </c>
      <c r="R382" s="19">
        <f t="shared" si="49"/>
        <v>0</v>
      </c>
      <c r="S382" s="146">
        <f t="shared" si="50"/>
        <v>0</v>
      </c>
      <c r="T382" s="20">
        <v>5</v>
      </c>
      <c r="U382" s="14">
        <f>+SUM('1:30'!U382)</f>
        <v>0</v>
      </c>
      <c r="V382" s="143" t="str">
        <f t="array" ref="V382">IF(ISERROR(L382/K382),"",L382/K382)</f>
        <v/>
      </c>
      <c r="W382" s="14">
        <f>+SUM('1:30'!W382)</f>
        <v>0</v>
      </c>
      <c r="X382" s="14">
        <f>+SUM('1:30'!X382)</f>
        <v>0</v>
      </c>
      <c r="Y382" s="14">
        <f>+SUM('1:30'!Y382)</f>
        <v>0</v>
      </c>
      <c r="Z382" s="14">
        <f>+SUM('1:30'!Z382)</f>
        <v>0</v>
      </c>
      <c r="AA382" s="14">
        <f>+SUM('1:30'!AA382)</f>
        <v>0</v>
      </c>
      <c r="AB382" s="14">
        <f>+SUM('1:30'!AB382)</f>
        <v>0</v>
      </c>
      <c r="AC382" s="14">
        <f>+SUM('1:30'!AC382)</f>
        <v>0</v>
      </c>
    </row>
    <row r="383" spans="1:29" s="2" customFormat="1" ht="21.95" customHeight="1">
      <c r="A383" s="142">
        <v>300308</v>
      </c>
      <c r="B383" s="135">
        <v>18501</v>
      </c>
      <c r="C383" s="248" t="s">
        <v>159</v>
      </c>
      <c r="D383" s="248" t="s">
        <v>160</v>
      </c>
      <c r="E383" s="148" t="s">
        <v>132</v>
      </c>
      <c r="F383" s="147"/>
      <c r="G383" s="14">
        <f>+SUM('1:30'!G383)</f>
        <v>0</v>
      </c>
      <c r="H383" s="14">
        <f>+SUM('1:30'!H383)</f>
        <v>0</v>
      </c>
      <c r="I383" s="14">
        <f>+SUM('1:30'!I383)</f>
        <v>0</v>
      </c>
      <c r="J383" s="14">
        <f>+SUM('1:30'!J383)</f>
        <v>0</v>
      </c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">
        <f>+SUM('1:30'!O383)</f>
        <v>0</v>
      </c>
      <c r="P383" s="146">
        <f t="shared" si="48"/>
        <v>0</v>
      </c>
      <c r="Q383" s="14">
        <f>+SUM('1:30'!Q383)</f>
        <v>0</v>
      </c>
      <c r="R383" s="19">
        <f t="shared" si="49"/>
        <v>0</v>
      </c>
      <c r="S383" s="146">
        <f t="shared" si="50"/>
        <v>0</v>
      </c>
      <c r="T383" s="20">
        <v>5</v>
      </c>
      <c r="U383" s="14">
        <f>+SUM('1:30'!U383)</f>
        <v>0</v>
      </c>
      <c r="V383" s="143" t="str">
        <f t="array" ref="V383">IF(ISERROR(L383/K383),"",L383/K383)</f>
        <v/>
      </c>
      <c r="W383" s="14">
        <f>+SUM('1:30'!W383)</f>
        <v>0</v>
      </c>
      <c r="X383" s="14">
        <f>+SUM('1:30'!X383)</f>
        <v>0</v>
      </c>
      <c r="Y383" s="14">
        <f>+SUM('1:30'!Y383)</f>
        <v>0</v>
      </c>
      <c r="Z383" s="14">
        <f>+SUM('1:30'!Z383)</f>
        <v>0</v>
      </c>
      <c r="AA383" s="14">
        <f>+SUM('1:30'!AA383)</f>
        <v>0</v>
      </c>
      <c r="AB383" s="14">
        <f>+SUM('1:30'!AB383)</f>
        <v>0</v>
      </c>
      <c r="AC383" s="14">
        <f>+SUM('1:30'!AC383)</f>
        <v>0</v>
      </c>
    </row>
    <row r="384" spans="1:29" s="2" customFormat="1" ht="21.95" customHeight="1">
      <c r="A384" s="142">
        <v>300182</v>
      </c>
      <c r="B384" s="135">
        <v>18501</v>
      </c>
      <c r="C384" s="248" t="s">
        <v>161</v>
      </c>
      <c r="D384" s="248" t="s">
        <v>160</v>
      </c>
      <c r="E384" s="148" t="s">
        <v>80</v>
      </c>
      <c r="F384" s="147"/>
      <c r="G384" s="14">
        <f>+SUM('1:30'!G384)</f>
        <v>0</v>
      </c>
      <c r="H384" s="14">
        <f>+SUM('1:30'!H384)</f>
        <v>0</v>
      </c>
      <c r="I384" s="14">
        <f>+SUM('1:30'!I384)</f>
        <v>0</v>
      </c>
      <c r="J384" s="14">
        <f>+SUM('1:30'!J384)</f>
        <v>0</v>
      </c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">
        <f>+SUM('1:30'!O384)</f>
        <v>0</v>
      </c>
      <c r="P384" s="146">
        <f t="shared" si="48"/>
        <v>0</v>
      </c>
      <c r="Q384" s="14">
        <f>+SUM('1:30'!Q384)</f>
        <v>0</v>
      </c>
      <c r="R384" s="19">
        <f t="shared" si="49"/>
        <v>0</v>
      </c>
      <c r="S384" s="146">
        <f t="shared" si="50"/>
        <v>0</v>
      </c>
      <c r="T384" s="20">
        <v>5</v>
      </c>
      <c r="U384" s="14">
        <f>+SUM('1:30'!U384)</f>
        <v>0</v>
      </c>
      <c r="V384" s="143" t="str">
        <f t="array" ref="V384">IF(ISERROR(L384/K384),"",L384/K384)</f>
        <v/>
      </c>
      <c r="W384" s="14">
        <f>+SUM('1:30'!W384)</f>
        <v>0</v>
      </c>
      <c r="X384" s="14">
        <f>+SUM('1:30'!X384)</f>
        <v>0</v>
      </c>
      <c r="Y384" s="14">
        <f>+SUM('1:30'!Y384)</f>
        <v>0</v>
      </c>
      <c r="Z384" s="14">
        <f>+SUM('1:30'!Z384)</f>
        <v>0</v>
      </c>
      <c r="AA384" s="14">
        <f>+SUM('1:30'!AA384)</f>
        <v>0</v>
      </c>
      <c r="AB384" s="14">
        <f>+SUM('1:30'!AB384)</f>
        <v>0</v>
      </c>
      <c r="AC384" s="14">
        <f>+SUM('1:30'!AC384)</f>
        <v>0</v>
      </c>
    </row>
    <row r="385" spans="1:29" s="2" customFormat="1" ht="21.95" customHeight="1">
      <c r="A385" s="142">
        <v>300185</v>
      </c>
      <c r="B385" s="135">
        <v>18501</v>
      </c>
      <c r="C385" s="248" t="s">
        <v>161</v>
      </c>
      <c r="D385" s="248" t="s">
        <v>160</v>
      </c>
      <c r="E385" s="148" t="s">
        <v>135</v>
      </c>
      <c r="F385" s="147"/>
      <c r="G385" s="14">
        <f>+SUM('1:30'!G385)</f>
        <v>3</v>
      </c>
      <c r="H385" s="14">
        <f>+SUM('1:30'!H385)</f>
        <v>0</v>
      </c>
      <c r="I385" s="14">
        <f>+SUM('1:30'!I385)</f>
        <v>3</v>
      </c>
      <c r="J385" s="14">
        <f>+SUM('1:30'!J385)</f>
        <v>0</v>
      </c>
      <c r="K385" s="146">
        <f t="shared" si="46"/>
        <v>1914</v>
      </c>
      <c r="L385" s="146">
        <f t="shared" si="47"/>
        <v>1914</v>
      </c>
      <c r="M385" s="146">
        <v>638</v>
      </c>
      <c r="N385" s="146">
        <f t="shared" si="52"/>
        <v>6.0738766184310737</v>
      </c>
      <c r="O385" s="14">
        <f>+SUM('1:30'!O385)</f>
        <v>0</v>
      </c>
      <c r="P385" s="146">
        <f t="shared" si="48"/>
        <v>18.221629855293223</v>
      </c>
      <c r="Q385" s="14">
        <f>+SUM('1:30'!Q385)</f>
        <v>4</v>
      </c>
      <c r="R385" s="19">
        <f t="shared" si="49"/>
        <v>28</v>
      </c>
      <c r="S385" s="146">
        <f t="shared" si="50"/>
        <v>9.778370144706777</v>
      </c>
      <c r="T385" s="20">
        <v>6</v>
      </c>
      <c r="U385" s="14">
        <f>+SUM('1:30'!U385)</f>
        <v>7</v>
      </c>
      <c r="V385" s="143">
        <f t="array" ref="V385">IF(ISERROR(L385/K385),"",L385/K385)</f>
        <v>1</v>
      </c>
      <c r="W385" s="14">
        <f>+SUM('1:30'!W385)</f>
        <v>0</v>
      </c>
      <c r="X385" s="14">
        <f>+SUM('1:30'!X385)</f>
        <v>0</v>
      </c>
      <c r="Y385" s="14">
        <f>+SUM('1:30'!Y385)</f>
        <v>0</v>
      </c>
      <c r="Z385" s="14">
        <f>+SUM('1:30'!Z385)</f>
        <v>0</v>
      </c>
      <c r="AA385" s="14">
        <f>+SUM('1:30'!AA385)</f>
        <v>0</v>
      </c>
      <c r="AB385" s="14">
        <f>+SUM('1:30'!AB385)</f>
        <v>0</v>
      </c>
      <c r="AC385" s="14">
        <f>+SUM('1:30'!AC385)</f>
        <v>0</v>
      </c>
    </row>
    <row r="386" spans="1:29" s="2" customFormat="1" ht="21.95" customHeight="1">
      <c r="A386" s="142">
        <v>300272</v>
      </c>
      <c r="B386" s="135">
        <v>18502</v>
      </c>
      <c r="C386" s="248" t="s">
        <v>162</v>
      </c>
      <c r="D386" s="248"/>
      <c r="E386" s="148" t="s">
        <v>42</v>
      </c>
      <c r="F386" s="147"/>
      <c r="G386" s="14">
        <f>+SUM('1:30'!G386)</f>
        <v>0</v>
      </c>
      <c r="H386" s="14">
        <f>+SUM('1:30'!H386)</f>
        <v>0</v>
      </c>
      <c r="I386" s="14">
        <f>+SUM('1:30'!I386)</f>
        <v>0</v>
      </c>
      <c r="J386" s="14">
        <f>+SUM('1:30'!J386)</f>
        <v>0</v>
      </c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">
        <f>+SUM('1:30'!O386)</f>
        <v>0</v>
      </c>
      <c r="P386" s="146">
        <f t="shared" si="48"/>
        <v>0</v>
      </c>
      <c r="Q386" s="14">
        <f>+SUM('1:30'!Q386)</f>
        <v>0</v>
      </c>
      <c r="R386" s="19">
        <f t="shared" si="49"/>
        <v>0</v>
      </c>
      <c r="S386" s="146">
        <f t="shared" si="50"/>
        <v>0</v>
      </c>
      <c r="T386" s="20">
        <v>4</v>
      </c>
      <c r="U386" s="14">
        <f>+SUM('1:30'!U386)</f>
        <v>0</v>
      </c>
      <c r="V386" s="143" t="str">
        <f t="array" ref="V386">IF(ISERROR(L386/K386),"",L386/K386)</f>
        <v/>
      </c>
      <c r="W386" s="14">
        <f>+SUM('1:30'!W386)</f>
        <v>0</v>
      </c>
      <c r="X386" s="14">
        <f>+SUM('1:30'!X386)</f>
        <v>0</v>
      </c>
      <c r="Y386" s="14">
        <f>+SUM('1:30'!Y386)</f>
        <v>0</v>
      </c>
      <c r="Z386" s="14">
        <f>+SUM('1:30'!Z386)</f>
        <v>0</v>
      </c>
      <c r="AA386" s="14">
        <f>+SUM('1:30'!AA386)</f>
        <v>0</v>
      </c>
      <c r="AB386" s="14">
        <f>+SUM('1:30'!AB386)</f>
        <v>0</v>
      </c>
      <c r="AC386" s="14">
        <f>+SUM('1:30'!AC386)</f>
        <v>0</v>
      </c>
    </row>
    <row r="387" spans="1:29" s="2" customFormat="1" ht="21.95" customHeight="1">
      <c r="A387" s="142">
        <v>300273</v>
      </c>
      <c r="B387" s="135">
        <v>18502</v>
      </c>
      <c r="C387" s="248" t="s">
        <v>162</v>
      </c>
      <c r="D387" s="248"/>
      <c r="E387" s="148" t="s">
        <v>163</v>
      </c>
      <c r="F387" s="147"/>
      <c r="G387" s="14">
        <f>+SUM('1:30'!G387)</f>
        <v>0</v>
      </c>
      <c r="H387" s="14">
        <f>+SUM('1:30'!H387)</f>
        <v>0</v>
      </c>
      <c r="I387" s="14">
        <f>+SUM('1:30'!I387)</f>
        <v>0</v>
      </c>
      <c r="J387" s="14">
        <f>+SUM('1:30'!J387)</f>
        <v>0</v>
      </c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">
        <f>+SUM('1:30'!O387)</f>
        <v>0</v>
      </c>
      <c r="P387" s="146">
        <f t="shared" si="48"/>
        <v>0</v>
      </c>
      <c r="Q387" s="14">
        <f>+SUM('1:30'!Q387)</f>
        <v>0</v>
      </c>
      <c r="R387" s="19">
        <f t="shared" si="49"/>
        <v>0</v>
      </c>
      <c r="S387" s="146">
        <f t="shared" si="50"/>
        <v>0</v>
      </c>
      <c r="T387" s="20">
        <v>5</v>
      </c>
      <c r="U387" s="14">
        <f>+SUM('1:30'!U387)</f>
        <v>0</v>
      </c>
      <c r="V387" s="143" t="str">
        <f t="array" ref="V387">IF(ISERROR(L387/K387),"",L387/K387)</f>
        <v/>
      </c>
      <c r="W387" s="14">
        <f>+SUM('1:30'!W387)</f>
        <v>0</v>
      </c>
      <c r="X387" s="14">
        <f>+SUM('1:30'!X387)</f>
        <v>0</v>
      </c>
      <c r="Y387" s="14">
        <f>+SUM('1:30'!Y387)</f>
        <v>0</v>
      </c>
      <c r="Z387" s="14">
        <f>+SUM('1:30'!Z387)</f>
        <v>0</v>
      </c>
      <c r="AA387" s="14">
        <f>+SUM('1:30'!AA387)</f>
        <v>0</v>
      </c>
      <c r="AB387" s="14">
        <f>+SUM('1:30'!AB387)</f>
        <v>0</v>
      </c>
      <c r="AC387" s="14">
        <f>+SUM('1:30'!AC387)</f>
        <v>0</v>
      </c>
    </row>
    <row r="388" spans="1:29" s="2" customFormat="1" ht="21.95" customHeight="1">
      <c r="A388" s="142">
        <v>300274</v>
      </c>
      <c r="B388" s="135">
        <v>18502</v>
      </c>
      <c r="C388" s="248" t="s">
        <v>162</v>
      </c>
      <c r="D388" s="248"/>
      <c r="E388" s="148" t="s">
        <v>146</v>
      </c>
      <c r="F388" s="147"/>
      <c r="G388" s="14">
        <f>+SUM('1:30'!G388)</f>
        <v>0</v>
      </c>
      <c r="H388" s="14">
        <f>+SUM('1:30'!H388)</f>
        <v>0</v>
      </c>
      <c r="I388" s="14">
        <f>+SUM('1:30'!I388)</f>
        <v>0</v>
      </c>
      <c r="J388" s="14">
        <f>+SUM('1:30'!J388)</f>
        <v>0</v>
      </c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">
        <f>+SUM('1:30'!O388)</f>
        <v>0</v>
      </c>
      <c r="P388" s="146">
        <f t="shared" si="48"/>
        <v>0</v>
      </c>
      <c r="Q388" s="14">
        <f>+SUM('1:30'!Q388)</f>
        <v>0</v>
      </c>
      <c r="R388" s="19">
        <f t="shared" si="49"/>
        <v>0</v>
      </c>
      <c r="S388" s="146">
        <f t="shared" si="50"/>
        <v>0</v>
      </c>
      <c r="T388" s="20">
        <v>4</v>
      </c>
      <c r="U388" s="14">
        <f>+SUM('1:30'!U388)</f>
        <v>0</v>
      </c>
      <c r="V388" s="143" t="str">
        <f t="array" ref="V388">IF(ISERROR(L388/K388),"",L388/K388)</f>
        <v/>
      </c>
      <c r="W388" s="14">
        <f>+SUM('1:30'!W388)</f>
        <v>0</v>
      </c>
      <c r="X388" s="14">
        <f>+SUM('1:30'!X388)</f>
        <v>0</v>
      </c>
      <c r="Y388" s="14">
        <f>+SUM('1:30'!Y388)</f>
        <v>0</v>
      </c>
      <c r="Z388" s="14">
        <f>+SUM('1:30'!Z388)</f>
        <v>0</v>
      </c>
      <c r="AA388" s="14">
        <f>+SUM('1:30'!AA388)</f>
        <v>0</v>
      </c>
      <c r="AB388" s="14">
        <f>+SUM('1:30'!AB388)</f>
        <v>0</v>
      </c>
      <c r="AC388" s="14">
        <f>+SUM('1:30'!AC388)</f>
        <v>0</v>
      </c>
    </row>
    <row r="389" spans="1:29" s="2" customFormat="1" ht="21.95" customHeight="1">
      <c r="A389" s="142">
        <v>300275</v>
      </c>
      <c r="B389" s="135">
        <v>18502</v>
      </c>
      <c r="C389" s="248" t="s">
        <v>162</v>
      </c>
      <c r="D389" s="248"/>
      <c r="E389" s="148" t="s">
        <v>164</v>
      </c>
      <c r="F389" s="147"/>
      <c r="G389" s="14">
        <f>+SUM('1:30'!G389)</f>
        <v>0</v>
      </c>
      <c r="H389" s="14">
        <f>+SUM('1:30'!H389)</f>
        <v>0</v>
      </c>
      <c r="I389" s="14">
        <f>+SUM('1:30'!I389)</f>
        <v>0</v>
      </c>
      <c r="J389" s="14">
        <f>+SUM('1:30'!J389)</f>
        <v>0</v>
      </c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">
        <f>+SUM('1:30'!O389)</f>
        <v>0</v>
      </c>
      <c r="P389" s="146">
        <f t="shared" si="48"/>
        <v>0</v>
      </c>
      <c r="Q389" s="14">
        <f>+SUM('1:30'!Q389)</f>
        <v>0</v>
      </c>
      <c r="R389" s="19">
        <f t="shared" si="49"/>
        <v>0</v>
      </c>
      <c r="S389" s="146">
        <f t="shared" si="50"/>
        <v>0</v>
      </c>
      <c r="T389" s="20">
        <v>4</v>
      </c>
      <c r="U389" s="14">
        <f>+SUM('1:30'!U389)</f>
        <v>0</v>
      </c>
      <c r="V389" s="143" t="str">
        <f t="array" ref="V389">IF(ISERROR(L389/K389),"",L389/K389)</f>
        <v/>
      </c>
      <c r="W389" s="14">
        <f>+SUM('1:30'!W389)</f>
        <v>0</v>
      </c>
      <c r="X389" s="14">
        <f>+SUM('1:30'!X389)</f>
        <v>0</v>
      </c>
      <c r="Y389" s="14">
        <f>+SUM('1:30'!Y389)</f>
        <v>0</v>
      </c>
      <c r="Z389" s="14">
        <f>+SUM('1:30'!Z389)</f>
        <v>0</v>
      </c>
      <c r="AA389" s="14">
        <f>+SUM('1:30'!AA389)</f>
        <v>0</v>
      </c>
      <c r="AB389" s="14">
        <f>+SUM('1:30'!AB389)</f>
        <v>0</v>
      </c>
      <c r="AC389" s="14">
        <f>+SUM('1:30'!AC389)</f>
        <v>0</v>
      </c>
    </row>
    <row r="390" spans="1:29" s="2" customFormat="1" ht="21.95" customHeight="1">
      <c r="A390" s="142">
        <v>300285</v>
      </c>
      <c r="B390" s="135">
        <v>13001</v>
      </c>
      <c r="C390" s="248" t="s">
        <v>165</v>
      </c>
      <c r="D390" s="248"/>
      <c r="E390" s="148" t="s">
        <v>37</v>
      </c>
      <c r="F390" s="147"/>
      <c r="G390" s="14">
        <f>+SUM('1:30'!G390)</f>
        <v>0</v>
      </c>
      <c r="H390" s="14">
        <f>+SUM('1:30'!H390)</f>
        <v>0</v>
      </c>
      <c r="I390" s="14">
        <f>+SUM('1:30'!I390)</f>
        <v>0</v>
      </c>
      <c r="J390" s="14">
        <f>+SUM('1:30'!J390)</f>
        <v>0</v>
      </c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">
        <f>+SUM('1:30'!O390)</f>
        <v>0</v>
      </c>
      <c r="P390" s="146">
        <f t="shared" si="48"/>
        <v>0</v>
      </c>
      <c r="Q390" s="14">
        <f>+SUM('1:30'!Q390)</f>
        <v>0</v>
      </c>
      <c r="R390" s="19">
        <f t="shared" si="49"/>
        <v>0</v>
      </c>
      <c r="S390" s="146">
        <f t="shared" si="50"/>
        <v>0</v>
      </c>
      <c r="T390" s="20">
        <v>5</v>
      </c>
      <c r="U390" s="14">
        <f>+SUM('1:30'!U390)</f>
        <v>0</v>
      </c>
      <c r="V390" s="143" t="str">
        <f t="array" ref="V390">IF(ISERROR(L390/K390),"",L390/K390)</f>
        <v/>
      </c>
      <c r="W390" s="14">
        <f>+SUM('1:30'!W390)</f>
        <v>0</v>
      </c>
      <c r="X390" s="14">
        <f>+SUM('1:30'!X390)</f>
        <v>0</v>
      </c>
      <c r="Y390" s="14">
        <f>+SUM('1:30'!Y390)</f>
        <v>0</v>
      </c>
      <c r="Z390" s="14">
        <f>+SUM('1:30'!Z390)</f>
        <v>0</v>
      </c>
      <c r="AA390" s="14">
        <f>+SUM('1:30'!AA390)</f>
        <v>0</v>
      </c>
      <c r="AB390" s="14">
        <f>+SUM('1:30'!AB390)</f>
        <v>0</v>
      </c>
      <c r="AC390" s="14">
        <f>+SUM('1:30'!AC390)</f>
        <v>0</v>
      </c>
    </row>
    <row r="391" spans="1:29" s="2" customFormat="1" ht="21.95" customHeight="1">
      <c r="A391" s="142">
        <v>300287</v>
      </c>
      <c r="B391" s="135">
        <v>13001</v>
      </c>
      <c r="C391" s="248" t="s">
        <v>165</v>
      </c>
      <c r="D391" s="248"/>
      <c r="E391" s="148" t="s">
        <v>57</v>
      </c>
      <c r="F391" s="147"/>
      <c r="G391" s="14">
        <f>+SUM('1:30'!G391)</f>
        <v>0</v>
      </c>
      <c r="H391" s="14">
        <f>+SUM('1:30'!H391)</f>
        <v>0</v>
      </c>
      <c r="I391" s="14">
        <f>+SUM('1:30'!I391)</f>
        <v>0</v>
      </c>
      <c r="J391" s="14">
        <f>+SUM('1:30'!J391)</f>
        <v>0</v>
      </c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">
        <f>+SUM('1:30'!O391)</f>
        <v>0</v>
      </c>
      <c r="P391" s="146">
        <f t="shared" si="48"/>
        <v>0</v>
      </c>
      <c r="Q391" s="14">
        <f>+SUM('1:30'!Q391)</f>
        <v>0</v>
      </c>
      <c r="R391" s="19">
        <f t="shared" si="49"/>
        <v>0</v>
      </c>
      <c r="S391" s="146">
        <f t="shared" si="50"/>
        <v>0</v>
      </c>
      <c r="T391" s="20">
        <v>5</v>
      </c>
      <c r="U391" s="14">
        <f>+SUM('1:30'!U391)</f>
        <v>0</v>
      </c>
      <c r="V391" s="143" t="str">
        <f t="array" ref="V391">IF(ISERROR(L391/K391),"",L391/K391)</f>
        <v/>
      </c>
      <c r="W391" s="14">
        <f>+SUM('1:30'!W391)</f>
        <v>0</v>
      </c>
      <c r="X391" s="14">
        <f>+SUM('1:30'!X391)</f>
        <v>0</v>
      </c>
      <c r="Y391" s="14">
        <f>+SUM('1:30'!Y391)</f>
        <v>0</v>
      </c>
      <c r="Z391" s="14">
        <f>+SUM('1:30'!Z391)</f>
        <v>0</v>
      </c>
      <c r="AA391" s="14">
        <f>+SUM('1:30'!AA391)</f>
        <v>0</v>
      </c>
      <c r="AB391" s="14">
        <f>+SUM('1:30'!AB391)</f>
        <v>0</v>
      </c>
      <c r="AC391" s="14">
        <f>+SUM('1:30'!AC391)</f>
        <v>0</v>
      </c>
    </row>
    <row r="392" spans="1:29" s="2" customFormat="1" ht="21.95" customHeight="1">
      <c r="A392" s="142">
        <v>300284</v>
      </c>
      <c r="B392" s="135">
        <v>13001</v>
      </c>
      <c r="C392" s="248" t="s">
        <v>165</v>
      </c>
      <c r="D392" s="248"/>
      <c r="E392" s="148" t="s">
        <v>41</v>
      </c>
      <c r="F392" s="147"/>
      <c r="G392" s="14">
        <f>+SUM('1:30'!G392)</f>
        <v>0</v>
      </c>
      <c r="H392" s="14">
        <f>+SUM('1:30'!H392)</f>
        <v>0</v>
      </c>
      <c r="I392" s="14">
        <f>+SUM('1:30'!I392)</f>
        <v>0</v>
      </c>
      <c r="J392" s="14">
        <f>+SUM('1:30'!J392)</f>
        <v>0</v>
      </c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">
        <f>+SUM('1:30'!O392)</f>
        <v>0</v>
      </c>
      <c r="P392" s="146">
        <f t="shared" si="48"/>
        <v>0</v>
      </c>
      <c r="Q392" s="14">
        <f>+SUM('1:30'!Q392)</f>
        <v>0</v>
      </c>
      <c r="R392" s="19">
        <f t="shared" si="49"/>
        <v>0</v>
      </c>
      <c r="S392" s="146">
        <f t="shared" si="50"/>
        <v>0</v>
      </c>
      <c r="T392" s="20">
        <v>5</v>
      </c>
      <c r="U392" s="14">
        <f>+SUM('1:30'!U392)</f>
        <v>0</v>
      </c>
      <c r="V392" s="143" t="str">
        <f t="array" ref="V392">IF(ISERROR(L392/K392),"",L392/K392)</f>
        <v/>
      </c>
      <c r="W392" s="14">
        <f>+SUM('1:30'!W392)</f>
        <v>0</v>
      </c>
      <c r="X392" s="14">
        <f>+SUM('1:30'!X392)</f>
        <v>0</v>
      </c>
      <c r="Y392" s="14">
        <f>+SUM('1:30'!Y392)</f>
        <v>0</v>
      </c>
      <c r="Z392" s="14">
        <f>+SUM('1:30'!Z392)</f>
        <v>0</v>
      </c>
      <c r="AA392" s="14">
        <f>+SUM('1:30'!AA392)</f>
        <v>0</v>
      </c>
      <c r="AB392" s="14">
        <f>+SUM('1:30'!AB392)</f>
        <v>0</v>
      </c>
      <c r="AC392" s="14">
        <f>+SUM('1:30'!AC392)</f>
        <v>0</v>
      </c>
    </row>
    <row r="393" spans="1:29" s="2" customFormat="1" ht="21.95" customHeight="1">
      <c r="A393" s="142">
        <v>300283</v>
      </c>
      <c r="B393" s="135">
        <v>13001</v>
      </c>
      <c r="C393" s="248" t="s">
        <v>165</v>
      </c>
      <c r="D393" s="248"/>
      <c r="E393" s="148" t="s">
        <v>35</v>
      </c>
      <c r="F393" s="147"/>
      <c r="G393" s="14">
        <f>+SUM('1:30'!G393)</f>
        <v>0</v>
      </c>
      <c r="H393" s="14">
        <f>+SUM('1:30'!H393)</f>
        <v>0</v>
      </c>
      <c r="I393" s="14">
        <f>+SUM('1:30'!I393)</f>
        <v>0</v>
      </c>
      <c r="J393" s="14">
        <f>+SUM('1:30'!J393)</f>
        <v>0</v>
      </c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4">
        <f>+SUM('1:30'!O393)</f>
        <v>0</v>
      </c>
      <c r="P393" s="146">
        <f t="shared" si="48"/>
        <v>0</v>
      </c>
      <c r="Q393" s="14">
        <f>+SUM('1:30'!Q393)</f>
        <v>0</v>
      </c>
      <c r="R393" s="19">
        <f t="shared" si="49"/>
        <v>0</v>
      </c>
      <c r="S393" s="146">
        <f t="shared" si="50"/>
        <v>0</v>
      </c>
      <c r="T393" s="20">
        <v>5</v>
      </c>
      <c r="U393" s="14">
        <f>+SUM('1:30'!U393)</f>
        <v>0</v>
      </c>
      <c r="V393" s="143" t="str">
        <f t="array" ref="V393">IF(ISERROR(L393/K393),"",L393/K393)</f>
        <v/>
      </c>
      <c r="W393" s="14">
        <f>+SUM('1:30'!W393)</f>
        <v>0</v>
      </c>
      <c r="X393" s="14">
        <f>+SUM('1:30'!X393)</f>
        <v>0</v>
      </c>
      <c r="Y393" s="14">
        <f>+SUM('1:30'!Y393)</f>
        <v>0</v>
      </c>
      <c r="Z393" s="14">
        <f>+SUM('1:30'!Z393)</f>
        <v>0</v>
      </c>
      <c r="AA393" s="14">
        <f>+SUM('1:30'!AA393)</f>
        <v>0</v>
      </c>
      <c r="AB393" s="14">
        <f>+SUM('1:30'!AB393)</f>
        <v>0</v>
      </c>
      <c r="AC393" s="14">
        <f>+SUM('1:30'!AC393)</f>
        <v>0</v>
      </c>
    </row>
    <row r="394" spans="1:29" s="2" customFormat="1" ht="21.95" customHeight="1">
      <c r="A394" s="142">
        <v>300289</v>
      </c>
      <c r="B394" s="135">
        <v>13001</v>
      </c>
      <c r="C394" s="248" t="s">
        <v>165</v>
      </c>
      <c r="D394" s="248"/>
      <c r="E394" s="148" t="s">
        <v>66</v>
      </c>
      <c r="F394" s="147"/>
      <c r="G394" s="14">
        <f>+SUM('1:30'!G394)</f>
        <v>0</v>
      </c>
      <c r="H394" s="14">
        <f>+SUM('1:30'!H394)</f>
        <v>0</v>
      </c>
      <c r="I394" s="14">
        <f>+SUM('1:30'!I394)</f>
        <v>0</v>
      </c>
      <c r="J394" s="14">
        <f>+SUM('1:30'!J394)</f>
        <v>0</v>
      </c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4">
        <f>+SUM('1:30'!O394)</f>
        <v>0</v>
      </c>
      <c r="P394" s="146">
        <f t="shared" si="48"/>
        <v>0</v>
      </c>
      <c r="Q394" s="14">
        <f>+SUM('1:30'!Q394)</f>
        <v>0</v>
      </c>
      <c r="R394" s="19">
        <f t="shared" si="49"/>
        <v>0</v>
      </c>
      <c r="S394" s="146">
        <f t="shared" si="50"/>
        <v>0</v>
      </c>
      <c r="T394" s="20">
        <v>5</v>
      </c>
      <c r="U394" s="14">
        <f>+SUM('1:30'!U394)</f>
        <v>0</v>
      </c>
      <c r="V394" s="143" t="str">
        <f t="array" ref="V394">IF(ISERROR(L394/K394),"",L394/K394)</f>
        <v/>
      </c>
      <c r="W394" s="14">
        <f>+SUM('1:30'!W394)</f>
        <v>0</v>
      </c>
      <c r="X394" s="14">
        <f>+SUM('1:30'!X394)</f>
        <v>0</v>
      </c>
      <c r="Y394" s="14">
        <f>+SUM('1:30'!Y394)</f>
        <v>0</v>
      </c>
      <c r="Z394" s="14">
        <f>+SUM('1:30'!Z394)</f>
        <v>0</v>
      </c>
      <c r="AA394" s="14">
        <f>+SUM('1:30'!AA394)</f>
        <v>0</v>
      </c>
      <c r="AB394" s="14">
        <f>+SUM('1:30'!AB394)</f>
        <v>0</v>
      </c>
      <c r="AC394" s="14">
        <f>+SUM('1:30'!AC394)</f>
        <v>0</v>
      </c>
    </row>
    <row r="395" spans="1:29" s="2" customFormat="1" ht="21.95" customHeight="1">
      <c r="A395" s="142">
        <v>300288</v>
      </c>
      <c r="B395" s="135">
        <v>13001</v>
      </c>
      <c r="C395" s="248" t="s">
        <v>165</v>
      </c>
      <c r="D395" s="248"/>
      <c r="E395" s="148" t="s">
        <v>166</v>
      </c>
      <c r="F395" s="147"/>
      <c r="G395" s="14">
        <f>+SUM('1:30'!G395)</f>
        <v>0</v>
      </c>
      <c r="H395" s="14">
        <f>+SUM('1:30'!H395)</f>
        <v>0</v>
      </c>
      <c r="I395" s="14">
        <f>+SUM('1:30'!I395)</f>
        <v>0</v>
      </c>
      <c r="J395" s="14">
        <f>+SUM('1:30'!J395)</f>
        <v>0</v>
      </c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">
        <f>+SUM('1:30'!O395)</f>
        <v>0</v>
      </c>
      <c r="P395" s="146">
        <f t="shared" si="48"/>
        <v>0</v>
      </c>
      <c r="Q395" s="14">
        <f>+SUM('1:30'!Q395)</f>
        <v>0</v>
      </c>
      <c r="R395" s="19">
        <f t="shared" si="49"/>
        <v>0</v>
      </c>
      <c r="S395" s="146">
        <f t="shared" si="50"/>
        <v>0</v>
      </c>
      <c r="T395" s="20">
        <v>5</v>
      </c>
      <c r="U395" s="14">
        <f>+SUM('1:30'!U395)</f>
        <v>0</v>
      </c>
      <c r="V395" s="143" t="str">
        <f t="array" ref="V395">IF(ISERROR(L395/K395),"",L395/K395)</f>
        <v/>
      </c>
      <c r="W395" s="14">
        <f>+SUM('1:30'!W395)</f>
        <v>0</v>
      </c>
      <c r="X395" s="14">
        <f>+SUM('1:30'!X395)</f>
        <v>0</v>
      </c>
      <c r="Y395" s="14">
        <f>+SUM('1:30'!Y395)</f>
        <v>0</v>
      </c>
      <c r="Z395" s="14">
        <f>+SUM('1:30'!Z395)</f>
        <v>0</v>
      </c>
      <c r="AA395" s="14">
        <f>+SUM('1:30'!AA395)</f>
        <v>0</v>
      </c>
      <c r="AB395" s="14">
        <f>+SUM('1:30'!AB395)</f>
        <v>0</v>
      </c>
      <c r="AC395" s="14">
        <f>+SUM('1:30'!AC395)</f>
        <v>0</v>
      </c>
    </row>
    <row r="396" spans="1:29" s="2" customFormat="1" ht="21.95" customHeight="1">
      <c r="A396" s="139">
        <v>300355</v>
      </c>
      <c r="B396" s="124">
        <v>13001</v>
      </c>
      <c r="C396" s="262" t="s">
        <v>168</v>
      </c>
      <c r="D396" s="263"/>
      <c r="E396" s="53" t="s">
        <v>35</v>
      </c>
      <c r="F396" s="147"/>
      <c r="G396" s="14">
        <f>+SUM('1:30'!G396)</f>
        <v>5.2</v>
      </c>
      <c r="H396" s="14">
        <f>+SUM('1:30'!H396)</f>
        <v>0.2</v>
      </c>
      <c r="I396" s="14">
        <f>+SUM('1:30'!I396)</f>
        <v>5.2</v>
      </c>
      <c r="J396" s="14">
        <f>+SUM('1:30'!J396)</f>
        <v>0</v>
      </c>
      <c r="K396" s="136">
        <f t="shared" si="46"/>
        <v>2277.6</v>
      </c>
      <c r="L396" s="146">
        <f t="shared" si="47"/>
        <v>2277.6</v>
      </c>
      <c r="M396" s="146">
        <v>438</v>
      </c>
      <c r="N396" s="146">
        <f>+M396*1000/(110*4*18*60)*T396</f>
        <v>4.6085858585858581</v>
      </c>
      <c r="O396" s="14">
        <f>+SUM('1:30'!O396)</f>
        <v>0</v>
      </c>
      <c r="P396" s="146">
        <f t="shared" si="48"/>
        <v>23.964646464646464</v>
      </c>
      <c r="Q396" s="14">
        <f>+SUM('1:30'!Q396)</f>
        <v>6</v>
      </c>
      <c r="R396" s="19">
        <f t="shared" si="49"/>
        <v>36</v>
      </c>
      <c r="S396" s="146">
        <f t="shared" si="50"/>
        <v>12.035353535353536</v>
      </c>
      <c r="T396" s="20">
        <v>5</v>
      </c>
      <c r="U396" s="14">
        <f>+SUM('1:30'!U396)</f>
        <v>6</v>
      </c>
      <c r="V396" s="143">
        <f t="array" ref="V396">IF(ISERROR(L396/K396),"",L396/K396)</f>
        <v>1</v>
      </c>
      <c r="W396" s="14">
        <f>+SUM('1:30'!W396)</f>
        <v>0</v>
      </c>
      <c r="X396" s="14">
        <f>+SUM('1:30'!X396)</f>
        <v>0</v>
      </c>
      <c r="Y396" s="14">
        <f>+SUM('1:30'!Y396)</f>
        <v>0</v>
      </c>
      <c r="Z396" s="14">
        <f>+SUM('1:30'!Z396)</f>
        <v>0</v>
      </c>
      <c r="AA396" s="14">
        <f>+SUM('1:30'!AA396)</f>
        <v>0</v>
      </c>
      <c r="AB396" s="14">
        <f>+SUM('1:30'!AB396)</f>
        <v>0</v>
      </c>
      <c r="AC396" s="14">
        <f>+SUM('1:30'!AC396)</f>
        <v>0</v>
      </c>
    </row>
    <row r="397" spans="1:29" s="2" customFormat="1" ht="21.95" customHeight="1">
      <c r="A397" s="139">
        <v>300356</v>
      </c>
      <c r="B397" s="124">
        <v>13001</v>
      </c>
      <c r="C397" s="262" t="s">
        <v>168</v>
      </c>
      <c r="D397" s="263"/>
      <c r="E397" s="54" t="s">
        <v>41</v>
      </c>
      <c r="F397" s="147"/>
      <c r="G397" s="14">
        <f>+SUM('1:30'!G397)</f>
        <v>0</v>
      </c>
      <c r="H397" s="14">
        <f>+SUM('1:30'!H397)</f>
        <v>0</v>
      </c>
      <c r="I397" s="14">
        <f>+SUM('1:30'!I397)</f>
        <v>0</v>
      </c>
      <c r="J397" s="14">
        <f>+SUM('1:30'!J397)</f>
        <v>0</v>
      </c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">
        <f>+SUM('1:30'!O397)</f>
        <v>0</v>
      </c>
      <c r="P397" s="146">
        <f t="shared" si="48"/>
        <v>0</v>
      </c>
      <c r="Q397" s="14">
        <f>+SUM('1:30'!Q397)</f>
        <v>0</v>
      </c>
      <c r="R397" s="19">
        <f t="shared" si="49"/>
        <v>0</v>
      </c>
      <c r="S397" s="146">
        <f t="shared" si="50"/>
        <v>0</v>
      </c>
      <c r="T397" s="20">
        <v>5</v>
      </c>
      <c r="U397" s="14">
        <f>+SUM('1:30'!U397)</f>
        <v>0</v>
      </c>
      <c r="V397" s="143" t="str">
        <f t="array" ref="V397">IF(ISERROR(L397/K397),"",L397/K397)</f>
        <v/>
      </c>
      <c r="W397" s="14">
        <f>+SUM('1:30'!W397)</f>
        <v>0</v>
      </c>
      <c r="X397" s="14">
        <f>+SUM('1:30'!X397)</f>
        <v>0</v>
      </c>
      <c r="Y397" s="14">
        <f>+SUM('1:30'!Y397)</f>
        <v>0</v>
      </c>
      <c r="Z397" s="14">
        <f>+SUM('1:30'!Z397)</f>
        <v>0</v>
      </c>
      <c r="AA397" s="14">
        <f>+SUM('1:30'!AA397)</f>
        <v>0</v>
      </c>
      <c r="AB397" s="14">
        <f>+SUM('1:30'!AB397)</f>
        <v>0</v>
      </c>
      <c r="AC397" s="14">
        <f>+SUM('1:30'!AC397)</f>
        <v>0</v>
      </c>
    </row>
    <row r="398" spans="1:29" ht="21.95" customHeight="1">
      <c r="A398" s="139">
        <v>300357</v>
      </c>
      <c r="B398" s="135" t="s">
        <v>170</v>
      </c>
      <c r="C398" s="259" t="s">
        <v>168</v>
      </c>
      <c r="D398" s="260"/>
      <c r="E398" s="150" t="s">
        <v>37</v>
      </c>
      <c r="F398" s="13"/>
      <c r="G398" s="14">
        <f>+SUM('1:30'!G398)</f>
        <v>5</v>
      </c>
      <c r="H398" s="14">
        <f>+SUM('1:30'!H398)</f>
        <v>0</v>
      </c>
      <c r="I398" s="14">
        <f>+SUM('1:30'!I398)</f>
        <v>5</v>
      </c>
      <c r="J398" s="14">
        <f>+SUM('1:30'!J398)</f>
        <v>0</v>
      </c>
      <c r="K398" s="136">
        <f t="shared" si="46"/>
        <v>2190</v>
      </c>
      <c r="L398" s="146">
        <f t="shared" si="47"/>
        <v>2190</v>
      </c>
      <c r="M398" s="146">
        <v>438</v>
      </c>
      <c r="N398" s="15">
        <f>+M398*1000/(110*4*18*60)*T398</f>
        <v>4.6085858585858581</v>
      </c>
      <c r="O398" s="14">
        <f>+SUM('1:30'!O398)</f>
        <v>0.5</v>
      </c>
      <c r="P398" s="146">
        <f t="shared" si="48"/>
        <v>26.042929292929291</v>
      </c>
      <c r="Q398" s="14">
        <f>+SUM('1:30'!Q398)</f>
        <v>4.5</v>
      </c>
      <c r="R398" s="19">
        <f t="shared" si="49"/>
        <v>27</v>
      </c>
      <c r="S398" s="146">
        <f t="shared" si="50"/>
        <v>0.9570707070707094</v>
      </c>
      <c r="T398" s="20">
        <v>5</v>
      </c>
      <c r="U398" s="14">
        <f>+SUM('1:30'!U398)</f>
        <v>6</v>
      </c>
      <c r="V398" s="143">
        <f t="array" ref="V398">IF(ISERROR(L398/K398),"",L398/K398)</f>
        <v>1</v>
      </c>
      <c r="W398" s="14">
        <f>+SUM('1:30'!W398)</f>
        <v>0</v>
      </c>
      <c r="X398" s="14">
        <f>+SUM('1:30'!X398)</f>
        <v>0</v>
      </c>
      <c r="Y398" s="14">
        <f>+SUM('1:30'!Y398)</f>
        <v>0</v>
      </c>
      <c r="Z398" s="14">
        <f>+SUM('1:30'!Z398)</f>
        <v>0</v>
      </c>
      <c r="AA398" s="14">
        <f>+SUM('1:30'!AA398)</f>
        <v>0</v>
      </c>
      <c r="AB398" s="14">
        <f>+SUM('1:30'!AB398)</f>
        <v>0</v>
      </c>
      <c r="AC398" s="14">
        <f>+SUM('1:30'!AC398)</f>
        <v>0</v>
      </c>
    </row>
    <row r="399" spans="1:29" ht="21.95" customHeight="1">
      <c r="A399" s="139">
        <v>300358</v>
      </c>
      <c r="B399" s="135" t="s">
        <v>171</v>
      </c>
      <c r="C399" s="259" t="s">
        <v>168</v>
      </c>
      <c r="D399" s="260"/>
      <c r="E399" s="150" t="s">
        <v>66</v>
      </c>
      <c r="F399" s="13"/>
      <c r="G399" s="14">
        <f>+SUM('1:30'!G399)</f>
        <v>10.38</v>
      </c>
      <c r="H399" s="14">
        <f>+SUM('1:30'!H399)</f>
        <v>1.075</v>
      </c>
      <c r="I399" s="14">
        <f>+SUM('1:30'!I399)</f>
        <v>10.074999999999999</v>
      </c>
      <c r="J399" s="14">
        <f>+SUM('1:30'!J399)</f>
        <v>0</v>
      </c>
      <c r="K399" s="136">
        <f t="shared" si="46"/>
        <v>4546.4400000000005</v>
      </c>
      <c r="L399" s="146">
        <f t="shared" si="47"/>
        <v>4412.8499999999995</v>
      </c>
      <c r="M399" s="146">
        <v>438</v>
      </c>
      <c r="N399" s="15">
        <f>+M399*1000/(110*4*18*60)*T399</f>
        <v>4.6085858585858581</v>
      </c>
      <c r="O399" s="14">
        <f>+SUM('1:30'!O399)</f>
        <v>0.5</v>
      </c>
      <c r="P399" s="146">
        <f t="shared" si="48"/>
        <v>52.431502525252519</v>
      </c>
      <c r="Q399" s="14">
        <f>+SUM('1:30'!Q399)</f>
        <v>10.5</v>
      </c>
      <c r="R399" s="19">
        <f t="shared" si="49"/>
        <v>126</v>
      </c>
      <c r="S399" s="146">
        <f t="shared" si="50"/>
        <v>73.568497474747488</v>
      </c>
      <c r="T399" s="20">
        <v>5</v>
      </c>
      <c r="U399" s="14">
        <f>+SUM('1:30'!U399)</f>
        <v>12</v>
      </c>
      <c r="V399" s="143">
        <f t="array" ref="V399">IF(ISERROR(L399/K399),"",L399/K399)</f>
        <v>0.97061657032755277</v>
      </c>
      <c r="W399" s="14">
        <f>+SUM('1:30'!W399)</f>
        <v>0</v>
      </c>
      <c r="X399" s="14">
        <f>+SUM('1:30'!X399)</f>
        <v>2</v>
      </c>
      <c r="Y399" s="14">
        <f>+SUM('1:30'!Y399)</f>
        <v>0</v>
      </c>
      <c r="Z399" s="14">
        <f>+SUM('1:30'!Z399)</f>
        <v>0</v>
      </c>
      <c r="AA399" s="14">
        <f>+SUM('1:30'!AA399)</f>
        <v>2</v>
      </c>
      <c r="AB399" s="14">
        <f>+SUM('1:30'!AB399)</f>
        <v>0</v>
      </c>
      <c r="AC399" s="14">
        <f>+SUM('1:30'!AC399)</f>
        <v>0</v>
      </c>
    </row>
    <row r="400" spans="1:29" ht="21.95" customHeight="1">
      <c r="A400" s="142">
        <v>300438</v>
      </c>
      <c r="B400" s="135" t="s">
        <v>87</v>
      </c>
      <c r="C400" s="248" t="s">
        <v>312</v>
      </c>
      <c r="D400" s="248" t="s">
        <v>89</v>
      </c>
      <c r="E400" s="148" t="s">
        <v>35</v>
      </c>
      <c r="F400" s="13"/>
      <c r="G400" s="14">
        <f>+SUM('1:30'!G400)</f>
        <v>9</v>
      </c>
      <c r="H400" s="14">
        <f>+SUM('1:30'!H400)</f>
        <v>0.33333333333333331</v>
      </c>
      <c r="I400" s="14">
        <f>+SUM('1:30'!I400)</f>
        <v>8</v>
      </c>
      <c r="J400" s="14">
        <f>+SUM('1:30'!J400)</f>
        <v>100</v>
      </c>
      <c r="K400" s="146">
        <f>G400*M400</f>
        <v>3029.4</v>
      </c>
      <c r="L400" s="146">
        <f>I400*M400</f>
        <v>2692.8</v>
      </c>
      <c r="M400" s="146">
        <v>336.6</v>
      </c>
      <c r="N400" s="146">
        <f>+M400*1000/(45*10*18*60)*T400</f>
        <v>1.3851851851851851</v>
      </c>
      <c r="O400" s="14">
        <f>+SUM('1:30'!O400)</f>
        <v>0</v>
      </c>
      <c r="P400" s="146">
        <f>N400*I400+O400*U400</f>
        <v>11.081481481481481</v>
      </c>
      <c r="Q400" s="14">
        <f>+SUM('1:30'!Q400)</f>
        <v>11.5</v>
      </c>
      <c r="R400" s="19">
        <f>Q400*U400</f>
        <v>57.5</v>
      </c>
      <c r="S400" s="146">
        <f>R400-P400</f>
        <v>46.418518518518518</v>
      </c>
      <c r="T400" s="20">
        <v>2</v>
      </c>
      <c r="U400" s="14">
        <f>+SUM('1:30'!U400)</f>
        <v>5</v>
      </c>
      <c r="V400" s="143"/>
      <c r="W400" s="14">
        <f>+SUM('1:30'!W400)</f>
        <v>0</v>
      </c>
      <c r="X400" s="14">
        <f>+SUM('1:30'!X400)</f>
        <v>0</v>
      </c>
      <c r="Y400" s="14">
        <f>+SUM('1:30'!Y400)</f>
        <v>0</v>
      </c>
      <c r="Z400" s="14">
        <f>+SUM('1:30'!Z400)</f>
        <v>0</v>
      </c>
      <c r="AA400" s="14">
        <f>+SUM('1:30'!AA400)</f>
        <v>0</v>
      </c>
      <c r="AB400" s="14">
        <f>+SUM('1:30'!AB400)</f>
        <v>0</v>
      </c>
      <c r="AC400" s="14">
        <f>+SUM('1:30'!AC400)</f>
        <v>0</v>
      </c>
    </row>
    <row r="401" spans="1:29" ht="21.95" customHeight="1">
      <c r="A401" s="142">
        <v>300439</v>
      </c>
      <c r="B401" s="135" t="s">
        <v>87</v>
      </c>
      <c r="C401" s="248" t="s">
        <v>312</v>
      </c>
      <c r="D401" s="248" t="s">
        <v>89</v>
      </c>
      <c r="E401" s="148" t="s">
        <v>66</v>
      </c>
      <c r="F401" s="13"/>
      <c r="G401" s="14">
        <f>+SUM('1:30'!G401)</f>
        <v>0</v>
      </c>
      <c r="H401" s="14">
        <f>+SUM('1:30'!H401)</f>
        <v>0</v>
      </c>
      <c r="I401" s="14">
        <f>+SUM('1:30'!I401)</f>
        <v>0</v>
      </c>
      <c r="J401" s="14">
        <f>+SUM('1:30'!J401)</f>
        <v>0</v>
      </c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">
        <f>+SUM('1:30'!O401)</f>
        <v>0</v>
      </c>
      <c r="P401" s="146">
        <f>N401*I401+O401*U401</f>
        <v>0</v>
      </c>
      <c r="Q401" s="14">
        <f>+SUM('1:30'!Q401)</f>
        <v>0</v>
      </c>
      <c r="R401" s="19">
        <f>Q401*U401</f>
        <v>0</v>
      </c>
      <c r="S401" s="146">
        <f>R401-P401</f>
        <v>0</v>
      </c>
      <c r="T401" s="20">
        <v>2</v>
      </c>
      <c r="U401" s="14">
        <f>+SUM('1:30'!U401)</f>
        <v>0</v>
      </c>
      <c r="V401" s="143"/>
      <c r="W401" s="14">
        <f>+SUM('1:30'!W401)</f>
        <v>0</v>
      </c>
      <c r="X401" s="14">
        <f>+SUM('1:30'!X401)</f>
        <v>0</v>
      </c>
      <c r="Y401" s="14">
        <f>+SUM('1:30'!Y401)</f>
        <v>0</v>
      </c>
      <c r="Z401" s="14">
        <f>+SUM('1:30'!Z401)</f>
        <v>0</v>
      </c>
      <c r="AA401" s="14">
        <f>+SUM('1:30'!AA401)</f>
        <v>0</v>
      </c>
      <c r="AB401" s="14">
        <f>+SUM('1:30'!AB401)</f>
        <v>0</v>
      </c>
      <c r="AC401" s="14">
        <f>+SUM('1:30'!AC401)</f>
        <v>0</v>
      </c>
    </row>
    <row r="402" spans="1:29" ht="21.95" customHeight="1">
      <c r="A402" s="142">
        <v>300440</v>
      </c>
      <c r="B402" s="135" t="s">
        <v>87</v>
      </c>
      <c r="C402" s="248" t="s">
        <v>312</v>
      </c>
      <c r="D402" s="248" t="s">
        <v>89</v>
      </c>
      <c r="E402" s="148" t="s">
        <v>41</v>
      </c>
      <c r="F402" s="13"/>
      <c r="G402" s="14">
        <f>+SUM('1:30'!G402)</f>
        <v>9</v>
      </c>
      <c r="H402" s="14">
        <f>+SUM('1:30'!H402)</f>
        <v>0</v>
      </c>
      <c r="I402" s="14">
        <f>+SUM('1:30'!I402)</f>
        <v>7.666666666666667</v>
      </c>
      <c r="J402" s="14">
        <f>+SUM('1:30'!J402)</f>
        <v>100</v>
      </c>
      <c r="K402" s="146">
        <f>G402*M402</f>
        <v>3029.4</v>
      </c>
      <c r="L402" s="146">
        <f>I402*M402</f>
        <v>2580.6000000000004</v>
      </c>
      <c r="M402" s="146">
        <v>336.6</v>
      </c>
      <c r="N402" s="146">
        <f>+M402*1000/(45*10*18*60)*T402</f>
        <v>1.3851851851851851</v>
      </c>
      <c r="O402" s="14">
        <f>+SUM('1:30'!O402)</f>
        <v>0.5</v>
      </c>
      <c r="P402" s="146">
        <f>N402*I402+O402*U402</f>
        <v>13.119753086419752</v>
      </c>
      <c r="Q402" s="14">
        <f>+SUM('1:30'!Q402)</f>
        <v>10</v>
      </c>
      <c r="R402" s="19">
        <f>Q402*U402</f>
        <v>50</v>
      </c>
      <c r="S402" s="146">
        <f>R402-P402</f>
        <v>36.880246913580251</v>
      </c>
      <c r="T402" s="20">
        <v>2</v>
      </c>
      <c r="U402" s="14">
        <f>+SUM('1:30'!U402)</f>
        <v>5</v>
      </c>
      <c r="V402" s="143"/>
      <c r="W402" s="14">
        <f>+SUM('1:30'!W402)</f>
        <v>0</v>
      </c>
      <c r="X402" s="14">
        <f>+SUM('1:30'!X402)</f>
        <v>0</v>
      </c>
      <c r="Y402" s="14">
        <f>+SUM('1:30'!Y402)</f>
        <v>0</v>
      </c>
      <c r="Z402" s="14">
        <f>+SUM('1:30'!Z402)</f>
        <v>0</v>
      </c>
      <c r="AA402" s="14">
        <f>+SUM('1:30'!AA402)</f>
        <v>0</v>
      </c>
      <c r="AB402" s="14">
        <f>+SUM('1:30'!AB402)</f>
        <v>0</v>
      </c>
      <c r="AC402" s="14">
        <f>+SUM('1:30'!AC402)</f>
        <v>0</v>
      </c>
    </row>
    <row r="403" spans="1:29" ht="21.95" customHeight="1">
      <c r="A403" s="142">
        <v>300441</v>
      </c>
      <c r="B403" s="135" t="s">
        <v>87</v>
      </c>
      <c r="C403" s="248" t="s">
        <v>312</v>
      </c>
      <c r="D403" s="248" t="s">
        <v>89</v>
      </c>
      <c r="E403" s="148" t="s">
        <v>37</v>
      </c>
      <c r="F403" s="13"/>
      <c r="G403" s="14">
        <f>+SUM('1:30'!G403)</f>
        <v>10.1</v>
      </c>
      <c r="H403" s="14">
        <f>+SUM('1:30'!H403)</f>
        <v>0.30000000000000004</v>
      </c>
      <c r="I403" s="14">
        <f>+SUM('1:30'!I403)</f>
        <v>9.6333333333333329</v>
      </c>
      <c r="J403" s="14">
        <f>+SUM('1:30'!J403)</f>
        <v>200</v>
      </c>
      <c r="K403" s="146">
        <f>G403*M403</f>
        <v>3399.6600000000003</v>
      </c>
      <c r="L403" s="146">
        <f>I403*M403</f>
        <v>3242.58</v>
      </c>
      <c r="M403" s="146">
        <v>336.6</v>
      </c>
      <c r="N403" s="146">
        <f>+M403*1000/(45*10*18*60)*T403</f>
        <v>1.3851851851851851</v>
      </c>
      <c r="O403" s="14">
        <f>+SUM('1:30'!O403)</f>
        <v>0</v>
      </c>
      <c r="P403" s="146">
        <f>N403*I403+O403*U403</f>
        <v>13.34395061728395</v>
      </c>
      <c r="Q403" s="14">
        <f>+SUM('1:30'!Q403)</f>
        <v>13</v>
      </c>
      <c r="R403" s="19">
        <f>Q403*U403</f>
        <v>143</v>
      </c>
      <c r="S403" s="146">
        <f>R403-P403</f>
        <v>129.65604938271605</v>
      </c>
      <c r="T403" s="20">
        <v>2</v>
      </c>
      <c r="U403" s="14">
        <f>+SUM('1:30'!U403)</f>
        <v>11</v>
      </c>
      <c r="V403" s="143"/>
      <c r="W403" s="14">
        <f>+SUM('1:30'!W403)</f>
        <v>2.5</v>
      </c>
      <c r="X403" s="14">
        <f>+SUM('1:30'!X403)</f>
        <v>2.0833333333333335</v>
      </c>
      <c r="Y403" s="14">
        <f>+SUM('1:30'!Y403)</f>
        <v>0</v>
      </c>
      <c r="Z403" s="14">
        <f>+SUM('1:30'!Z403)</f>
        <v>0</v>
      </c>
      <c r="AA403" s="14">
        <f>+SUM('1:30'!AA403)</f>
        <v>0</v>
      </c>
      <c r="AB403" s="14">
        <f>+SUM('1:30'!AB403)</f>
        <v>0</v>
      </c>
      <c r="AC403" s="14">
        <f>+SUM('1:30'!AC403)</f>
        <v>0</v>
      </c>
    </row>
    <row r="404" spans="1:29" s="2" customFormat="1" ht="22.5" customHeight="1">
      <c r="A404" s="139">
        <v>300406</v>
      </c>
      <c r="B404" s="135" t="s">
        <v>171</v>
      </c>
      <c r="C404" s="259" t="s">
        <v>172</v>
      </c>
      <c r="D404" s="260"/>
      <c r="E404" s="150" t="s">
        <v>149</v>
      </c>
      <c r="F404" s="27"/>
      <c r="G404" s="14">
        <f>+SUM('1:30'!G404)</f>
        <v>0</v>
      </c>
      <c r="H404" s="14">
        <f>+SUM('1:30'!H404)</f>
        <v>0</v>
      </c>
      <c r="I404" s="14">
        <f>+SUM('1:30'!I404)</f>
        <v>0</v>
      </c>
      <c r="J404" s="14">
        <f>+SUM('1:30'!J404)</f>
        <v>0</v>
      </c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">
        <f>+SUM('1:30'!O404)</f>
        <v>0</v>
      </c>
      <c r="P404" s="146">
        <f t="shared" ref="P404:P407" si="56">N404*I404+O404*U404</f>
        <v>0</v>
      </c>
      <c r="Q404" s="14">
        <f>+SUM('1:30'!Q404)</f>
        <v>0</v>
      </c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14">
        <f>+SUM('1:30'!U404)</f>
        <v>0</v>
      </c>
      <c r="V404" s="143" t="str">
        <f t="array" ref="V404">IF(ISERROR(L404/K404),"",L404/K404)</f>
        <v/>
      </c>
      <c r="W404" s="14">
        <f>+SUM('1:30'!W404)</f>
        <v>0</v>
      </c>
      <c r="X404" s="14">
        <f>+SUM('1:30'!X404)</f>
        <v>0</v>
      </c>
      <c r="Y404" s="14">
        <f>+SUM('1:30'!Y404)</f>
        <v>0</v>
      </c>
      <c r="Z404" s="14">
        <f>+SUM('1:30'!Z404)</f>
        <v>0</v>
      </c>
      <c r="AA404" s="14">
        <f>+SUM('1:30'!AA404)</f>
        <v>0</v>
      </c>
      <c r="AB404" s="14">
        <f>+SUM('1:30'!AB404)</f>
        <v>0</v>
      </c>
      <c r="AC404" s="14">
        <f>+SUM('1:30'!AC404)</f>
        <v>0</v>
      </c>
    </row>
    <row r="405" spans="1:29" s="2" customFormat="1" ht="22.5" customHeight="1">
      <c r="A405" s="139">
        <v>300407</v>
      </c>
      <c r="B405" s="135" t="s">
        <v>171</v>
      </c>
      <c r="C405" s="259" t="s">
        <v>172</v>
      </c>
      <c r="D405" s="260"/>
      <c r="E405" s="150" t="s">
        <v>173</v>
      </c>
      <c r="F405" s="27"/>
      <c r="G405" s="14">
        <f>+SUM('1:30'!G405)</f>
        <v>0</v>
      </c>
      <c r="H405" s="14">
        <f>+SUM('1:30'!H405)</f>
        <v>0</v>
      </c>
      <c r="I405" s="14">
        <f>+SUM('1:30'!I405)</f>
        <v>0</v>
      </c>
      <c r="J405" s="14">
        <f>+SUM('1:30'!J405)</f>
        <v>0</v>
      </c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">
        <f>+SUM('1:30'!O405)</f>
        <v>0</v>
      </c>
      <c r="P405" s="146">
        <f t="shared" si="56"/>
        <v>0</v>
      </c>
      <c r="Q405" s="14">
        <f>+SUM('1:30'!Q405)</f>
        <v>0</v>
      </c>
      <c r="R405" s="19">
        <f t="shared" si="57"/>
        <v>0</v>
      </c>
      <c r="S405" s="146">
        <f t="shared" si="58"/>
        <v>0</v>
      </c>
      <c r="T405" s="20">
        <v>5</v>
      </c>
      <c r="U405" s="14">
        <f>+SUM('1:30'!U405)</f>
        <v>0</v>
      </c>
      <c r="V405" s="143" t="str">
        <f t="array" ref="V405">IF(ISERROR(L405/K405),"",L405/K405)</f>
        <v/>
      </c>
      <c r="W405" s="14">
        <f>+SUM('1:30'!W405)</f>
        <v>0</v>
      </c>
      <c r="X405" s="14">
        <f>+SUM('1:30'!X405)</f>
        <v>0</v>
      </c>
      <c r="Y405" s="14">
        <f>+SUM('1:30'!Y405)</f>
        <v>0</v>
      </c>
      <c r="Z405" s="14">
        <f>+SUM('1:30'!Z405)</f>
        <v>0</v>
      </c>
      <c r="AA405" s="14">
        <f>+SUM('1:30'!AA405)</f>
        <v>0</v>
      </c>
      <c r="AB405" s="14">
        <f>+SUM('1:30'!AB405)</f>
        <v>0</v>
      </c>
      <c r="AC405" s="14">
        <f>+SUM('1:30'!AC405)</f>
        <v>0</v>
      </c>
    </row>
    <row r="406" spans="1:29" s="2" customFormat="1" ht="22.5" customHeight="1">
      <c r="A406" s="139">
        <v>300408</v>
      </c>
      <c r="B406" s="135" t="s">
        <v>171</v>
      </c>
      <c r="C406" s="259" t="s">
        <v>172</v>
      </c>
      <c r="D406" s="260"/>
      <c r="E406" s="150" t="s">
        <v>41</v>
      </c>
      <c r="F406" s="27"/>
      <c r="G406" s="14">
        <f>+SUM('1:30'!G406)</f>
        <v>0</v>
      </c>
      <c r="H406" s="14">
        <f>+SUM('1:30'!H406)</f>
        <v>0</v>
      </c>
      <c r="I406" s="14">
        <f>+SUM('1:30'!I406)</f>
        <v>0</v>
      </c>
      <c r="J406" s="14">
        <f>+SUM('1:30'!J406)</f>
        <v>0</v>
      </c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">
        <f>+SUM('1:30'!O406)</f>
        <v>0</v>
      </c>
      <c r="P406" s="146">
        <f t="shared" si="56"/>
        <v>0</v>
      </c>
      <c r="Q406" s="14">
        <f>+SUM('1:30'!Q406)</f>
        <v>0</v>
      </c>
      <c r="R406" s="19">
        <f t="shared" si="57"/>
        <v>0</v>
      </c>
      <c r="S406" s="146">
        <f t="shared" si="58"/>
        <v>0</v>
      </c>
      <c r="T406" s="20">
        <v>5</v>
      </c>
      <c r="U406" s="14">
        <f>+SUM('1:30'!U406)</f>
        <v>0</v>
      </c>
      <c r="V406" s="143" t="str">
        <f t="array" ref="V406">IF(ISERROR(L406/K406),"",L406/K406)</f>
        <v/>
      </c>
      <c r="W406" s="14">
        <f>+SUM('1:30'!W406)</f>
        <v>0</v>
      </c>
      <c r="X406" s="14">
        <f>+SUM('1:30'!X406)</f>
        <v>0</v>
      </c>
      <c r="Y406" s="14">
        <f>+SUM('1:30'!Y406)</f>
        <v>0</v>
      </c>
      <c r="Z406" s="14">
        <f>+SUM('1:30'!Z406)</f>
        <v>0</v>
      </c>
      <c r="AA406" s="14">
        <f>+SUM('1:30'!AA406)</f>
        <v>0</v>
      </c>
      <c r="AB406" s="14">
        <f>+SUM('1:30'!AB406)</f>
        <v>0</v>
      </c>
      <c r="AC406" s="14">
        <f>+SUM('1:30'!AC406)</f>
        <v>0</v>
      </c>
    </row>
    <row r="407" spans="1:29" s="2" customFormat="1" ht="22.5" customHeight="1">
      <c r="A407" s="139">
        <v>300409</v>
      </c>
      <c r="B407" s="135" t="s">
        <v>171</v>
      </c>
      <c r="C407" s="259" t="s">
        <v>172</v>
      </c>
      <c r="D407" s="260"/>
      <c r="E407" s="150" t="s">
        <v>174</v>
      </c>
      <c r="F407" s="27"/>
      <c r="G407" s="14">
        <f>+SUM('1:30'!G407)</f>
        <v>0</v>
      </c>
      <c r="H407" s="14">
        <f>+SUM('1:30'!H407)</f>
        <v>0</v>
      </c>
      <c r="I407" s="14">
        <f>+SUM('1:30'!I407)</f>
        <v>0</v>
      </c>
      <c r="J407" s="14">
        <f>+SUM('1:30'!J407)</f>
        <v>0</v>
      </c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">
        <f>+SUM('1:30'!O407)</f>
        <v>0</v>
      </c>
      <c r="P407" s="146">
        <f t="shared" si="56"/>
        <v>0</v>
      </c>
      <c r="Q407" s="14">
        <f>+SUM('1:30'!Q407)</f>
        <v>0</v>
      </c>
      <c r="R407" s="19">
        <f t="shared" si="57"/>
        <v>0</v>
      </c>
      <c r="S407" s="146">
        <f t="shared" si="58"/>
        <v>0</v>
      </c>
      <c r="T407" s="20">
        <v>5</v>
      </c>
      <c r="U407" s="14">
        <f>+SUM('1:30'!U407)</f>
        <v>0</v>
      </c>
      <c r="V407" s="143" t="str">
        <f t="array" ref="V407">IF(ISERROR(L407/K407),"",L407/K407)</f>
        <v/>
      </c>
      <c r="W407" s="14">
        <f>+SUM('1:30'!W407)</f>
        <v>0</v>
      </c>
      <c r="X407" s="14">
        <f>+SUM('1:30'!X407)</f>
        <v>0</v>
      </c>
      <c r="Y407" s="14">
        <f>+SUM('1:30'!Y407)</f>
        <v>0</v>
      </c>
      <c r="Z407" s="14">
        <f>+SUM('1:30'!Z407)</f>
        <v>0</v>
      </c>
      <c r="AA407" s="14">
        <f>+SUM('1:30'!AA407)</f>
        <v>0</v>
      </c>
      <c r="AB407" s="14">
        <f>+SUM('1:30'!AB407)</f>
        <v>0</v>
      </c>
      <c r="AC407" s="14">
        <f>+SUM('1:30'!AC407)</f>
        <v>0</v>
      </c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46">
        <f t="array" ref="G408">SUM(IF(ISERROR(G215:G407),“”,G215:G407))</f>
        <v>590.07000000000016</v>
      </c>
      <c r="H408" s="146">
        <f t="array" ref="H408">SUM(IF(ISERROR(H215:H407),“”,H215:H407))</f>
        <v>16.73928571428571</v>
      </c>
      <c r="I408" s="146">
        <f t="array" ref="I408">SUM(IF(ISERROR(I215:I407),“”,I215:I407))</f>
        <v>574.05166666666673</v>
      </c>
      <c r="J408" s="146">
        <f t="array" ref="J408">SUM(IF(ISERROR(J215:J407),“”,J215:J407))</f>
        <v>5490</v>
      </c>
      <c r="K408" s="14">
        <f>+SUM('1:30'!K408)</f>
        <v>272721.85699999996</v>
      </c>
      <c r="L408" s="14">
        <f>+SUM('1:30'!L408)</f>
        <v>265535.7010238095</v>
      </c>
      <c r="M408" s="146"/>
      <c r="N408" s="146"/>
      <c r="O408" s="146">
        <f t="array" ref="O408">SUM(IF(ISERROR(O215:O407),“”,O215:O407))</f>
        <v>17.5</v>
      </c>
      <c r="P408" s="14">
        <f>+SUM('1:30'!P408)</f>
        <v>3790.0283999641865</v>
      </c>
      <c r="Q408" s="146"/>
      <c r="R408" s="14">
        <f>+SUM('1:30'!R408)</f>
        <v>4277.7</v>
      </c>
      <c r="S408" s="146">
        <f t="array" ref="S408">SUM(IF(ISERROR(S215:S407),“”,S215:S407))</f>
        <v>2381.7264148506279</v>
      </c>
      <c r="T408" s="146"/>
      <c r="U408" s="146"/>
      <c r="V408" s="143">
        <f t="array" ref="V408">IF(ISERROR(L408/K408),"",L408/K408)</f>
        <v>0.97365023817584795</v>
      </c>
      <c r="W408" s="146">
        <f t="array" ref="W408">SUM(IF(ISERROR(W215:W407),“”,W215:W407))</f>
        <v>2.5</v>
      </c>
      <c r="X408" s="146">
        <f t="array" ref="X408">SUM(IF(ISERROR(X215:X407),“”,X215:X407))</f>
        <v>31.61666666666666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33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0.88599677395894683</v>
      </c>
      <c r="P409" s="274"/>
      <c r="Q409" s="274"/>
      <c r="R409" s="275"/>
      <c r="S409" s="44"/>
      <c r="T409" s="45"/>
      <c r="U409" s="45"/>
      <c r="V409" s="45"/>
      <c r="W409" s="276">
        <f>SUM(W408:AC408)</f>
        <v>67.11666666666666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360">
        <f>+SUM('1:30'!E411)</f>
        <v>1346</v>
      </c>
      <c r="F411" s="360"/>
      <c r="G411" s="360">
        <f>+SUM('1:30'!G411)</f>
        <v>1346</v>
      </c>
      <c r="H411" s="360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360">
        <f>+SUM('1:30'!E412)</f>
        <v>46655.3</v>
      </c>
      <c r="F412" s="360"/>
      <c r="G412" s="360">
        <f>+SUM('1:30'!G412)</f>
        <v>100470.70000000001</v>
      </c>
      <c r="H412" s="360"/>
      <c r="I412" s="279">
        <f>G412-E412</f>
        <v>53815.400000000009</v>
      </c>
      <c r="J412" s="279"/>
      <c r="K412" s="281">
        <f t="array" ref="K412">IF(ISERROR(I412/E412),"",I412/E412)</f>
        <v>1.1534680947287876</v>
      </c>
      <c r="L412" s="281"/>
      <c r="M412" s="266"/>
      <c r="N412" s="267"/>
      <c r="O412" s="321"/>
      <c r="P412" s="321"/>
      <c r="Q412" s="283" t="s">
        <v>193</v>
      </c>
      <c r="R412" s="283"/>
      <c r="S412" s="360">
        <f>+SUM('1:30'!S412)</f>
        <v>236</v>
      </c>
      <c r="T412" s="360"/>
      <c r="U412" s="360">
        <f>+SUM('1:30'!U412)</f>
        <v>260</v>
      </c>
      <c r="V412" s="360"/>
      <c r="W412" s="283">
        <f>S412*9</f>
        <v>2124</v>
      </c>
      <c r="X412" s="283"/>
      <c r="Y412" s="283">
        <f>U412*9</f>
        <v>2340</v>
      </c>
      <c r="Z412" s="283"/>
      <c r="AA412" s="283">
        <f t="shared" ref="AA412:AA419" si="59">Y412-W412</f>
        <v>216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360">
        <f>+SUM('1:30'!E413)</f>
        <v>8864</v>
      </c>
      <c r="F413" s="360"/>
      <c r="G413" s="360">
        <f>+SUM('1:30'!G413)</f>
        <v>8238</v>
      </c>
      <c r="H413" s="360"/>
      <c r="I413" s="279">
        <f>G413-E413</f>
        <v>-626</v>
      </c>
      <c r="J413" s="279"/>
      <c r="K413" s="281">
        <f t="array" ref="K413">IF(ISERROR(I413/E413),"",I413/E413)</f>
        <v>-7.0622743682310474E-2</v>
      </c>
      <c r="L413" s="281"/>
      <c r="M413" s="266"/>
      <c r="N413" s="267"/>
      <c r="O413" s="321"/>
      <c r="P413" s="321"/>
      <c r="Q413" s="283" t="s">
        <v>195</v>
      </c>
      <c r="R413" s="283"/>
      <c r="S413" s="360">
        <f>+SUM('1:30'!S413)</f>
        <v>47</v>
      </c>
      <c r="T413" s="360"/>
      <c r="U413" s="360">
        <f>+SUM('1:30'!U413)</f>
        <v>63</v>
      </c>
      <c r="V413" s="360"/>
      <c r="W413" s="283">
        <f t="shared" ref="W413:W418" si="60">S413*9</f>
        <v>423</v>
      </c>
      <c r="X413" s="283"/>
      <c r="Y413" s="283">
        <f t="shared" ref="Y413:Y418" si="61">U413*9</f>
        <v>567</v>
      </c>
      <c r="Z413" s="283"/>
      <c r="AA413" s="283">
        <f t="shared" si="59"/>
        <v>144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60">
        <f>+SUM('1:30'!S414)</f>
        <v>9.75</v>
      </c>
      <c r="T414" s="360"/>
      <c r="U414" s="360">
        <f>+SUM('1:30'!U414)</f>
        <v>9</v>
      </c>
      <c r="V414" s="360"/>
      <c r="W414" s="283">
        <f t="shared" si="60"/>
        <v>87.75</v>
      </c>
      <c r="X414" s="283"/>
      <c r="Y414" s="283">
        <f t="shared" si="61"/>
        <v>81</v>
      </c>
      <c r="Z414" s="283"/>
      <c r="AA414" s="283">
        <f t="shared" si="59"/>
        <v>-6.75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44">
        <v>5</v>
      </c>
      <c r="G415" s="360">
        <f>+SUM('1:30'!G415)</f>
        <v>1949923</v>
      </c>
      <c r="H415" s="360"/>
      <c r="I415" s="360">
        <f>+SUM('1:30'!I415)</f>
        <v>1948501</v>
      </c>
      <c r="J415" s="360"/>
      <c r="K415" s="289">
        <f>G415-I415</f>
        <v>1422</v>
      </c>
      <c r="L415" s="289"/>
      <c r="M415" s="290">
        <f t="array" ref="M415">IF(ISERROR(K415/L408),"",K415/(L408/1000))</f>
        <v>5.3552121033717235</v>
      </c>
      <c r="N415" s="290"/>
      <c r="O415" s="321"/>
      <c r="P415" s="321"/>
      <c r="Q415" s="283" t="s">
        <v>205</v>
      </c>
      <c r="R415" s="283"/>
      <c r="S415" s="360">
        <f>+SUM('1:30'!S415)</f>
        <v>9.75</v>
      </c>
      <c r="T415" s="360"/>
      <c r="U415" s="360">
        <f>+SUM('1:30'!U415)</f>
        <v>9</v>
      </c>
      <c r="V415" s="360"/>
      <c r="W415" s="283">
        <f t="shared" si="60"/>
        <v>87.75</v>
      </c>
      <c r="X415" s="283"/>
      <c r="Y415" s="283">
        <f t="shared" si="61"/>
        <v>81</v>
      </c>
      <c r="Z415" s="283"/>
      <c r="AA415" s="283">
        <f t="shared" si="59"/>
        <v>-6.75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44">
        <v>105</v>
      </c>
      <c r="G416" s="360">
        <f>+SUM('1:30'!G416)</f>
        <v>79655784</v>
      </c>
      <c r="H416" s="360"/>
      <c r="I416" s="360">
        <f>+SUM('1:30'!I416)</f>
        <v>79635996</v>
      </c>
      <c r="J416" s="360"/>
      <c r="K416" s="289">
        <f>G416-I416</f>
        <v>19788</v>
      </c>
      <c r="L416" s="289"/>
      <c r="M416" s="290">
        <f t="array" ref="M416">IF(ISERROR(K416/L408),"",K416/(L408/1000))</f>
        <v>74.5210528140082</v>
      </c>
      <c r="N416" s="290"/>
      <c r="O416" s="321"/>
      <c r="P416" s="321"/>
      <c r="Q416" s="283" t="s">
        <v>208</v>
      </c>
      <c r="R416" s="283"/>
      <c r="S416" s="360">
        <f>+SUM('1:30'!S416)</f>
        <v>19.5</v>
      </c>
      <c r="T416" s="360"/>
      <c r="U416" s="360">
        <f>+SUM('1:30'!U416)</f>
        <v>12</v>
      </c>
      <c r="V416" s="360"/>
      <c r="W416" s="283">
        <f t="shared" si="60"/>
        <v>175.5</v>
      </c>
      <c r="X416" s="283"/>
      <c r="Y416" s="283">
        <f t="shared" si="61"/>
        <v>108</v>
      </c>
      <c r="Z416" s="283"/>
      <c r="AA416" s="283">
        <f t="shared" si="59"/>
        <v>-67.5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44">
        <v>0.55000000000000004</v>
      </c>
      <c r="G417" s="360">
        <f>+SUM('1:30'!G417)</f>
        <v>354796</v>
      </c>
      <c r="H417" s="360"/>
      <c r="I417" s="360">
        <f>+SUM('1:30'!I417)</f>
        <v>354615</v>
      </c>
      <c r="J417" s="360"/>
      <c r="K417" s="289">
        <f>G417-I417</f>
        <v>181</v>
      </c>
      <c r="L417" s="289"/>
      <c r="M417" s="293">
        <f t="array" ref="M417">IF(ISERROR(K417/L408),"",K417/(L408/1000))</f>
        <v>0.68164092173718838</v>
      </c>
      <c r="N417" s="293"/>
      <c r="O417" s="321"/>
      <c r="P417" s="321"/>
      <c r="Q417" s="283" t="s">
        <v>211</v>
      </c>
      <c r="R417" s="283"/>
      <c r="S417" s="360">
        <f>+SUM('1:30'!S417)</f>
        <v>13</v>
      </c>
      <c r="T417" s="360"/>
      <c r="U417" s="360">
        <f>+SUM('1:30'!U417)</f>
        <v>13</v>
      </c>
      <c r="V417" s="360"/>
      <c r="W417" s="283">
        <f t="shared" si="60"/>
        <v>117</v>
      </c>
      <c r="X417" s="283"/>
      <c r="Y417" s="283">
        <f t="shared" si="61"/>
        <v>117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60">
        <f>+SUM('1:30'!K418)</f>
        <v>39.619999999999997</v>
      </c>
      <c r="L418" s="360"/>
      <c r="M418" s="294">
        <f t="array" ref="M418">IF(ISERROR((K418+K419)/L408),"",((K418+K419)*1000)/(L408/1000))</f>
        <v>149.20780839352159</v>
      </c>
      <c r="N418" s="295"/>
      <c r="O418" s="321"/>
      <c r="P418" s="321"/>
      <c r="Q418" s="283" t="s">
        <v>214</v>
      </c>
      <c r="R418" s="283"/>
      <c r="S418" s="360">
        <f>+SUM('1:30'!S418)</f>
        <v>39</v>
      </c>
      <c r="T418" s="360"/>
      <c r="U418" s="360">
        <f>+SUM('1:30'!U418)</f>
        <v>61</v>
      </c>
      <c r="V418" s="360"/>
      <c r="W418" s="283">
        <f t="shared" si="60"/>
        <v>351</v>
      </c>
      <c r="X418" s="283"/>
      <c r="Y418" s="283">
        <f t="shared" si="61"/>
        <v>549</v>
      </c>
      <c r="Z418" s="283"/>
      <c r="AA418" s="283">
        <f t="shared" si="59"/>
        <v>198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60">
        <f>+SUM('1:30'!K419)</f>
        <v>0</v>
      </c>
      <c r="L419" s="360"/>
      <c r="M419" s="296"/>
      <c r="N419" s="297"/>
      <c r="O419" s="321"/>
      <c r="P419" s="321"/>
      <c r="Q419" s="283" t="s">
        <v>216</v>
      </c>
      <c r="R419" s="283"/>
      <c r="S419" s="284">
        <f>SUM(S412:T418)</f>
        <v>374</v>
      </c>
      <c r="T419" s="284"/>
      <c r="U419" s="284">
        <f>SUM(U412:V418)</f>
        <v>427</v>
      </c>
      <c r="V419" s="284"/>
      <c r="W419" s="360">
        <f>+SUM('1:30'!W419)</f>
        <v>3873.5</v>
      </c>
      <c r="X419" s="360"/>
      <c r="Y419" s="360">
        <f>+SUM('1:30'!Y419)</f>
        <v>4423</v>
      </c>
      <c r="Z419" s="360"/>
      <c r="AA419" s="283">
        <f t="shared" si="59"/>
        <v>549.5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4.568399798081777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60.035202582819238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526693.04209999996</v>
      </c>
      <c r="D423" s="337"/>
      <c r="E423" s="333" t="s">
        <v>226</v>
      </c>
      <c r="F423" s="333"/>
      <c r="G423" s="333">
        <f>L199+L408</f>
        <v>510961.71819047618</v>
      </c>
      <c r="H423" s="333"/>
      <c r="I423" s="340" t="s">
        <v>227</v>
      </c>
      <c r="J423" s="340"/>
      <c r="K423" s="339">
        <f>IF(ISERROR(G423/C423),"",G423/C423)</f>
        <v>0.97013189343303119</v>
      </c>
      <c r="L423" s="339"/>
      <c r="M423" s="333" t="s">
        <v>228</v>
      </c>
      <c r="N423" s="333"/>
      <c r="O423" s="334">
        <f>IF(ISERROR(G423/G424),"",G423/G424)</f>
        <v>56.47109018263037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7530.1428639854767</v>
      </c>
      <c r="D424" s="337"/>
      <c r="E424" s="338" t="s">
        <v>18</v>
      </c>
      <c r="F424" s="338"/>
      <c r="G424" s="333">
        <f>R199+R408</f>
        <v>9048.2000000000007</v>
      </c>
      <c r="H424" s="333"/>
      <c r="I424" s="313" t="s">
        <v>176</v>
      </c>
      <c r="J424" s="313"/>
      <c r="K424" s="339">
        <f>IF(ISERROR(C424/G424),"",C424/G424)</f>
        <v>0.83222551048666871</v>
      </c>
      <c r="L424" s="339"/>
      <c r="M424" s="279" t="s">
        <v>230</v>
      </c>
      <c r="N424" s="279"/>
      <c r="O424" s="333">
        <f>W200+W409</f>
        <v>120.61666666666666</v>
      </c>
      <c r="P424" s="279"/>
      <c r="Q424" s="279" t="s">
        <v>231</v>
      </c>
      <c r="R424" s="279"/>
      <c r="S424" s="339">
        <f t="array" ref="S424">IF(ISERROR(O424/G424),"",O424/G424)</f>
        <v>1.3330459833631734E-2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2648</v>
      </c>
      <c r="D426" s="337"/>
      <c r="E426" s="333" t="s">
        <v>234</v>
      </c>
      <c r="F426" s="333"/>
      <c r="G426" s="293">
        <f t="array" ref="G426">IF(ISERROR(C426/G423),"",C426/(G423/1000))</f>
        <v>5.1823843269074006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38424</v>
      </c>
      <c r="D427" s="337"/>
      <c r="E427" s="333" t="s">
        <v>236</v>
      </c>
      <c r="F427" s="333"/>
      <c r="G427" s="293">
        <f>IF(ISERROR(C427/G423),"",C427/(G423/1000))</f>
        <v>75.199371365970535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373</v>
      </c>
      <c r="D428" s="337"/>
      <c r="E428" s="333" t="s">
        <v>238</v>
      </c>
      <c r="F428" s="333"/>
      <c r="G428" s="293">
        <f>IF(ISERROR(C428/G423),"",C428/(G423/1000))</f>
        <v>0.72999597958325546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83.51</v>
      </c>
      <c r="D429" s="337"/>
      <c r="E429" s="333" t="s">
        <v>240</v>
      </c>
      <c r="F429" s="333"/>
      <c r="G429" s="341">
        <f>IF(ISERROR(C429/G423),"",C429/(G423/1000))</f>
        <v>0.16343690148792941</v>
      </c>
      <c r="H429" s="341"/>
      <c r="I429" s="333" t="s">
        <v>241</v>
      </c>
      <c r="J429" s="333"/>
      <c r="K429" s="342">
        <f>IF(ISERROR(C428/C429),"",C428/C429)</f>
        <v>4.4665309543767213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2622.5</v>
      </c>
      <c r="D432" s="346"/>
      <c r="E432" s="333" t="s">
        <v>247</v>
      </c>
      <c r="F432" s="351"/>
      <c r="G432" s="347">
        <f>+G411+G202</f>
        <v>2622.5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91433</v>
      </c>
      <c r="D433" s="346"/>
      <c r="E433" s="333" t="s">
        <v>251</v>
      </c>
      <c r="F433" s="333"/>
      <c r="G433" s="347">
        <f>+G412+G203</f>
        <v>148041.90000000002</v>
      </c>
      <c r="H433" s="348"/>
      <c r="I433" s="333" t="s">
        <v>252</v>
      </c>
      <c r="J433" s="333"/>
      <c r="K433" s="315">
        <f>G433-C433</f>
        <v>56608.900000000023</v>
      </c>
      <c r="L433" s="317"/>
      <c r="M433" s="349" t="s">
        <v>253</v>
      </c>
      <c r="N433" s="350"/>
      <c r="O433" s="343">
        <f t="array" ref="O433">IF(ISERROR(K433/C433),"",K433/C433)</f>
        <v>0.61912985464766579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21721</v>
      </c>
      <c r="D434" s="346"/>
      <c r="E434" s="333" t="s">
        <v>255</v>
      </c>
      <c r="F434" s="351"/>
      <c r="G434" s="347">
        <f>+G413+G204</f>
        <v>21230</v>
      </c>
      <c r="H434" s="348"/>
      <c r="I434" s="333" t="s">
        <v>256</v>
      </c>
      <c r="J434" s="351"/>
      <c r="K434" s="315">
        <f>G434-C434</f>
        <v>-491</v>
      </c>
      <c r="L434" s="317"/>
      <c r="M434" s="349" t="s">
        <v>257</v>
      </c>
      <c r="N434" s="350"/>
      <c r="O434" s="343">
        <f t="array" ref="O434">IF(ISERROR(K434/C434),"",K434/C434)</f>
        <v>-2.260485244694075E-2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35"/>
      <c r="E437" s="135"/>
      <c r="F437" s="135"/>
      <c r="G437" s="135"/>
      <c r="H437" s="136"/>
      <c r="I437" s="136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40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35"/>
      <c r="E438" s="135"/>
      <c r="F438" s="135"/>
      <c r="G438" s="135"/>
      <c r="H438" s="136"/>
      <c r="I438" s="136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40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35"/>
      <c r="E439" s="135"/>
      <c r="F439" s="135"/>
      <c r="G439" s="135"/>
      <c r="H439" s="136"/>
      <c r="I439" s="136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40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35"/>
      <c r="E440" s="135"/>
      <c r="F440" s="135"/>
      <c r="G440" s="135"/>
      <c r="H440" s="136"/>
      <c r="I440" s="136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40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35"/>
      <c r="E441" s="135"/>
      <c r="F441" s="135"/>
      <c r="G441" s="135"/>
      <c r="H441" s="136"/>
      <c r="I441" s="136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40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40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40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40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40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40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40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40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40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40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35"/>
      <c r="E451" s="135"/>
      <c r="F451" s="135"/>
      <c r="G451" s="135"/>
      <c r="H451" s="136"/>
      <c r="I451" s="83"/>
      <c r="J451" s="83">
        <f t="shared" si="63"/>
        <v>0</v>
      </c>
      <c r="K451" s="136"/>
      <c r="L451" s="136"/>
      <c r="M451" s="136"/>
      <c r="N451" s="136"/>
      <c r="O451" s="136"/>
      <c r="P451" s="151"/>
      <c r="Q451" s="83">
        <f t="shared" si="64"/>
        <v>0</v>
      </c>
      <c r="R451" s="140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49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1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  <pageSetup paperSize="9" orientation="portrait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2"/>
  <dimension ref="A1"/>
  <sheetViews>
    <sheetView workbookViewId="0"/>
  </sheetViews>
  <sheetFormatPr defaultColWidth="9" defaultRowHeight="13.5"/>
  <sheetData/>
  <phoneticPr fontId="17" type="noConversion"/>
  <pageMargins left="0.69930555555555596" right="0.69930555555555596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3"/>
  <dimension ref="A1"/>
  <sheetViews>
    <sheetView workbookViewId="0"/>
  </sheetViews>
  <sheetFormatPr defaultColWidth="9" defaultRowHeight="13.5"/>
  <sheetData/>
  <phoneticPr fontId="17" type="noConversion"/>
  <pageMargins left="0.75" right="0.75" top="1" bottom="1" header="0.51180555555555596" footer="0.51180555555555596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8"/>
  <dimension ref="A1:AC454"/>
  <sheetViews>
    <sheetView workbookViewId="0">
      <pane xSplit="5" ySplit="73" topLeftCell="F410" activePane="bottomRight" state="frozen"/>
      <selection pane="topRight" activeCell="F1" sqref="F1"/>
      <selection pane="bottomLeft" activeCell="A74" sqref="A74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35" t="s">
        <v>25</v>
      </c>
      <c r="S5" s="249"/>
      <c r="T5" s="251"/>
      <c r="U5" s="251"/>
      <c r="V5" s="25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61" t="s">
        <v>34</v>
      </c>
      <c r="D6" s="26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61" t="s">
        <v>34</v>
      </c>
      <c r="D7" s="26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61" t="s">
        <v>34</v>
      </c>
      <c r="D8" s="26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61" t="s">
        <v>34</v>
      </c>
      <c r="D9" s="26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48" t="s">
        <v>34</v>
      </c>
      <c r="D10" s="24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48" t="s">
        <v>34</v>
      </c>
      <c r="D11" s="24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48" t="s">
        <v>34</v>
      </c>
      <c r="D12" s="24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48" t="s">
        <v>34</v>
      </c>
      <c r="D13" s="24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59" t="s">
        <v>313</v>
      </c>
      <c r="D14" s="26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59" t="s">
        <v>313</v>
      </c>
      <c r="D15" s="26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59" t="s">
        <v>44</v>
      </c>
      <c r="D16" s="26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59" t="s">
        <v>44</v>
      </c>
      <c r="D17" s="26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59" t="s">
        <v>44</v>
      </c>
      <c r="D18" s="26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48" t="s">
        <v>45</v>
      </c>
      <c r="D19" s="24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48" t="s">
        <v>46</v>
      </c>
      <c r="D20" s="24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48" t="s">
        <v>48</v>
      </c>
      <c r="D21" s="24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48" t="s">
        <v>50</v>
      </c>
      <c r="D22" s="24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48" t="s">
        <v>50</v>
      </c>
      <c r="D23" s="24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48" t="s">
        <v>50</v>
      </c>
      <c r="D24" s="24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48" t="s">
        <v>51</v>
      </c>
      <c r="D25" s="248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48" t="s">
        <v>51</v>
      </c>
      <c r="D26" s="248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48" t="s">
        <v>51</v>
      </c>
      <c r="D27" s="248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48" t="s">
        <v>51</v>
      </c>
      <c r="D28" s="248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48" t="s">
        <v>53</v>
      </c>
      <c r="D30" s="248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48" t="s">
        <v>53</v>
      </c>
      <c r="D31" s="248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48" t="s">
        <v>53</v>
      </c>
      <c r="D32" s="248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48" t="s">
        <v>56</v>
      </c>
      <c r="D33" s="248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48" t="s">
        <v>56</v>
      </c>
      <c r="D34" s="248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48" t="s">
        <v>56</v>
      </c>
      <c r="D35" s="248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48" t="s">
        <v>56</v>
      </c>
      <c r="D36" s="248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48" t="s">
        <v>58</v>
      </c>
      <c r="D37" s="248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59" t="s">
        <v>304</v>
      </c>
      <c r="D38" s="260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59" t="s">
        <v>304</v>
      </c>
      <c r="D39" s="260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59" t="s">
        <v>304</v>
      </c>
      <c r="D40" s="260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48" t="s">
        <v>61</v>
      </c>
      <c r="D41" s="248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48" t="s">
        <v>61</v>
      </c>
      <c r="D42" s="248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48" t="s">
        <v>61</v>
      </c>
      <c r="D43" s="248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48" t="s">
        <v>64</v>
      </c>
      <c r="D44" s="248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48" t="s">
        <v>64</v>
      </c>
      <c r="D45" s="248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59" t="s">
        <v>68</v>
      </c>
      <c r="D46" s="260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59" t="s">
        <v>68</v>
      </c>
      <c r="D47" s="260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59" t="s">
        <v>68</v>
      </c>
      <c r="D48" s="260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59" t="s">
        <v>68</v>
      </c>
      <c r="D49" s="260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48" t="s">
        <v>73</v>
      </c>
      <c r="D50" s="248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48" t="s">
        <v>73</v>
      </c>
      <c r="D51" s="248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48" t="s">
        <v>73</v>
      </c>
      <c r="D52" s="248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48" t="s">
        <v>73</v>
      </c>
      <c r="D53" s="248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48" t="s">
        <v>75</v>
      </c>
      <c r="D54" s="248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48" t="s">
        <v>75</v>
      </c>
      <c r="D55" s="248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48" t="s">
        <v>75</v>
      </c>
      <c r="D56" s="248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48" t="s">
        <v>77</v>
      </c>
      <c r="D58" s="248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48" t="s">
        <v>77</v>
      </c>
      <c r="D59" s="248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59" t="s">
        <v>301</v>
      </c>
      <c r="D60" s="260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59" t="s">
        <v>301</v>
      </c>
      <c r="D61" s="260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48" t="s">
        <v>81</v>
      </c>
      <c r="D62" s="248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48" t="s">
        <v>81</v>
      </c>
      <c r="D63" s="248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59" t="s">
        <v>83</v>
      </c>
      <c r="D64" s="260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59" t="s">
        <v>83</v>
      </c>
      <c r="D65" s="260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59" t="s">
        <v>83</v>
      </c>
      <c r="D66" s="260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59" t="s">
        <v>86</v>
      </c>
      <c r="D67" s="260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59" t="s">
        <v>86</v>
      </c>
      <c r="D68" s="260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59" t="s">
        <v>86</v>
      </c>
      <c r="D69" s="260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48" t="s">
        <v>88</v>
      </c>
      <c r="D70" s="248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48" t="s">
        <v>88</v>
      </c>
      <c r="D71" s="248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48" t="s">
        <v>88</v>
      </c>
      <c r="D72" s="248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48" t="s">
        <v>88</v>
      </c>
      <c r="D73" s="248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customHeight="1">
      <c r="A74" s="142">
        <v>300389</v>
      </c>
      <c r="B74" s="135" t="s">
        <v>320</v>
      </c>
      <c r="C74" s="248" t="s">
        <v>316</v>
      </c>
      <c r="D74" s="248" t="s">
        <v>89</v>
      </c>
      <c r="E74" s="148" t="s">
        <v>35</v>
      </c>
      <c r="F74" s="27"/>
      <c r="G74" s="133">
        <v>2</v>
      </c>
      <c r="H74" s="133"/>
      <c r="I74" s="133">
        <v>2</v>
      </c>
      <c r="J74" s="133"/>
      <c r="K74" s="146">
        <f t="shared" si="0"/>
        <v>858.8</v>
      </c>
      <c r="L74" s="146">
        <f t="shared" si="1"/>
        <v>858.8</v>
      </c>
      <c r="M74" s="146">
        <v>429.4</v>
      </c>
      <c r="N74" s="146">
        <f>+M74*1000/(47*1*110*60)*T74</f>
        <v>5.5370728562217923</v>
      </c>
      <c r="O74" s="146">
        <v>0.5</v>
      </c>
      <c r="P74" s="146">
        <f t="shared" si="2"/>
        <v>13.574145712443585</v>
      </c>
      <c r="Q74" s="146">
        <v>1.5</v>
      </c>
      <c r="R74" s="19">
        <f t="shared" si="3"/>
        <v>7.5</v>
      </c>
      <c r="S74" s="146">
        <f t="shared" si="4"/>
        <v>-6.0741457124435847</v>
      </c>
      <c r="T74" s="20">
        <v>4</v>
      </c>
      <c r="U74" s="20">
        <v>5</v>
      </c>
      <c r="V74" s="143">
        <f t="array" ref="V74">IF(ISERROR(L74/K74),"",L74/K74)</f>
        <v>1</v>
      </c>
      <c r="W74" s="20"/>
      <c r="X74" s="20"/>
      <c r="Y74" s="20"/>
      <c r="Z74" s="20"/>
      <c r="AA74" s="20"/>
      <c r="AB74" s="20"/>
      <c r="AC74" s="20"/>
    </row>
    <row r="75" spans="1:29" ht="21.95" customHeight="1">
      <c r="A75" s="142">
        <v>300058</v>
      </c>
      <c r="B75" s="135" t="s">
        <v>320</v>
      </c>
      <c r="C75" s="248" t="s">
        <v>316</v>
      </c>
      <c r="D75" s="248" t="s">
        <v>89</v>
      </c>
      <c r="E75" s="148" t="s">
        <v>42</v>
      </c>
      <c r="F75" s="13"/>
      <c r="G75" s="133">
        <v>13</v>
      </c>
      <c r="H75" s="133"/>
      <c r="I75" s="133">
        <v>13</v>
      </c>
      <c r="J75" s="133"/>
      <c r="K75" s="146">
        <f t="shared" si="0"/>
        <v>5449.5999999999995</v>
      </c>
      <c r="L75" s="146">
        <f t="shared" si="1"/>
        <v>5449.5999999999995</v>
      </c>
      <c r="M75" s="146">
        <v>419.2</v>
      </c>
      <c r="N75" s="146">
        <f>+M75*1000/(51.5*1*110*60)*T75</f>
        <v>4.9332156516622536</v>
      </c>
      <c r="O75" s="146">
        <v>0.5</v>
      </c>
      <c r="P75" s="146">
        <f t="shared" si="2"/>
        <v>66.631803471609302</v>
      </c>
      <c r="Q75" s="146">
        <v>7</v>
      </c>
      <c r="R75" s="19">
        <f t="shared" si="3"/>
        <v>35</v>
      </c>
      <c r="S75" s="146">
        <f t="shared" si="4"/>
        <v>-31.631803471609302</v>
      </c>
      <c r="T75" s="20">
        <v>4</v>
      </c>
      <c r="U75" s="20">
        <v>5</v>
      </c>
      <c r="V75" s="143">
        <f t="array" ref="V75">IF(ISERROR(L75/K75),"",L75/K75)</f>
        <v>1</v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48" t="s">
        <v>317</v>
      </c>
      <c r="D76" s="248" t="s">
        <v>96</v>
      </c>
      <c r="E76" s="148" t="s">
        <v>41</v>
      </c>
      <c r="F76" s="13"/>
      <c r="G76" s="133"/>
      <c r="H76" s="133"/>
      <c r="I76" s="133"/>
      <c r="J76" s="133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48" t="s">
        <v>317</v>
      </c>
      <c r="D77" s="248" t="s">
        <v>96</v>
      </c>
      <c r="E77" s="148" t="s">
        <v>35</v>
      </c>
      <c r="F77" s="13"/>
      <c r="G77" s="133"/>
      <c r="H77" s="133"/>
      <c r="I77" s="133"/>
      <c r="J77" s="133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42">
        <v>300060</v>
      </c>
      <c r="B78" s="135" t="s">
        <v>87</v>
      </c>
      <c r="C78" s="248" t="s">
        <v>317</v>
      </c>
      <c r="D78" s="248" t="s">
        <v>96</v>
      </c>
      <c r="E78" s="148" t="s">
        <v>57</v>
      </c>
      <c r="F78" s="13"/>
      <c r="G78" s="133"/>
      <c r="H78" s="133"/>
      <c r="I78" s="133"/>
      <c r="J78" s="133"/>
      <c r="K78" s="146">
        <f t="shared" si="7"/>
        <v>0</v>
      </c>
      <c r="L78" s="146">
        <f t="shared" si="8"/>
        <v>0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0</v>
      </c>
      <c r="Q78" s="146"/>
      <c r="R78" s="19">
        <f t="shared" si="10"/>
        <v>0</v>
      </c>
      <c r="S78" s="146">
        <f t="shared" si="11"/>
        <v>0</v>
      </c>
      <c r="T78" s="20">
        <v>4</v>
      </c>
      <c r="U78" s="20"/>
      <c r="V78" s="143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48" t="s">
        <v>98</v>
      </c>
      <c r="D79" s="248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48" t="s">
        <v>98</v>
      </c>
      <c r="D80" s="248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48" t="s">
        <v>98</v>
      </c>
      <c r="D81" s="248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48" t="s">
        <v>98</v>
      </c>
      <c r="D82" s="248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48" t="s">
        <v>100</v>
      </c>
      <c r="D84" s="248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48" t="s">
        <v>100</v>
      </c>
      <c r="D85" s="248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48" t="s">
        <v>100</v>
      </c>
      <c r="D86" s="248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48" t="s">
        <v>100</v>
      </c>
      <c r="D87" s="248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48" t="s">
        <v>106</v>
      </c>
      <c r="D88" s="248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48" t="s">
        <v>106</v>
      </c>
      <c r="D89" s="248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48" t="s">
        <v>106</v>
      </c>
      <c r="D90" s="248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48" t="s">
        <v>106</v>
      </c>
      <c r="D91" s="248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48" t="s">
        <v>107</v>
      </c>
      <c r="D92" s="248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48" t="s">
        <v>107</v>
      </c>
      <c r="D93" s="248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48" t="s">
        <v>107</v>
      </c>
      <c r="D94" s="248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48" t="s">
        <v>107</v>
      </c>
      <c r="D95" s="248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48" t="s">
        <v>107</v>
      </c>
      <c r="D96" s="248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48" t="s">
        <v>318</v>
      </c>
      <c r="D98" s="248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42">
        <v>300089</v>
      </c>
      <c r="B99" s="135" t="s">
        <v>320</v>
      </c>
      <c r="C99" s="248" t="s">
        <v>318</v>
      </c>
      <c r="D99" s="248" t="s">
        <v>96</v>
      </c>
      <c r="E99" s="148" t="s">
        <v>42</v>
      </c>
      <c r="F99" s="13"/>
      <c r="G99" s="133">
        <v>4</v>
      </c>
      <c r="H99" s="133">
        <v>0.875</v>
      </c>
      <c r="I99" s="133">
        <f>3+H99</f>
        <v>3.875</v>
      </c>
      <c r="J99" s="133"/>
      <c r="K99" s="146">
        <f t="shared" si="7"/>
        <v>2474.4</v>
      </c>
      <c r="L99" s="146">
        <f t="shared" si="8"/>
        <v>2397.0750000000003</v>
      </c>
      <c r="M99" s="146">
        <v>618.6</v>
      </c>
      <c r="N99" s="146">
        <f>+M99*1000/(124*1*80*60)*T99</f>
        <v>4.157258064516129</v>
      </c>
      <c r="O99" s="146"/>
      <c r="P99" s="146">
        <f t="shared" si="9"/>
        <v>16.109375</v>
      </c>
      <c r="Q99" s="146">
        <v>2.5</v>
      </c>
      <c r="R99" s="19">
        <f t="shared" si="10"/>
        <v>12.5</v>
      </c>
      <c r="S99" s="146">
        <f t="shared" si="11"/>
        <v>-3.609375</v>
      </c>
      <c r="T99" s="20">
        <v>4</v>
      </c>
      <c r="U99" s="20">
        <v>5</v>
      </c>
      <c r="V99" s="143">
        <f t="array" ref="V99">IF(ISERROR(L99/K99),"",L99/K99)</f>
        <v>0.96875000000000011</v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48" t="s">
        <v>112</v>
      </c>
      <c r="D100" s="248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42">
        <v>300129</v>
      </c>
      <c r="B101" s="135" t="s">
        <v>87</v>
      </c>
      <c r="C101" s="248" t="s">
        <v>112</v>
      </c>
      <c r="D101" s="248" t="s">
        <v>113</v>
      </c>
      <c r="E101" s="148" t="s">
        <v>41</v>
      </c>
      <c r="F101" s="13"/>
      <c r="G101" s="133"/>
      <c r="H101" s="133"/>
      <c r="I101" s="133"/>
      <c r="J101" s="133"/>
      <c r="K101" s="146">
        <f t="shared" si="7"/>
        <v>0</v>
      </c>
      <c r="L101" s="146">
        <f t="shared" si="8"/>
        <v>0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0</v>
      </c>
      <c r="Q101" s="146"/>
      <c r="R101" s="19">
        <f t="shared" si="10"/>
        <v>0</v>
      </c>
      <c r="S101" s="146">
        <f t="shared" si="11"/>
        <v>0</v>
      </c>
      <c r="T101" s="20">
        <v>4</v>
      </c>
      <c r="U101" s="20"/>
      <c r="V101" s="143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48" t="s">
        <v>112</v>
      </c>
      <c r="D102" s="248" t="s">
        <v>113</v>
      </c>
      <c r="E102" s="148" t="s">
        <v>37</v>
      </c>
      <c r="F102" s="13"/>
      <c r="G102" s="133"/>
      <c r="H102" s="133"/>
      <c r="I102" s="133"/>
      <c r="J102" s="133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59" t="s">
        <v>296</v>
      </c>
      <c r="D103" s="260"/>
      <c r="E103" s="148" t="s">
        <v>297</v>
      </c>
      <c r="F103" s="13"/>
      <c r="G103" s="133"/>
      <c r="H103" s="133"/>
      <c r="I103" s="133"/>
      <c r="J103" s="133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59" t="s">
        <v>296</v>
      </c>
      <c r="D104" s="260"/>
      <c r="E104" s="148" t="s">
        <v>298</v>
      </c>
      <c r="F104" s="13"/>
      <c r="G104" s="133"/>
      <c r="H104" s="133"/>
      <c r="I104" s="133"/>
      <c r="J104" s="133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59" t="s">
        <v>296</v>
      </c>
      <c r="D105" s="260"/>
      <c r="E105" s="148" t="s">
        <v>299</v>
      </c>
      <c r="F105" s="13"/>
      <c r="G105" s="133"/>
      <c r="H105" s="133"/>
      <c r="I105" s="133"/>
      <c r="J105" s="133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62" t="s">
        <v>114</v>
      </c>
      <c r="D106" s="263"/>
      <c r="E106" s="24" t="s">
        <v>115</v>
      </c>
      <c r="F106" s="25"/>
      <c r="G106" s="133"/>
      <c r="H106" s="133"/>
      <c r="I106" s="133"/>
      <c r="J106" s="133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62" t="s">
        <v>114</v>
      </c>
      <c r="D107" s="263"/>
      <c r="E107" s="24" t="s">
        <v>117</v>
      </c>
      <c r="F107" s="25"/>
      <c r="G107" s="133"/>
      <c r="H107" s="133"/>
      <c r="I107" s="133"/>
      <c r="J107" s="133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62" t="s">
        <v>305</v>
      </c>
      <c r="D108" s="263"/>
      <c r="E108" s="24" t="s">
        <v>306</v>
      </c>
      <c r="F108" s="25"/>
      <c r="G108" s="133"/>
      <c r="H108" s="133"/>
      <c r="I108" s="133"/>
      <c r="J108" s="133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62" t="s">
        <v>305</v>
      </c>
      <c r="D109" s="263"/>
      <c r="E109" s="24" t="s">
        <v>307</v>
      </c>
      <c r="F109" s="25"/>
      <c r="G109" s="133"/>
      <c r="H109" s="133"/>
      <c r="I109" s="133"/>
      <c r="J109" s="133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62" t="s">
        <v>305</v>
      </c>
      <c r="D110" s="263"/>
      <c r="E110" s="125" t="s">
        <v>308</v>
      </c>
      <c r="F110" s="25"/>
      <c r="G110" s="133"/>
      <c r="H110" s="133"/>
      <c r="I110" s="133"/>
      <c r="J110" s="133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48" t="s">
        <v>119</v>
      </c>
      <c r="D111" s="248" t="s">
        <v>120</v>
      </c>
      <c r="E111" s="148" t="s">
        <v>54</v>
      </c>
      <c r="F111" s="13"/>
      <c r="G111" s="133"/>
      <c r="H111" s="133"/>
      <c r="I111" s="133"/>
      <c r="J111" s="133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48" t="s">
        <v>119</v>
      </c>
      <c r="D112" s="248" t="s">
        <v>120</v>
      </c>
      <c r="E112" s="148" t="s">
        <v>35</v>
      </c>
      <c r="F112" s="13"/>
      <c r="G112" s="133"/>
      <c r="H112" s="133"/>
      <c r="I112" s="133"/>
      <c r="J112" s="133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48" t="s">
        <v>121</v>
      </c>
      <c r="D113" s="248" t="s">
        <v>122</v>
      </c>
      <c r="E113" s="148" t="s">
        <v>37</v>
      </c>
      <c r="F113" s="13"/>
      <c r="G113" s="133"/>
      <c r="H113" s="133"/>
      <c r="I113" s="133"/>
      <c r="J113" s="133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48" t="s">
        <v>121</v>
      </c>
      <c r="D114" s="248" t="s">
        <v>122</v>
      </c>
      <c r="E114" s="148" t="s">
        <v>35</v>
      </c>
      <c r="F114" s="13"/>
      <c r="G114" s="133"/>
      <c r="H114" s="133"/>
      <c r="I114" s="133"/>
      <c r="J114" s="133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48" t="s">
        <v>121</v>
      </c>
      <c r="D115" s="248" t="s">
        <v>122</v>
      </c>
      <c r="E115" s="148" t="s">
        <v>63</v>
      </c>
      <c r="F115" s="13"/>
      <c r="G115" s="133"/>
      <c r="H115" s="133"/>
      <c r="I115" s="133"/>
      <c r="J115" s="133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48" t="s">
        <v>123</v>
      </c>
      <c r="D116" s="248"/>
      <c r="E116" s="148" t="s">
        <v>41</v>
      </c>
      <c r="F116" s="27"/>
      <c r="G116" s="133"/>
      <c r="H116" s="133"/>
      <c r="I116" s="133"/>
      <c r="J116" s="133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48" t="s">
        <v>125</v>
      </c>
      <c r="D117" s="248"/>
      <c r="E117" s="148" t="s">
        <v>126</v>
      </c>
      <c r="F117" s="27"/>
      <c r="G117" s="133"/>
      <c r="H117" s="133"/>
      <c r="I117" s="133"/>
      <c r="J117" s="133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48" t="s">
        <v>123</v>
      </c>
      <c r="D118" s="248"/>
      <c r="E118" s="148" t="s">
        <v>42</v>
      </c>
      <c r="F118" s="27"/>
      <c r="G118" s="133"/>
      <c r="H118" s="133"/>
      <c r="I118" s="133"/>
      <c r="J118" s="133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48" t="s">
        <v>123</v>
      </c>
      <c r="D119" s="248"/>
      <c r="E119" s="148" t="s">
        <v>74</v>
      </c>
      <c r="F119" s="27"/>
      <c r="G119" s="133"/>
      <c r="H119" s="133"/>
      <c r="I119" s="133"/>
      <c r="J119" s="133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48" t="s">
        <v>123</v>
      </c>
      <c r="D120" s="248"/>
      <c r="E120" s="148" t="s">
        <v>40</v>
      </c>
      <c r="F120" s="27"/>
      <c r="G120" s="133"/>
      <c r="H120" s="133"/>
      <c r="I120" s="133"/>
      <c r="J120" s="133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48" t="s">
        <v>127</v>
      </c>
      <c r="D121" s="248"/>
      <c r="E121" s="148" t="s">
        <v>74</v>
      </c>
      <c r="F121" s="27"/>
      <c r="G121" s="133"/>
      <c r="H121" s="133"/>
      <c r="I121" s="133"/>
      <c r="J121" s="133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48" t="s">
        <v>127</v>
      </c>
      <c r="D122" s="248"/>
      <c r="E122" s="148" t="s">
        <v>42</v>
      </c>
      <c r="F122" s="27"/>
      <c r="G122" s="133"/>
      <c r="H122" s="133"/>
      <c r="I122" s="133"/>
      <c r="J122" s="133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48" t="s">
        <v>127</v>
      </c>
      <c r="D123" s="248"/>
      <c r="E123" s="148" t="s">
        <v>41</v>
      </c>
      <c r="F123" s="27"/>
      <c r="G123" s="133"/>
      <c r="H123" s="133"/>
      <c r="I123" s="133"/>
      <c r="J123" s="133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48" t="s">
        <v>127</v>
      </c>
      <c r="D124" s="248"/>
      <c r="E124" s="148" t="s">
        <v>126</v>
      </c>
      <c r="F124" s="27"/>
      <c r="G124" s="133"/>
      <c r="H124" s="133"/>
      <c r="I124" s="133"/>
      <c r="J124" s="133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48" t="s">
        <v>127</v>
      </c>
      <c r="D125" s="248"/>
      <c r="E125" s="148" t="s">
        <v>40</v>
      </c>
      <c r="F125" s="27"/>
      <c r="G125" s="133"/>
      <c r="H125" s="133"/>
      <c r="I125" s="133"/>
      <c r="J125" s="133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48" t="s">
        <v>128</v>
      </c>
      <c r="D126" s="248"/>
      <c r="E126" s="148" t="s">
        <v>54</v>
      </c>
      <c r="F126" s="27"/>
      <c r="G126" s="133"/>
      <c r="H126" s="133"/>
      <c r="I126" s="133"/>
      <c r="J126" s="133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48" t="s">
        <v>128</v>
      </c>
      <c r="D127" s="248"/>
      <c r="E127" s="148" t="s">
        <v>39</v>
      </c>
      <c r="F127" s="27"/>
      <c r="G127" s="133"/>
      <c r="H127" s="133"/>
      <c r="I127" s="133"/>
      <c r="J127" s="133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48" t="s">
        <v>128</v>
      </c>
      <c r="D128" s="248"/>
      <c r="E128" s="148" t="s">
        <v>41</v>
      </c>
      <c r="F128" s="27"/>
      <c r="G128" s="133"/>
      <c r="H128" s="133"/>
      <c r="I128" s="133"/>
      <c r="J128" s="133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48" t="s">
        <v>128</v>
      </c>
      <c r="D129" s="248"/>
      <c r="E129" s="148" t="s">
        <v>37</v>
      </c>
      <c r="F129" s="27"/>
      <c r="G129" s="133"/>
      <c r="H129" s="133"/>
      <c r="I129" s="133"/>
      <c r="J129" s="133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59" t="s">
        <v>129</v>
      </c>
      <c r="D130" s="260"/>
      <c r="E130" s="148" t="s">
        <v>41</v>
      </c>
      <c r="F130" s="27"/>
      <c r="G130" s="133"/>
      <c r="H130" s="133"/>
      <c r="I130" s="133"/>
      <c r="J130" s="133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59" t="s">
        <v>129</v>
      </c>
      <c r="D131" s="260"/>
      <c r="E131" s="148" t="s">
        <v>39</v>
      </c>
      <c r="F131" s="27"/>
      <c r="G131" s="133"/>
      <c r="H131" s="133"/>
      <c r="I131" s="133"/>
      <c r="J131" s="133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48" t="s">
        <v>130</v>
      </c>
      <c r="D132" s="248" t="s">
        <v>131</v>
      </c>
      <c r="E132" s="148" t="s">
        <v>57</v>
      </c>
      <c r="F132" s="27"/>
      <c r="G132" s="133"/>
      <c r="H132" s="133"/>
      <c r="I132" s="133"/>
      <c r="J132" s="133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48" t="s">
        <v>130</v>
      </c>
      <c r="D133" s="248" t="s">
        <v>131</v>
      </c>
      <c r="E133" s="148" t="s">
        <v>117</v>
      </c>
      <c r="F133" s="27"/>
      <c r="G133" s="133"/>
      <c r="H133" s="133"/>
      <c r="I133" s="133"/>
      <c r="J133" s="133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48" t="s">
        <v>130</v>
      </c>
      <c r="D134" s="248" t="s">
        <v>131</v>
      </c>
      <c r="E134" s="148" t="s">
        <v>132</v>
      </c>
      <c r="F134" s="27"/>
      <c r="G134" s="133"/>
      <c r="H134" s="133"/>
      <c r="I134" s="133"/>
      <c r="J134" s="133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48" t="s">
        <v>130</v>
      </c>
      <c r="D135" s="248"/>
      <c r="E135" s="148" t="s">
        <v>133</v>
      </c>
      <c r="F135" s="27"/>
      <c r="G135" s="133"/>
      <c r="H135" s="133"/>
      <c r="I135" s="133"/>
      <c r="J135" s="133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48" t="s">
        <v>130</v>
      </c>
      <c r="D136" s="248" t="s">
        <v>131</v>
      </c>
      <c r="E136" s="148" t="s">
        <v>54</v>
      </c>
      <c r="F136" s="27"/>
      <c r="G136" s="133"/>
      <c r="H136" s="133"/>
      <c r="I136" s="133"/>
      <c r="J136" s="133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48" t="s">
        <v>134</v>
      </c>
      <c r="D137" s="248" t="s">
        <v>131</v>
      </c>
      <c r="E137" s="148" t="s">
        <v>135</v>
      </c>
      <c r="F137" s="27"/>
      <c r="G137" s="133"/>
      <c r="H137" s="133"/>
      <c r="I137" s="133"/>
      <c r="J137" s="133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48" t="s">
        <v>134</v>
      </c>
      <c r="D138" s="248" t="s">
        <v>131</v>
      </c>
      <c r="E138" s="148" t="s">
        <v>80</v>
      </c>
      <c r="F138" s="27"/>
      <c r="G138" s="133"/>
      <c r="H138" s="133"/>
      <c r="I138" s="133"/>
      <c r="J138" s="133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59" t="s">
        <v>137</v>
      </c>
      <c r="D139" s="260"/>
      <c r="E139" s="148" t="s">
        <v>57</v>
      </c>
      <c r="F139" s="27"/>
      <c r="G139" s="133"/>
      <c r="H139" s="133"/>
      <c r="I139" s="133"/>
      <c r="J139" s="133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59" t="s">
        <v>137</v>
      </c>
      <c r="D140" s="260"/>
      <c r="E140" s="148" t="s">
        <v>117</v>
      </c>
      <c r="F140" s="27"/>
      <c r="G140" s="133"/>
      <c r="H140" s="133"/>
      <c r="I140" s="133"/>
      <c r="J140" s="133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48" t="s">
        <v>139</v>
      </c>
      <c r="D141" s="248" t="s">
        <v>140</v>
      </c>
      <c r="E141" s="148" t="s">
        <v>135</v>
      </c>
      <c r="F141" s="27"/>
      <c r="G141" s="133"/>
      <c r="H141" s="133"/>
      <c r="I141" s="133"/>
      <c r="J141" s="133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48" t="s">
        <v>141</v>
      </c>
      <c r="D142" s="248"/>
      <c r="E142" s="148" t="s">
        <v>142</v>
      </c>
      <c r="F142" s="27"/>
      <c r="G142" s="133"/>
      <c r="H142" s="133"/>
      <c r="I142" s="133"/>
      <c r="J142" s="133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48" t="s">
        <v>143</v>
      </c>
      <c r="D143" s="248"/>
      <c r="E143" s="148" t="s">
        <v>84</v>
      </c>
      <c r="F143" s="27"/>
      <c r="G143" s="133"/>
      <c r="H143" s="133"/>
      <c r="I143" s="133"/>
      <c r="J143" s="133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48" t="s">
        <v>143</v>
      </c>
      <c r="D144" s="248"/>
      <c r="E144" s="148" t="s">
        <v>49</v>
      </c>
      <c r="F144" s="27"/>
      <c r="G144" s="133"/>
      <c r="H144" s="133"/>
      <c r="I144" s="133"/>
      <c r="J144" s="133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48" t="s">
        <v>143</v>
      </c>
      <c r="D145" s="248"/>
      <c r="E145" s="148" t="s">
        <v>85</v>
      </c>
      <c r="F145" s="27"/>
      <c r="G145" s="133"/>
      <c r="H145" s="133"/>
      <c r="I145" s="133"/>
      <c r="J145" s="133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48" t="s">
        <v>145</v>
      </c>
      <c r="D146" s="248"/>
      <c r="E146" s="148" t="s">
        <v>47</v>
      </c>
      <c r="F146" s="27"/>
      <c r="G146" s="133"/>
      <c r="H146" s="133"/>
      <c r="I146" s="133"/>
      <c r="J146" s="133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48" t="s">
        <v>145</v>
      </c>
      <c r="D147" s="248"/>
      <c r="E147" s="148" t="s">
        <v>146</v>
      </c>
      <c r="F147" s="27"/>
      <c r="G147" s="133"/>
      <c r="H147" s="133"/>
      <c r="I147" s="133"/>
      <c r="J147" s="133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48" t="s">
        <v>145</v>
      </c>
      <c r="D148" s="248"/>
      <c r="E148" s="148" t="s">
        <v>147</v>
      </c>
      <c r="F148" s="27"/>
      <c r="G148" s="133"/>
      <c r="H148" s="133"/>
      <c r="I148" s="133"/>
      <c r="J148" s="133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59" t="s">
        <v>145</v>
      </c>
      <c r="D149" s="260"/>
      <c r="E149" s="148" t="s">
        <v>74</v>
      </c>
      <c r="F149" s="27"/>
      <c r="G149" s="133"/>
      <c r="H149" s="133"/>
      <c r="I149" s="133"/>
      <c r="J149" s="133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64" t="s">
        <v>148</v>
      </c>
      <c r="D150" s="265"/>
      <c r="E150" s="32" t="s">
        <v>41</v>
      </c>
      <c r="F150" s="27"/>
      <c r="G150" s="133"/>
      <c r="H150" s="133"/>
      <c r="I150" s="133"/>
      <c r="J150" s="133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64" t="s">
        <v>148</v>
      </c>
      <c r="D151" s="265"/>
      <c r="E151" s="32" t="s">
        <v>66</v>
      </c>
      <c r="F151" s="27"/>
      <c r="G151" s="133"/>
      <c r="H151" s="133"/>
      <c r="I151" s="133"/>
      <c r="J151" s="133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64" t="s">
        <v>148</v>
      </c>
      <c r="D152" s="265"/>
      <c r="E152" s="32" t="s">
        <v>149</v>
      </c>
      <c r="F152" s="27"/>
      <c r="G152" s="133"/>
      <c r="H152" s="133"/>
      <c r="I152" s="133"/>
      <c r="J152" s="133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64" t="s">
        <v>150</v>
      </c>
      <c r="D153" s="265"/>
      <c r="E153" s="32" t="s">
        <v>151</v>
      </c>
      <c r="F153" s="27"/>
      <c r="G153" s="133"/>
      <c r="H153" s="133"/>
      <c r="I153" s="133"/>
      <c r="J153" s="133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64" t="s">
        <v>150</v>
      </c>
      <c r="D154" s="265"/>
      <c r="E154" s="32" t="s">
        <v>152</v>
      </c>
      <c r="F154" s="27"/>
      <c r="G154" s="133"/>
      <c r="H154" s="133"/>
      <c r="I154" s="133"/>
      <c r="J154" s="133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64" t="s">
        <v>150</v>
      </c>
      <c r="D155" s="265"/>
      <c r="E155" s="32" t="s">
        <v>70</v>
      </c>
      <c r="F155" s="27"/>
      <c r="G155" s="133"/>
      <c r="H155" s="133"/>
      <c r="I155" s="133"/>
      <c r="J155" s="133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64" t="s">
        <v>150</v>
      </c>
      <c r="D156" s="265"/>
      <c r="E156" s="32" t="s">
        <v>35</v>
      </c>
      <c r="F156" s="27"/>
      <c r="G156" s="133"/>
      <c r="H156" s="133"/>
      <c r="I156" s="133"/>
      <c r="J156" s="133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59" t="s">
        <v>153</v>
      </c>
      <c r="D157" s="260"/>
      <c r="E157" s="148" t="s">
        <v>47</v>
      </c>
      <c r="F157" s="27"/>
      <c r="G157" s="133"/>
      <c r="H157" s="133"/>
      <c r="I157" s="133"/>
      <c r="J157" s="133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59" t="s">
        <v>153</v>
      </c>
      <c r="D158" s="260"/>
      <c r="E158" s="148" t="s">
        <v>146</v>
      </c>
      <c r="F158" s="27"/>
      <c r="G158" s="133"/>
      <c r="H158" s="133"/>
      <c r="I158" s="133"/>
      <c r="J158" s="133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59" t="s">
        <v>153</v>
      </c>
      <c r="D159" s="260"/>
      <c r="E159" s="148" t="s">
        <v>147</v>
      </c>
      <c r="F159" s="27"/>
      <c r="G159" s="133"/>
      <c r="H159" s="133"/>
      <c r="I159" s="133"/>
      <c r="J159" s="133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59" t="s">
        <v>153</v>
      </c>
      <c r="D160" s="260"/>
      <c r="E160" s="148" t="s">
        <v>74</v>
      </c>
      <c r="F160" s="27"/>
      <c r="G160" s="133"/>
      <c r="H160" s="133"/>
      <c r="I160" s="133"/>
      <c r="J160" s="133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66" t="s">
        <v>154</v>
      </c>
      <c r="D161" s="267"/>
      <c r="E161" s="148" t="s">
        <v>39</v>
      </c>
      <c r="F161" s="27"/>
      <c r="G161" s="133"/>
      <c r="H161" s="133"/>
      <c r="I161" s="133"/>
      <c r="J161" s="133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66" t="s">
        <v>154</v>
      </c>
      <c r="D162" s="267"/>
      <c r="E162" s="148" t="s">
        <v>80</v>
      </c>
      <c r="F162" s="27"/>
      <c r="G162" s="133"/>
      <c r="H162" s="133"/>
      <c r="I162" s="133"/>
      <c r="J162" s="133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66" t="s">
        <v>154</v>
      </c>
      <c r="D163" s="267"/>
      <c r="E163" s="148" t="s">
        <v>35</v>
      </c>
      <c r="F163" s="27"/>
      <c r="G163" s="133"/>
      <c r="H163" s="133"/>
      <c r="I163" s="133"/>
      <c r="J163" s="133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66" t="s">
        <v>154</v>
      </c>
      <c r="D164" s="267"/>
      <c r="E164" s="148" t="s">
        <v>40</v>
      </c>
      <c r="F164" s="27"/>
      <c r="G164" s="133"/>
      <c r="H164" s="133"/>
      <c r="I164" s="133"/>
      <c r="J164" s="133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68" t="s">
        <v>155</v>
      </c>
      <c r="D165" s="269"/>
      <c r="E165" s="32" t="s">
        <v>41</v>
      </c>
      <c r="F165" s="27"/>
      <c r="G165" s="133"/>
      <c r="H165" s="133"/>
      <c r="I165" s="133"/>
      <c r="J165" s="133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68" t="s">
        <v>155</v>
      </c>
      <c r="D166" s="269"/>
      <c r="E166" s="32" t="s">
        <v>66</v>
      </c>
      <c r="F166" s="27"/>
      <c r="G166" s="133"/>
      <c r="H166" s="133"/>
      <c r="I166" s="133"/>
      <c r="J166" s="133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68" t="s">
        <v>155</v>
      </c>
      <c r="D167" s="269"/>
      <c r="E167" s="32" t="s">
        <v>149</v>
      </c>
      <c r="F167" s="27"/>
      <c r="G167" s="133"/>
      <c r="H167" s="133"/>
      <c r="I167" s="133"/>
      <c r="J167" s="133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48" t="s">
        <v>156</v>
      </c>
      <c r="D168" s="248"/>
      <c r="E168" s="148" t="s">
        <v>142</v>
      </c>
      <c r="F168" s="27"/>
      <c r="G168" s="133"/>
      <c r="H168" s="133"/>
      <c r="I168" s="133"/>
      <c r="J168" s="133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48" t="s">
        <v>157</v>
      </c>
      <c r="D169" s="248" t="s">
        <v>158</v>
      </c>
      <c r="E169" s="148" t="s">
        <v>135</v>
      </c>
      <c r="F169" s="27"/>
      <c r="G169" s="133"/>
      <c r="H169" s="133"/>
      <c r="I169" s="133"/>
      <c r="J169" s="133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48" t="s">
        <v>157</v>
      </c>
      <c r="D170" s="248" t="s">
        <v>158</v>
      </c>
      <c r="E170" s="148" t="s">
        <v>80</v>
      </c>
      <c r="F170" s="27"/>
      <c r="G170" s="133"/>
      <c r="H170" s="133"/>
      <c r="I170" s="133"/>
      <c r="J170" s="13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48" t="s">
        <v>159</v>
      </c>
      <c r="D171" s="248" t="s">
        <v>160</v>
      </c>
      <c r="E171" s="148" t="s">
        <v>57</v>
      </c>
      <c r="F171" s="27"/>
      <c r="G171" s="133"/>
      <c r="H171" s="133"/>
      <c r="I171" s="133"/>
      <c r="J171" s="13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48" t="s">
        <v>159</v>
      </c>
      <c r="D172" s="248" t="s">
        <v>160</v>
      </c>
      <c r="E172" s="148" t="s">
        <v>117</v>
      </c>
      <c r="F172" s="27"/>
      <c r="G172" s="133"/>
      <c r="H172" s="133"/>
      <c r="I172" s="133"/>
      <c r="J172" s="133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48" t="s">
        <v>159</v>
      </c>
      <c r="D173" s="248" t="s">
        <v>160</v>
      </c>
      <c r="E173" s="148" t="s">
        <v>133</v>
      </c>
      <c r="F173" s="27"/>
      <c r="G173" s="133"/>
      <c r="H173" s="133"/>
      <c r="I173" s="133"/>
      <c r="J173" s="133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48" t="s">
        <v>159</v>
      </c>
      <c r="D174" s="248" t="s">
        <v>160</v>
      </c>
      <c r="E174" s="148" t="s">
        <v>132</v>
      </c>
      <c r="F174" s="27"/>
      <c r="G174" s="133"/>
      <c r="H174" s="133"/>
      <c r="I174" s="133"/>
      <c r="J174" s="133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48" t="s">
        <v>161</v>
      </c>
      <c r="D175" s="248" t="s">
        <v>160</v>
      </c>
      <c r="E175" s="148" t="s">
        <v>80</v>
      </c>
      <c r="F175" s="27"/>
      <c r="G175" s="133"/>
      <c r="H175" s="133"/>
      <c r="I175" s="133"/>
      <c r="J175" s="133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48" t="s">
        <v>161</v>
      </c>
      <c r="D176" s="248" t="s">
        <v>160</v>
      </c>
      <c r="E176" s="148" t="s">
        <v>135</v>
      </c>
      <c r="F176" s="27"/>
      <c r="G176" s="133"/>
      <c r="H176" s="133"/>
      <c r="I176" s="133"/>
      <c r="J176" s="133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48" t="s">
        <v>162</v>
      </c>
      <c r="D177" s="248"/>
      <c r="E177" s="148" t="s">
        <v>42</v>
      </c>
      <c r="F177" s="27"/>
      <c r="G177" s="133"/>
      <c r="H177" s="133"/>
      <c r="I177" s="133"/>
      <c r="J177" s="133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48" t="s">
        <v>162</v>
      </c>
      <c r="D178" s="248"/>
      <c r="E178" s="148" t="s">
        <v>163</v>
      </c>
      <c r="F178" s="27"/>
      <c r="G178" s="133"/>
      <c r="H178" s="133"/>
      <c r="I178" s="133"/>
      <c r="J178" s="133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48" t="s">
        <v>162</v>
      </c>
      <c r="D179" s="248"/>
      <c r="E179" s="148" t="s">
        <v>146</v>
      </c>
      <c r="F179" s="27"/>
      <c r="G179" s="133"/>
      <c r="H179" s="133"/>
      <c r="I179" s="133"/>
      <c r="J179" s="133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48" t="s">
        <v>162</v>
      </c>
      <c r="D180" s="248"/>
      <c r="E180" s="148" t="s">
        <v>164</v>
      </c>
      <c r="F180" s="27"/>
      <c r="G180" s="133"/>
      <c r="H180" s="133"/>
      <c r="I180" s="133"/>
      <c r="J180" s="133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48" t="s">
        <v>165</v>
      </c>
      <c r="D181" s="248"/>
      <c r="E181" s="148" t="s">
        <v>37</v>
      </c>
      <c r="F181" s="27"/>
      <c r="G181" s="133"/>
      <c r="H181" s="133"/>
      <c r="I181" s="133"/>
      <c r="J181" s="133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48" t="s">
        <v>165</v>
      </c>
      <c r="D182" s="248"/>
      <c r="E182" s="148" t="s">
        <v>57</v>
      </c>
      <c r="F182" s="27"/>
      <c r="G182" s="133"/>
      <c r="H182" s="133"/>
      <c r="I182" s="133"/>
      <c r="J182" s="133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48" t="s">
        <v>165</v>
      </c>
      <c r="D183" s="248"/>
      <c r="E183" s="148" t="s">
        <v>41</v>
      </c>
      <c r="F183" s="27"/>
      <c r="G183" s="133"/>
      <c r="H183" s="133"/>
      <c r="I183" s="133"/>
      <c r="J183" s="133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48" t="s">
        <v>165</v>
      </c>
      <c r="D184" s="248"/>
      <c r="E184" s="148" t="s">
        <v>35</v>
      </c>
      <c r="F184" s="27"/>
      <c r="G184" s="133"/>
      <c r="H184" s="133"/>
      <c r="I184" s="133"/>
      <c r="J184" s="133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48" t="s">
        <v>165</v>
      </c>
      <c r="D185" s="248"/>
      <c r="E185" s="148" t="s">
        <v>66</v>
      </c>
      <c r="F185" s="27"/>
      <c r="G185" s="133"/>
      <c r="H185" s="133"/>
      <c r="I185" s="133"/>
      <c r="J185" s="133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48" t="s">
        <v>165</v>
      </c>
      <c r="D186" s="248"/>
      <c r="E186" s="148" t="s">
        <v>166</v>
      </c>
      <c r="F186" s="27"/>
      <c r="G186" s="133"/>
      <c r="H186" s="133"/>
      <c r="I186" s="133"/>
      <c r="J186" s="133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59" t="s">
        <v>168</v>
      </c>
      <c r="D187" s="260"/>
      <c r="E187" s="33" t="s">
        <v>35</v>
      </c>
      <c r="F187" s="27"/>
      <c r="G187" s="133"/>
      <c r="H187" s="133"/>
      <c r="I187" s="133"/>
      <c r="J187" s="133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59" t="s">
        <v>168</v>
      </c>
      <c r="D188" s="260"/>
      <c r="E188" s="150" t="s">
        <v>41</v>
      </c>
      <c r="F188" s="27"/>
      <c r="G188" s="133"/>
      <c r="H188" s="133"/>
      <c r="I188" s="133"/>
      <c r="J188" s="133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59" t="s">
        <v>168</v>
      </c>
      <c r="D189" s="260"/>
      <c r="E189" s="150" t="s">
        <v>37</v>
      </c>
      <c r="F189" s="27"/>
      <c r="G189" s="133"/>
      <c r="H189" s="133"/>
      <c r="I189" s="133"/>
      <c r="J189" s="133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39">
        <v>300358</v>
      </c>
      <c r="B190" s="135">
        <v>13002</v>
      </c>
      <c r="C190" s="259" t="s">
        <v>168</v>
      </c>
      <c r="D190" s="260"/>
      <c r="E190" s="150" t="s">
        <v>66</v>
      </c>
      <c r="F190" s="27"/>
      <c r="G190" s="133">
        <v>13</v>
      </c>
      <c r="H190" s="133"/>
      <c r="I190" s="133">
        <f>13-J190/400</f>
        <v>12.3</v>
      </c>
      <c r="J190" s="133">
        <v>280</v>
      </c>
      <c r="K190" s="136">
        <f t="shared" si="15"/>
        <v>5694</v>
      </c>
      <c r="L190" s="146">
        <f t="shared" si="16"/>
        <v>5387.4000000000005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56.685606060606055</v>
      </c>
      <c r="Q190" s="146">
        <v>11</v>
      </c>
      <c r="R190" s="19">
        <f t="shared" si="18"/>
        <v>66</v>
      </c>
      <c r="S190" s="146">
        <f t="shared" si="19"/>
        <v>9.3143939393939448</v>
      </c>
      <c r="T190" s="20">
        <v>5</v>
      </c>
      <c r="U190" s="20">
        <v>6</v>
      </c>
      <c r="V190" s="143">
        <f t="array" ref="V190">IF(ISERROR(L190/K190),"",L190/K190)</f>
        <v>0.94615384615384623</v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48" t="s">
        <v>312</v>
      </c>
      <c r="D191" s="248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48" t="s">
        <v>312</v>
      </c>
      <c r="D192" s="248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48" t="s">
        <v>312</v>
      </c>
      <c r="D193" s="248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48" t="s">
        <v>312</v>
      </c>
      <c r="D194" s="248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59" t="s">
        <v>172</v>
      </c>
      <c r="D195" s="260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59" t="s">
        <v>172</v>
      </c>
      <c r="D196" s="260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59" t="s">
        <v>172</v>
      </c>
      <c r="D197" s="260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59" t="s">
        <v>172</v>
      </c>
      <c r="D198" s="260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46">
        <f t="array" ref="G199">SUM(IF(ISERROR(G6:G198),“”,G6:G198))</f>
        <v>32</v>
      </c>
      <c r="H199" s="146">
        <f t="array" ref="H199">SUM(IF(ISERROR(H6:H198),“”,H6:H198))</f>
        <v>0.875</v>
      </c>
      <c r="I199" s="146">
        <f t="array" ref="I199">SUM(IF(ISERROR(I6:I198),“”,I6:I198))</f>
        <v>31.175000000000001</v>
      </c>
      <c r="J199" s="146">
        <f t="array" ref="J199">SUM(IF(ISERROR(J6:J198),“”,J6:J198))</f>
        <v>280</v>
      </c>
      <c r="K199" s="146">
        <f t="array" ref="K199">SUM(IF(ISERROR(K6:K198),“”,K6:K198))</f>
        <v>14476.8</v>
      </c>
      <c r="L199" s="56">
        <f>SUM(L6:L198)</f>
        <v>14092.875</v>
      </c>
      <c r="M199" s="146"/>
      <c r="N199" s="146"/>
      <c r="O199" s="146">
        <f>SUM(O6:O190)</f>
        <v>1</v>
      </c>
      <c r="P199" s="56">
        <f>SUM((P6:P190),(W204:X209))</f>
        <v>252.00093024465895</v>
      </c>
      <c r="Q199" s="146"/>
      <c r="R199" s="56">
        <f>SUM((R6:R190),(Y204:Z209))</f>
        <v>297</v>
      </c>
      <c r="S199" s="146">
        <f t="array" ref="S199">SUM(IF(ISERROR(S6:S198),“”,S6:S198))</f>
        <v>-32.000930244658939</v>
      </c>
      <c r="T199" s="146"/>
      <c r="U199" s="146"/>
      <c r="V199" s="143">
        <f>IF(ISERROR(L199/K199),"",L199/K199)</f>
        <v>0.97347998176392581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0.84848798062174724</v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2732.8</v>
      </c>
      <c r="F203" s="279"/>
      <c r="G203" s="279">
        <v>2802.8</v>
      </c>
      <c r="H203" s="279"/>
      <c r="I203" s="279">
        <f>G203-E203</f>
        <v>70</v>
      </c>
      <c r="J203" s="279"/>
      <c r="K203" s="281">
        <f t="array" ref="K203">IF(ISERROR(I203/E203),"",I203/E203)</f>
        <v>2.5614754098360653E-2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13</v>
      </c>
      <c r="T203" s="284"/>
      <c r="U203" s="284">
        <v>17</v>
      </c>
      <c r="V203" s="284"/>
      <c r="W203" s="283">
        <f t="shared" ref="W203:W210" si="28">S203*11</f>
        <v>143</v>
      </c>
      <c r="X203" s="283"/>
      <c r="Y203" s="283">
        <f t="shared" ref="Y203:Y210" si="29">U203*11</f>
        <v>187</v>
      </c>
      <c r="Z203" s="283"/>
      <c r="AA203" s="283">
        <f t="shared" ref="AA203:AA210" si="30">Y203-W203</f>
        <v>44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2</v>
      </c>
      <c r="T204" s="284"/>
      <c r="U204" s="284">
        <v>7</v>
      </c>
      <c r="V204" s="284"/>
      <c r="W204" s="283">
        <f t="shared" si="28"/>
        <v>22</v>
      </c>
      <c r="X204" s="283"/>
      <c r="Y204" s="283">
        <f t="shared" si="29"/>
        <v>77</v>
      </c>
      <c r="Z204" s="283"/>
      <c r="AA204" s="283">
        <f t="shared" si="30"/>
        <v>55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8"/>
        <v>8.25</v>
      </c>
      <c r="X205" s="283"/>
      <c r="Y205" s="283">
        <f t="shared" si="29"/>
        <v>0</v>
      </c>
      <c r="Z205" s="283"/>
      <c r="AA205" s="283">
        <f t="shared" si="30"/>
        <v>-8.25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44">
        <v>5</v>
      </c>
      <c r="G206" s="285">
        <v>148909</v>
      </c>
      <c r="H206" s="286"/>
      <c r="I206" s="325">
        <v>148863</v>
      </c>
      <c r="J206" s="326"/>
      <c r="K206" s="289">
        <f>G206-I206</f>
        <v>46</v>
      </c>
      <c r="L206" s="289"/>
      <c r="M206" s="290">
        <f t="array" ref="M206">IF(ISERROR(K206/L199),"",K206/(L199/1000))</f>
        <v>3.2640607399128996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0</v>
      </c>
      <c r="V206" s="284"/>
      <c r="W206" s="283">
        <f t="shared" si="28"/>
        <v>8.25</v>
      </c>
      <c r="X206" s="283"/>
      <c r="Y206" s="283">
        <f t="shared" si="29"/>
        <v>0</v>
      </c>
      <c r="Z206" s="283"/>
      <c r="AA206" s="283">
        <f t="shared" si="30"/>
        <v>-8.25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44">
        <v>105</v>
      </c>
      <c r="G207" s="285">
        <f>28523.9*120+44808.9*60</f>
        <v>6111402</v>
      </c>
      <c r="H207" s="286"/>
      <c r="I207" s="325">
        <v>6110394</v>
      </c>
      <c r="J207" s="326"/>
      <c r="K207" s="289">
        <f>G207-I207</f>
        <v>1008</v>
      </c>
      <c r="L207" s="289"/>
      <c r="M207" s="290">
        <f t="array" ref="M207">IF(ISERROR(K207/L199),"",K207/(L199/1000))</f>
        <v>71.525504909395707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0</v>
      </c>
      <c r="V207" s="284"/>
      <c r="W207" s="283">
        <f t="shared" si="28"/>
        <v>16.5</v>
      </c>
      <c r="X207" s="283"/>
      <c r="Y207" s="283">
        <f t="shared" si="29"/>
        <v>0</v>
      </c>
      <c r="Z207" s="283"/>
      <c r="AA207" s="283">
        <f t="shared" si="30"/>
        <v>-16.5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44">
        <v>0.55000000000000004</v>
      </c>
      <c r="G208" s="285">
        <f>+I208+10</f>
        <v>27757</v>
      </c>
      <c r="H208" s="286"/>
      <c r="I208" s="285">
        <v>27747</v>
      </c>
      <c r="J208" s="286"/>
      <c r="K208" s="289">
        <f>G208-I208</f>
        <v>10</v>
      </c>
      <c r="L208" s="289"/>
      <c r="M208" s="293">
        <f t="array" ref="M208">IF(ISERROR(K208/L199),"",K208/(L199/1000))</f>
        <v>0.70957842172019547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1.6+1.44/2</f>
        <v>2.3200000000000003</v>
      </c>
      <c r="L209" s="292"/>
      <c r="M209" s="294">
        <f t="array" ref="M209">IF(ISERROR((K209+K210)/L199),"",((K209+K210)*1000)/(L199/1000))</f>
        <v>164.62219383908538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8</v>
      </c>
      <c r="V209" s="284"/>
      <c r="W209" s="283">
        <f t="shared" si="28"/>
        <v>33</v>
      </c>
      <c r="X209" s="283"/>
      <c r="Y209" s="283">
        <f t="shared" si="29"/>
        <v>88</v>
      </c>
      <c r="Z209" s="283"/>
      <c r="AA209" s="283">
        <f t="shared" si="30"/>
        <v>55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22</v>
      </c>
      <c r="T210" s="284"/>
      <c r="U210" s="284">
        <f>SUM(U203:V209)</f>
        <v>33</v>
      </c>
      <c r="V210" s="284"/>
      <c r="W210" s="283">
        <f t="shared" si="28"/>
        <v>242</v>
      </c>
      <c r="X210" s="283"/>
      <c r="Y210" s="283">
        <f t="shared" si="29"/>
        <v>363</v>
      </c>
      <c r="Z210" s="283"/>
      <c r="AA210" s="283">
        <f t="shared" si="30"/>
        <v>121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4.3103448275862064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38.823347107438018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35" t="s">
        <v>25</v>
      </c>
      <c r="S214" s="249"/>
      <c r="T214" s="251"/>
      <c r="U214" s="251"/>
      <c r="V214" s="25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61" t="s">
        <v>34</v>
      </c>
      <c r="D215" s="26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14" t="s">
        <v>34</v>
      </c>
      <c r="D216" s="31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14" t="s">
        <v>34</v>
      </c>
      <c r="D217" s="31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14" t="s">
        <v>34</v>
      </c>
      <c r="D218" s="31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14" t="s">
        <v>34</v>
      </c>
      <c r="D219" s="31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14" t="s">
        <v>34</v>
      </c>
      <c r="D220" s="31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14" t="s">
        <v>34</v>
      </c>
      <c r="D221" s="31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14" t="s">
        <v>34</v>
      </c>
      <c r="D222" s="31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59" t="s">
        <v>313</v>
      </c>
      <c r="D223" s="26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59" t="s">
        <v>313</v>
      </c>
      <c r="D224" s="26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59" t="s">
        <v>44</v>
      </c>
      <c r="D225" s="26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59" t="s">
        <v>44</v>
      </c>
      <c r="D226" s="26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59" t="s">
        <v>44</v>
      </c>
      <c r="D227" s="26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48" t="s">
        <v>45</v>
      </c>
      <c r="D228" s="24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48" t="s">
        <v>46</v>
      </c>
      <c r="D229" s="24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48" t="s">
        <v>48</v>
      </c>
      <c r="D230" s="24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48" t="s">
        <v>50</v>
      </c>
      <c r="D231" s="24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48" t="s">
        <v>50</v>
      </c>
      <c r="D232" s="24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48" t="s">
        <v>50</v>
      </c>
      <c r="D233" s="24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48" t="s">
        <v>51</v>
      </c>
      <c r="D234" s="24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48" t="s">
        <v>51</v>
      </c>
      <c r="D235" s="248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48" t="s">
        <v>51</v>
      </c>
      <c r="D236" s="248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48" t="s">
        <v>51</v>
      </c>
      <c r="D237" s="24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48" t="s">
        <v>53</v>
      </c>
      <c r="D239" s="24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48" t="s">
        <v>53</v>
      </c>
      <c r="D240" s="24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48" t="s">
        <v>53</v>
      </c>
      <c r="D241" s="24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48" t="s">
        <v>56</v>
      </c>
      <c r="D242" s="24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48" t="s">
        <v>56</v>
      </c>
      <c r="D243" s="24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48" t="s">
        <v>56</v>
      </c>
      <c r="D244" s="24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48" t="s">
        <v>56</v>
      </c>
      <c r="D245" s="24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42">
        <v>300032</v>
      </c>
      <c r="B246" s="135">
        <v>3002</v>
      </c>
      <c r="C246" s="248" t="s">
        <v>58</v>
      </c>
      <c r="D246" s="248" t="s">
        <v>59</v>
      </c>
      <c r="E246" s="148" t="s">
        <v>35</v>
      </c>
      <c r="F246" s="147"/>
      <c r="G246" s="146"/>
      <c r="H246" s="146"/>
      <c r="I246" s="146"/>
      <c r="J246" s="146"/>
      <c r="K246" s="146">
        <f t="shared" si="31"/>
        <v>0</v>
      </c>
      <c r="L246" s="146">
        <f t="shared" si="32"/>
        <v>0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0</v>
      </c>
      <c r="Q246" s="146"/>
      <c r="R246" s="19">
        <f t="shared" si="35"/>
        <v>0</v>
      </c>
      <c r="S246" s="146">
        <f t="shared" si="36"/>
        <v>0</v>
      </c>
      <c r="T246" s="20">
        <v>6</v>
      </c>
      <c r="U246" s="20"/>
      <c r="V246" s="143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42">
        <v>300413</v>
      </c>
      <c r="B247" s="135">
        <v>3002</v>
      </c>
      <c r="C247" s="259" t="s">
        <v>304</v>
      </c>
      <c r="D247" s="26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59" t="s">
        <v>304</v>
      </c>
      <c r="D248" s="26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59" t="s">
        <v>304</v>
      </c>
      <c r="D249" s="26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48" t="s">
        <v>61</v>
      </c>
      <c r="D250" s="24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48" t="s">
        <v>61</v>
      </c>
      <c r="D251" s="24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48" t="s">
        <v>61</v>
      </c>
      <c r="D252" s="24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48" t="s">
        <v>64</v>
      </c>
      <c r="D253" s="24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48" t="s">
        <v>64</v>
      </c>
      <c r="D254" s="24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59" t="s">
        <v>68</v>
      </c>
      <c r="D255" s="26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59" t="s">
        <v>68</v>
      </c>
      <c r="D256" s="26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59" t="s">
        <v>68</v>
      </c>
      <c r="D257" s="26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59" t="s">
        <v>68</v>
      </c>
      <c r="D258" s="26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48" t="s">
        <v>73</v>
      </c>
      <c r="D259" s="24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48" t="s">
        <v>73</v>
      </c>
      <c r="D260" s="24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48" t="s">
        <v>73</v>
      </c>
      <c r="D261" s="24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48" t="s">
        <v>73</v>
      </c>
      <c r="D262" s="24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48" t="s">
        <v>75</v>
      </c>
      <c r="D263" s="24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48" t="s">
        <v>75</v>
      </c>
      <c r="D264" s="24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48" t="s">
        <v>75</v>
      </c>
      <c r="D265" s="24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42">
        <v>300050</v>
      </c>
      <c r="B267" s="135" t="s">
        <v>67</v>
      </c>
      <c r="C267" s="248" t="s">
        <v>77</v>
      </c>
      <c r="D267" s="248" t="s">
        <v>78</v>
      </c>
      <c r="E267" s="148" t="s">
        <v>79</v>
      </c>
      <c r="F267" s="147"/>
      <c r="G267" s="146"/>
      <c r="H267" s="146"/>
      <c r="I267" s="146"/>
      <c r="J267" s="146"/>
      <c r="K267" s="146">
        <f t="shared" si="31"/>
        <v>0</v>
      </c>
      <c r="L267" s="146">
        <f t="shared" si="32"/>
        <v>0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0</v>
      </c>
      <c r="Q267" s="146"/>
      <c r="R267" s="19">
        <f t="shared" si="35"/>
        <v>0</v>
      </c>
      <c r="S267" s="146">
        <f t="shared" si="36"/>
        <v>0</v>
      </c>
      <c r="T267" s="20">
        <v>5</v>
      </c>
      <c r="U267" s="20"/>
      <c r="V267" s="143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48" t="s">
        <v>77</v>
      </c>
      <c r="D268" s="24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59" t="s">
        <v>301</v>
      </c>
      <c r="D269" s="26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59" t="s">
        <v>301</v>
      </c>
      <c r="D270" s="26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48" t="s">
        <v>81</v>
      </c>
      <c r="D271" s="24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48" t="s">
        <v>81</v>
      </c>
      <c r="D272" s="24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59" t="s">
        <v>83</v>
      </c>
      <c r="D273" s="26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59" t="s">
        <v>83</v>
      </c>
      <c r="D274" s="26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59" t="s">
        <v>83</v>
      </c>
      <c r="D275" s="26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59" t="s">
        <v>86</v>
      </c>
      <c r="D276" s="26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59" t="s">
        <v>86</v>
      </c>
      <c r="D277" s="26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59" t="s">
        <v>86</v>
      </c>
      <c r="D278" s="26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48" t="s">
        <v>88</v>
      </c>
      <c r="D279" s="24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48" t="s">
        <v>88</v>
      </c>
      <c r="D280" s="24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48" t="s">
        <v>88</v>
      </c>
      <c r="D281" s="24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48" t="s">
        <v>88</v>
      </c>
      <c r="D282" s="24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48" t="s">
        <v>316</v>
      </c>
      <c r="D283" s="248" t="s">
        <v>89</v>
      </c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48" t="s">
        <v>316</v>
      </c>
      <c r="D284" s="24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42">
        <v>300061</v>
      </c>
      <c r="B285" s="135" t="s">
        <v>320</v>
      </c>
      <c r="C285" s="248" t="s">
        <v>317</v>
      </c>
      <c r="D285" s="248" t="s">
        <v>96</v>
      </c>
      <c r="E285" s="148" t="s">
        <v>41</v>
      </c>
      <c r="F285" s="147"/>
      <c r="G285" s="146">
        <v>10</v>
      </c>
      <c r="H285" s="146"/>
      <c r="I285" s="146">
        <v>10</v>
      </c>
      <c r="J285" s="146"/>
      <c r="K285" s="146">
        <f t="shared" si="31"/>
        <v>4184</v>
      </c>
      <c r="L285" s="146">
        <f t="shared" si="32"/>
        <v>4184</v>
      </c>
      <c r="M285" s="146">
        <v>418.4</v>
      </c>
      <c r="N285" s="146">
        <f>+M285*1000/(51*1*110*60)*T285</f>
        <v>4.9720736779560308</v>
      </c>
      <c r="O285" s="146">
        <v>0.5</v>
      </c>
      <c r="P285" s="146">
        <f t="shared" si="34"/>
        <v>52.220736779560312</v>
      </c>
      <c r="Q285" s="146">
        <v>7.5</v>
      </c>
      <c r="R285" s="19">
        <f t="shared" si="35"/>
        <v>37.5</v>
      </c>
      <c r="S285" s="146">
        <f t="shared" si="36"/>
        <v>-14.720736779560312</v>
      </c>
      <c r="T285" s="20">
        <v>4</v>
      </c>
      <c r="U285" s="20">
        <v>5</v>
      </c>
      <c r="V285" s="143">
        <f t="array" ref="V285">IF(ISERROR(L285/K285),"",L285/K285)</f>
        <v>1</v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42">
        <v>300064</v>
      </c>
      <c r="B286" s="135" t="s">
        <v>320</v>
      </c>
      <c r="C286" s="248" t="s">
        <v>317</v>
      </c>
      <c r="D286" s="248" t="s">
        <v>96</v>
      </c>
      <c r="E286" s="148" t="s">
        <v>35</v>
      </c>
      <c r="F286" s="147"/>
      <c r="G286" s="146">
        <v>9</v>
      </c>
      <c r="H286" s="146"/>
      <c r="I286" s="146">
        <v>9</v>
      </c>
      <c r="J286" s="146"/>
      <c r="K286" s="146">
        <f t="shared" ref="K286:K362" si="38">G286*M286</f>
        <v>3772.7999999999997</v>
      </c>
      <c r="L286" s="146">
        <f t="shared" ref="L286:L362" si="39">I286*M286</f>
        <v>3772.7999999999997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44.056752496058849</v>
      </c>
      <c r="Q286" s="146">
        <v>4</v>
      </c>
      <c r="R286" s="19">
        <f t="shared" ref="R286:R362" si="41">Q286*U286</f>
        <v>20</v>
      </c>
      <c r="S286" s="146">
        <f t="shared" ref="S286:S362" si="42">R286-P286</f>
        <v>-24.056752496058849</v>
      </c>
      <c r="T286" s="20">
        <v>4</v>
      </c>
      <c r="U286" s="20">
        <v>5</v>
      </c>
      <c r="V286" s="143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>
        <v>5001</v>
      </c>
      <c r="C287" s="248" t="s">
        <v>317</v>
      </c>
      <c r="D287" s="248" t="s">
        <v>96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48" t="s">
        <v>98</v>
      </c>
      <c r="D288" s="24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48" t="s">
        <v>98</v>
      </c>
      <c r="D289" s="24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48" t="s">
        <v>98</v>
      </c>
      <c r="D290" s="24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48" t="s">
        <v>98</v>
      </c>
      <c r="D291" s="24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48" t="s">
        <v>100</v>
      </c>
      <c r="D293" s="24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48" t="s">
        <v>100</v>
      </c>
      <c r="D294" s="24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48" t="s">
        <v>100</v>
      </c>
      <c r="D295" s="24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48" t="s">
        <v>100</v>
      </c>
      <c r="D296" s="24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48" t="s">
        <v>106</v>
      </c>
      <c r="D297" s="24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48" t="s">
        <v>106</v>
      </c>
      <c r="D298" s="24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48" t="s">
        <v>106</v>
      </c>
      <c r="D299" s="24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48" t="s">
        <v>106</v>
      </c>
      <c r="D300" s="24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48" t="s">
        <v>107</v>
      </c>
      <c r="D301" s="24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48" t="s">
        <v>107</v>
      </c>
      <c r="D302" s="24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48" t="s">
        <v>107</v>
      </c>
      <c r="D303" s="24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48" t="s">
        <v>107</v>
      </c>
      <c r="D304" s="24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48" t="s">
        <v>107</v>
      </c>
      <c r="D305" s="24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59" t="s">
        <v>109</v>
      </c>
      <c r="D306" s="26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48" t="s">
        <v>318</v>
      </c>
      <c r="D307" s="248" t="s">
        <v>96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48" t="s">
        <v>318</v>
      </c>
      <c r="D308" s="248" t="s">
        <v>96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42">
        <v>300128</v>
      </c>
      <c r="B309" s="135" t="s">
        <v>87</v>
      </c>
      <c r="C309" s="248" t="s">
        <v>112</v>
      </c>
      <c r="D309" s="248" t="s">
        <v>113</v>
      </c>
      <c r="E309" s="148" t="s">
        <v>35</v>
      </c>
      <c r="F309" s="147"/>
      <c r="G309" s="146"/>
      <c r="H309" s="146"/>
      <c r="I309" s="146"/>
      <c r="J309" s="146"/>
      <c r="K309" s="146">
        <f t="shared" si="38"/>
        <v>0</v>
      </c>
      <c r="L309" s="146">
        <f t="shared" si="39"/>
        <v>0</v>
      </c>
      <c r="M309" s="146">
        <v>621.29999999999995</v>
      </c>
      <c r="N309" s="146">
        <f t="shared" ref="N309:N314" si="43">+M309*1000/(130.5*1*80*60)*T309</f>
        <v>3.9674329501915708</v>
      </c>
      <c r="O309" s="146"/>
      <c r="P309" s="146">
        <f t="shared" si="40"/>
        <v>0</v>
      </c>
      <c r="Q309" s="146"/>
      <c r="R309" s="19">
        <f t="shared" si="41"/>
        <v>0</v>
      </c>
      <c r="S309" s="146">
        <f t="shared" si="42"/>
        <v>0</v>
      </c>
      <c r="T309" s="20">
        <v>4</v>
      </c>
      <c r="U309" s="20"/>
      <c r="V309" s="143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42">
        <v>300129</v>
      </c>
      <c r="B310" s="135" t="s">
        <v>87</v>
      </c>
      <c r="C310" s="248" t="s">
        <v>112</v>
      </c>
      <c r="D310" s="248" t="s">
        <v>113</v>
      </c>
      <c r="E310" s="148" t="s">
        <v>41</v>
      </c>
      <c r="F310" s="147"/>
      <c r="G310" s="146"/>
      <c r="H310" s="146"/>
      <c r="I310" s="146"/>
      <c r="J310" s="146"/>
      <c r="K310" s="146">
        <f t="shared" si="38"/>
        <v>0</v>
      </c>
      <c r="L310" s="146">
        <f t="shared" si="39"/>
        <v>0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0</v>
      </c>
      <c r="Q310" s="146"/>
      <c r="R310" s="19">
        <f t="shared" si="41"/>
        <v>0</v>
      </c>
      <c r="S310" s="146">
        <f t="shared" si="42"/>
        <v>0</v>
      </c>
      <c r="T310" s="20">
        <v>4</v>
      </c>
      <c r="U310" s="20"/>
      <c r="V310" s="143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48" t="s">
        <v>112</v>
      </c>
      <c r="D311" s="24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59" t="s">
        <v>296</v>
      </c>
      <c r="D312" s="26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59" t="s">
        <v>296</v>
      </c>
      <c r="D313" s="26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59" t="s">
        <v>296</v>
      </c>
      <c r="D314" s="26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59" t="s">
        <v>114</v>
      </c>
      <c r="D315" s="26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59" t="s">
        <v>114</v>
      </c>
      <c r="D316" s="26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48" t="s">
        <v>119</v>
      </c>
      <c r="D320" s="248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48" t="s">
        <v>119</v>
      </c>
      <c r="D321" s="248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61" t="s">
        <v>121</v>
      </c>
      <c r="D322" s="261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61" t="s">
        <v>121</v>
      </c>
      <c r="D323" s="261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61" t="s">
        <v>121</v>
      </c>
      <c r="D324" s="261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48" t="s">
        <v>123</v>
      </c>
      <c r="D325" s="248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48" t="s">
        <v>125</v>
      </c>
      <c r="D326" s="248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48" t="s">
        <v>123</v>
      </c>
      <c r="D327" s="248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48" t="s">
        <v>123</v>
      </c>
      <c r="D328" s="248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48" t="s">
        <v>123</v>
      </c>
      <c r="D329" s="248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48" t="s">
        <v>127</v>
      </c>
      <c r="D330" s="248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48" t="s">
        <v>127</v>
      </c>
      <c r="D331" s="248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48" t="s">
        <v>127</v>
      </c>
      <c r="D332" s="248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48" t="s">
        <v>127</v>
      </c>
      <c r="D333" s="248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48" t="s">
        <v>127</v>
      </c>
      <c r="D334" s="248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48" t="s">
        <v>128</v>
      </c>
      <c r="D335" s="248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48" t="s">
        <v>128</v>
      </c>
      <c r="D336" s="248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48" t="s">
        <v>128</v>
      </c>
      <c r="D337" s="248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48" t="s">
        <v>128</v>
      </c>
      <c r="D338" s="248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59" t="s">
        <v>129</v>
      </c>
      <c r="D339" s="260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59" t="s">
        <v>129</v>
      </c>
      <c r="D340" s="260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48" t="s">
        <v>130</v>
      </c>
      <c r="D341" s="248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48" t="s">
        <v>130</v>
      </c>
      <c r="D342" s="248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48" t="s">
        <v>130</v>
      </c>
      <c r="D343" s="248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48" t="s">
        <v>130</v>
      </c>
      <c r="D344" s="248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48" t="s">
        <v>130</v>
      </c>
      <c r="D345" s="248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48" t="s">
        <v>134</v>
      </c>
      <c r="D346" s="248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48" t="s">
        <v>134</v>
      </c>
      <c r="D347" s="248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59" t="s">
        <v>137</v>
      </c>
      <c r="D348" s="260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59" t="s">
        <v>137</v>
      </c>
      <c r="D349" s="260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48" t="s">
        <v>139</v>
      </c>
      <c r="D350" s="248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48" t="s">
        <v>141</v>
      </c>
      <c r="D351" s="248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48" t="s">
        <v>143</v>
      </c>
      <c r="D352" s="248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48" t="s">
        <v>143</v>
      </c>
      <c r="D353" s="248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48" t="s">
        <v>143</v>
      </c>
      <c r="D354" s="248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48" t="s">
        <v>145</v>
      </c>
      <c r="D355" s="248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48" t="s">
        <v>145</v>
      </c>
      <c r="D356" s="248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48" t="s">
        <v>145</v>
      </c>
      <c r="D357" s="248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48" t="s">
        <v>145</v>
      </c>
      <c r="D358" s="248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59" t="s">
        <v>148</v>
      </c>
      <c r="D359" s="260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59" t="s">
        <v>148</v>
      </c>
      <c r="D360" s="260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59" t="s">
        <v>148</v>
      </c>
      <c r="D361" s="260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59" t="s">
        <v>150</v>
      </c>
      <c r="D362" s="260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59" t="s">
        <v>150</v>
      </c>
      <c r="D363" s="260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59" t="s">
        <v>150</v>
      </c>
      <c r="D364" s="260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59" t="s">
        <v>150</v>
      </c>
      <c r="D365" s="260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59" t="s">
        <v>153</v>
      </c>
      <c r="D366" s="260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59" t="s">
        <v>153</v>
      </c>
      <c r="D367" s="260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59" t="s">
        <v>153</v>
      </c>
      <c r="D368" s="260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59" t="s">
        <v>153</v>
      </c>
      <c r="D369" s="260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66" t="s">
        <v>154</v>
      </c>
      <c r="D370" s="26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66" t="s">
        <v>154</v>
      </c>
      <c r="D371" s="26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66" t="s">
        <v>154</v>
      </c>
      <c r="D372" s="26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66" t="s">
        <v>154</v>
      </c>
      <c r="D373" s="26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66" t="s">
        <v>155</v>
      </c>
      <c r="D374" s="26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66" t="s">
        <v>155</v>
      </c>
      <c r="D375" s="26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66" t="s">
        <v>155</v>
      </c>
      <c r="D376" s="26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48" t="s">
        <v>156</v>
      </c>
      <c r="D377" s="248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48" t="s">
        <v>157</v>
      </c>
      <c r="D378" s="248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48" t="s">
        <v>157</v>
      </c>
      <c r="D379" s="248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48" t="s">
        <v>159</v>
      </c>
      <c r="D380" s="248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48" t="s">
        <v>159</v>
      </c>
      <c r="D381" s="248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48" t="s">
        <v>159</v>
      </c>
      <c r="D382" s="248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48" t="s">
        <v>159</v>
      </c>
      <c r="D383" s="248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48" t="s">
        <v>161</v>
      </c>
      <c r="D384" s="248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48" t="s">
        <v>161</v>
      </c>
      <c r="D385" s="248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48" t="s">
        <v>162</v>
      </c>
      <c r="D386" s="248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48" t="s">
        <v>162</v>
      </c>
      <c r="D387" s="248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48" t="s">
        <v>162</v>
      </c>
      <c r="D388" s="248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48" t="s">
        <v>162</v>
      </c>
      <c r="D389" s="248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48" t="s">
        <v>165</v>
      </c>
      <c r="D390" s="248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48" t="s">
        <v>165</v>
      </c>
      <c r="D391" s="248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48" t="s">
        <v>165</v>
      </c>
      <c r="D392" s="248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48" t="s">
        <v>165</v>
      </c>
      <c r="D393" s="248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48" t="s">
        <v>165</v>
      </c>
      <c r="D394" s="248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48" t="s">
        <v>165</v>
      </c>
      <c r="D395" s="248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62" t="s">
        <v>168</v>
      </c>
      <c r="D396" s="263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62" t="s">
        <v>168</v>
      </c>
      <c r="D397" s="263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59" t="s">
        <v>168</v>
      </c>
      <c r="D398" s="260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39">
        <v>300358</v>
      </c>
      <c r="B399" s="135">
        <v>13002</v>
      </c>
      <c r="C399" s="259" t="s">
        <v>168</v>
      </c>
      <c r="D399" s="260"/>
      <c r="E399" s="150" t="s">
        <v>66</v>
      </c>
      <c r="F399" s="13"/>
      <c r="G399" s="141">
        <v>9</v>
      </c>
      <c r="H399" s="146">
        <v>0.7</v>
      </c>
      <c r="I399" s="146">
        <f>8+H399</f>
        <v>8.6999999999999993</v>
      </c>
      <c r="J399" s="146"/>
      <c r="K399" s="136">
        <f t="shared" si="46"/>
        <v>3942</v>
      </c>
      <c r="L399" s="146">
        <f t="shared" si="47"/>
        <v>3810.6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40.094696969696962</v>
      </c>
      <c r="Q399" s="146">
        <v>8.5</v>
      </c>
      <c r="R399" s="19">
        <f t="shared" si="49"/>
        <v>51</v>
      </c>
      <c r="S399" s="146">
        <f t="shared" si="50"/>
        <v>10.905303030303038</v>
      </c>
      <c r="T399" s="20">
        <v>5</v>
      </c>
      <c r="U399" s="20">
        <v>6</v>
      </c>
      <c r="V399" s="143">
        <f t="array" ref="V399">IF(ISERROR(L399/K399),"",L399/K399)</f>
        <v>0.96666666666666667</v>
      </c>
      <c r="W399" s="20"/>
      <c r="X399" s="20">
        <f>20/60*6</f>
        <v>2</v>
      </c>
      <c r="Y399" s="20"/>
      <c r="Z399" s="20"/>
      <c r="AA399" s="20">
        <v>2</v>
      </c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48" t="s">
        <v>312</v>
      </c>
      <c r="D400" s="24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48" t="s">
        <v>312</v>
      </c>
      <c r="D401" s="24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48" t="s">
        <v>312</v>
      </c>
      <c r="D402" s="24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48" t="s">
        <v>312</v>
      </c>
      <c r="D403" s="24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59" t="s">
        <v>172</v>
      </c>
      <c r="D404" s="26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59" t="s">
        <v>172</v>
      </c>
      <c r="D405" s="26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59" t="s">
        <v>172</v>
      </c>
      <c r="D406" s="26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59" t="s">
        <v>172</v>
      </c>
      <c r="D407" s="26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46">
        <f t="array" ref="G408">SUM(IF(ISERROR(G215:G407),“”,G215:G407))</f>
        <v>28</v>
      </c>
      <c r="H408" s="146">
        <f t="array" ref="H408">SUM(IF(ISERROR(H215:H407),“”,H215:H407))</f>
        <v>0.7</v>
      </c>
      <c r="I408" s="146">
        <f t="array" ref="I408">SUM(IF(ISERROR(I215:I407),“”,I215:I407))</f>
        <v>27.7</v>
      </c>
      <c r="J408" s="146">
        <f t="array" ref="J408">SUM(IF(ISERROR(J215:J407),“”,J215:J407))</f>
        <v>0</v>
      </c>
      <c r="K408" s="146">
        <f t="array" ref="K408">SUM(IF(ISERROR(K215:K407),“”,K215:K407))</f>
        <v>11898.8</v>
      </c>
      <c r="L408" s="117">
        <f>SUM(L215:L399)</f>
        <v>11767.4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217.37218624531613</v>
      </c>
      <c r="Q408" s="146"/>
      <c r="R408" s="56">
        <f>SUM((R215:R399),(Y413:Z418))</f>
        <v>243.5</v>
      </c>
      <c r="S408" s="146">
        <f t="array" ref="S408">SUM(IF(ISERROR(S215:S407),“”,S215:S407))</f>
        <v>-27.872186245316122</v>
      </c>
      <c r="T408" s="146"/>
      <c r="U408" s="146"/>
      <c r="V408" s="143">
        <f t="array" ref="V408">IF(ISERROR(L408/K408),"",L408/K408)</f>
        <v>0.98895686960029583</v>
      </c>
      <c r="W408" s="146">
        <f t="array" ref="W408">SUM(IF(ISERROR(W215:W407),“”,W215:W407))</f>
        <v>0</v>
      </c>
      <c r="X408" s="146">
        <f t="array" ref="X408">SUM(IF(ISERROR(X215:X407),“”,X215:X407))</f>
        <v>2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2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0.89269891681854674</v>
      </c>
      <c r="P409" s="274"/>
      <c r="Q409" s="274"/>
      <c r="R409" s="275"/>
      <c r="S409" s="44"/>
      <c r="T409" s="45"/>
      <c r="U409" s="45"/>
      <c r="V409" s="45"/>
      <c r="W409" s="276">
        <f>SUM(W408:AC408)</f>
        <v>4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2274</v>
      </c>
      <c r="F412" s="279"/>
      <c r="G412" s="279">
        <v>2274</v>
      </c>
      <c r="H412" s="279"/>
      <c r="I412" s="279">
        <f>G412-E412</f>
        <v>0</v>
      </c>
      <c r="J412" s="279"/>
      <c r="K412" s="281">
        <f t="array" ref="K412">IF(ISERROR(I412/E412),"",I412/E412)</f>
        <v>0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13</v>
      </c>
      <c r="T412" s="284"/>
      <c r="U412" s="284">
        <v>16</v>
      </c>
      <c r="V412" s="284"/>
      <c r="W412" s="283">
        <f>S412*9</f>
        <v>117</v>
      </c>
      <c r="X412" s="283"/>
      <c r="Y412" s="283">
        <f>U412*9</f>
        <v>144</v>
      </c>
      <c r="Z412" s="283"/>
      <c r="AA412" s="283">
        <f t="shared" ref="AA412:AA419" si="59">Y412-W412</f>
        <v>27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2</v>
      </c>
      <c r="T413" s="284"/>
      <c r="U413" s="284">
        <v>6</v>
      </c>
      <c r="V413" s="284"/>
      <c r="W413" s="283">
        <f t="shared" ref="W413:W419" si="60">S413*9</f>
        <v>18</v>
      </c>
      <c r="X413" s="283"/>
      <c r="Y413" s="283">
        <f t="shared" ref="Y413:Y419" si="61">U413*9</f>
        <v>54</v>
      </c>
      <c r="Z413" s="283"/>
      <c r="AA413" s="283">
        <f t="shared" si="59"/>
        <v>36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0</v>
      </c>
      <c r="V414" s="284"/>
      <c r="W414" s="283">
        <f t="shared" si="60"/>
        <v>6.75</v>
      </c>
      <c r="X414" s="283"/>
      <c r="Y414" s="283">
        <f t="shared" si="61"/>
        <v>0</v>
      </c>
      <c r="Z414" s="283"/>
      <c r="AA414" s="283">
        <f t="shared" si="59"/>
        <v>-6.75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44">
        <v>5</v>
      </c>
      <c r="G415" s="324">
        <v>148956</v>
      </c>
      <c r="H415" s="324"/>
      <c r="I415" s="325">
        <v>148909</v>
      </c>
      <c r="J415" s="326"/>
      <c r="K415" s="289">
        <f>G415-I415</f>
        <v>47</v>
      </c>
      <c r="L415" s="289"/>
      <c r="M415" s="290">
        <f t="array" ref="M415">IF(ISERROR(K415/L408),"",K415/(L408/1000))</f>
        <v>3.99408535445383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0</v>
      </c>
      <c r="V415" s="284"/>
      <c r="W415" s="283">
        <f t="shared" si="60"/>
        <v>6.75</v>
      </c>
      <c r="X415" s="283"/>
      <c r="Y415" s="283">
        <f t="shared" si="61"/>
        <v>0</v>
      </c>
      <c r="Z415" s="283"/>
      <c r="AA415" s="283">
        <f t="shared" si="59"/>
        <v>-6.75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44">
        <v>105</v>
      </c>
      <c r="G416" s="322">
        <f>28530.1*120+44815.6*60</f>
        <v>6112548</v>
      </c>
      <c r="H416" s="323"/>
      <c r="I416" s="322">
        <v>6111402</v>
      </c>
      <c r="J416" s="323"/>
      <c r="K416" s="289">
        <f>G416-I416</f>
        <v>1146</v>
      </c>
      <c r="L416" s="289"/>
      <c r="M416" s="290">
        <f t="array" ref="M416">IF(ISERROR(K416/L408),"",K416/(L408/1000))</f>
        <v>97.38769821710828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0</v>
      </c>
      <c r="V416" s="284"/>
      <c r="W416" s="283">
        <f t="shared" si="60"/>
        <v>13.5</v>
      </c>
      <c r="X416" s="283"/>
      <c r="Y416" s="283">
        <f t="shared" si="61"/>
        <v>0</v>
      </c>
      <c r="Z416" s="283"/>
      <c r="AA416" s="283">
        <f t="shared" si="59"/>
        <v>-13.5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44">
        <v>0.55000000000000004</v>
      </c>
      <c r="G417" s="324">
        <f>+I417+10</f>
        <v>27767</v>
      </c>
      <c r="H417" s="324"/>
      <c r="I417" s="327">
        <v>27757</v>
      </c>
      <c r="J417" s="328"/>
      <c r="K417" s="289">
        <f>G417-I417</f>
        <v>10</v>
      </c>
      <c r="L417" s="289"/>
      <c r="M417" s="293">
        <f t="array" ref="M417">IF(ISERROR(K417/L408),"",K417/(L408/1000))</f>
        <v>0.84980539456464466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9</v>
      </c>
      <c r="X417" s="283"/>
      <c r="Y417" s="283">
        <f t="shared" si="61"/>
        <v>9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1.44/2+1.6</f>
        <v>2.3200000000000003</v>
      </c>
      <c r="L418" s="301"/>
      <c r="M418" s="294">
        <f t="array" ref="M418">IF(ISERROR((K418+K419)/L408),"",((K418+K419)*1000)/(L408/1000))</f>
        <v>197.1548515389976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8</v>
      </c>
      <c r="V418" s="284"/>
      <c r="W418" s="283">
        <f t="shared" si="60"/>
        <v>27</v>
      </c>
      <c r="X418" s="283"/>
      <c r="Y418" s="283">
        <f t="shared" si="61"/>
        <v>72</v>
      </c>
      <c r="Z418" s="283"/>
      <c r="AA418" s="283">
        <f t="shared" si="59"/>
        <v>45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22</v>
      </c>
      <c r="T419" s="284"/>
      <c r="U419" s="284">
        <f>SUM(U412:V418)</f>
        <v>31</v>
      </c>
      <c r="V419" s="284"/>
      <c r="W419" s="283">
        <f t="shared" si="60"/>
        <v>198</v>
      </c>
      <c r="X419" s="283"/>
      <c r="Y419" s="283">
        <f t="shared" si="61"/>
        <v>279</v>
      </c>
      <c r="Z419" s="283"/>
      <c r="AA419" s="283">
        <f t="shared" si="59"/>
        <v>81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4.3103448275862064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42.177060931899639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26375.599999999999</v>
      </c>
      <c r="D423" s="337"/>
      <c r="E423" s="333" t="s">
        <v>226</v>
      </c>
      <c r="F423" s="333"/>
      <c r="G423" s="333">
        <f>L199+L408</f>
        <v>25860.275000000001</v>
      </c>
      <c r="H423" s="333"/>
      <c r="I423" s="340" t="s">
        <v>227</v>
      </c>
      <c r="J423" s="340"/>
      <c r="K423" s="339">
        <f>IF(ISERROR(G423/C423),"",G423/C423)</f>
        <v>0.98046205583948809</v>
      </c>
      <c r="L423" s="339"/>
      <c r="M423" s="333" t="s">
        <v>228</v>
      </c>
      <c r="N423" s="333"/>
      <c r="O423" s="334">
        <f>IF(ISERROR(G423/G424),"",G423/G424)</f>
        <v>47.845097132284927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469.37311648997508</v>
      </c>
      <c r="D424" s="337"/>
      <c r="E424" s="338" t="s">
        <v>18</v>
      </c>
      <c r="F424" s="338"/>
      <c r="G424" s="333">
        <f>R199+R408</f>
        <v>540.5</v>
      </c>
      <c r="H424" s="333"/>
      <c r="I424" s="313" t="s">
        <v>176</v>
      </c>
      <c r="J424" s="313"/>
      <c r="K424" s="339">
        <f>IF(ISERROR(C424/G424),"",C424/G424)</f>
        <v>0.86840539591114718</v>
      </c>
      <c r="L424" s="339"/>
      <c r="M424" s="279" t="s">
        <v>230</v>
      </c>
      <c r="N424" s="279"/>
      <c r="O424" s="333">
        <f>W200+W409</f>
        <v>4</v>
      </c>
      <c r="P424" s="279"/>
      <c r="Q424" s="279" t="s">
        <v>231</v>
      </c>
      <c r="R424" s="279"/>
      <c r="S424" s="339">
        <f t="array" ref="S424">IF(ISERROR(O424/G424),"",O424/G424)</f>
        <v>7.4005550416281225E-3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93</v>
      </c>
      <c r="D426" s="337"/>
      <c r="E426" s="333" t="s">
        <v>234</v>
      </c>
      <c r="F426" s="333"/>
      <c r="G426" s="293">
        <f t="array" ref="G426">IF(ISERROR(C426/G423),"",C426/(G423/1000))</f>
        <v>3.5962494598375305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2154</v>
      </c>
      <c r="D427" s="337"/>
      <c r="E427" s="333" t="s">
        <v>236</v>
      </c>
      <c r="F427" s="333"/>
      <c r="G427" s="293">
        <f>IF(ISERROR(C427/G423),"",C427/(G423/1000))</f>
        <v>83.293777811720872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20</v>
      </c>
      <c r="D428" s="337"/>
      <c r="E428" s="333" t="s">
        <v>238</v>
      </c>
      <c r="F428" s="333"/>
      <c r="G428" s="293">
        <f>IF(ISERROR(C428/G423),"",C428/(G423/1000))</f>
        <v>0.7733869806102216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4.6400000000000006</v>
      </c>
      <c r="D429" s="337"/>
      <c r="E429" s="333" t="s">
        <v>240</v>
      </c>
      <c r="F429" s="333"/>
      <c r="G429" s="341">
        <f>IF(ISERROR(C429/G423),"",C429/(G423/1000))</f>
        <v>0.17942577950157143</v>
      </c>
      <c r="H429" s="341"/>
      <c r="I429" s="333" t="s">
        <v>241</v>
      </c>
      <c r="J429" s="333"/>
      <c r="K429" s="342">
        <f>IF(ISERROR(C428/C429),"",C428/C429)</f>
        <v>4.3103448275862064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5006.8</v>
      </c>
      <c r="D433" s="346"/>
      <c r="E433" s="333" t="s">
        <v>251</v>
      </c>
      <c r="F433" s="333"/>
      <c r="G433" s="347">
        <f>+G412+G203</f>
        <v>5076.8</v>
      </c>
      <c r="H433" s="348"/>
      <c r="I433" s="333" t="s">
        <v>252</v>
      </c>
      <c r="J433" s="333"/>
      <c r="K433" s="315">
        <f>G433-C433</f>
        <v>70</v>
      </c>
      <c r="L433" s="317"/>
      <c r="M433" s="349" t="s">
        <v>253</v>
      </c>
      <c r="N433" s="350"/>
      <c r="O433" s="343">
        <f t="array" ref="O433">IF(ISERROR(K433/C433),"",K433/C433)</f>
        <v>1.3980985859231444E-2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23</v>
      </c>
      <c r="D440" s="67">
        <v>23</v>
      </c>
      <c r="E440" s="135"/>
      <c r="F440" s="135"/>
      <c r="G440" s="135"/>
      <c r="H440" s="136"/>
      <c r="I440" s="136">
        <v>6</v>
      </c>
      <c r="J440" s="83">
        <f t="shared" si="63"/>
        <v>17</v>
      </c>
      <c r="K440" s="67">
        <v>2</v>
      </c>
      <c r="L440" s="67"/>
      <c r="M440" s="67"/>
      <c r="N440" s="67"/>
      <c r="O440" s="67"/>
      <c r="P440" s="118"/>
      <c r="Q440" s="83">
        <f t="shared" si="64"/>
        <v>15</v>
      </c>
      <c r="R440" s="140">
        <f t="shared" si="65"/>
        <v>165</v>
      </c>
      <c r="S440" s="101">
        <f t="array" ref="S440">IF(ISERROR(Q440/J440),"",Q440/J440)</f>
        <v>0.88235294117647056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6</v>
      </c>
      <c r="J443" s="84">
        <f t="shared" si="63"/>
        <v>36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34</v>
      </c>
      <c r="R443" s="140">
        <f t="shared" si="65"/>
        <v>374</v>
      </c>
      <c r="S443" s="120">
        <f t="array" ref="S443">IF(ISERROR(Q443/J443),"",Q443/J443)</f>
        <v>0.94444444444444442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9</v>
      </c>
      <c r="J447" s="83">
        <f t="shared" si="63"/>
        <v>15</v>
      </c>
      <c r="K447" s="67"/>
      <c r="L447" s="67"/>
      <c r="M447" s="67"/>
      <c r="N447" s="67"/>
      <c r="O447" s="67"/>
      <c r="P447" s="67"/>
      <c r="Q447" s="83">
        <f t="shared" si="64"/>
        <v>15</v>
      </c>
      <c r="R447" s="140">
        <f t="shared" si="68"/>
        <v>172.5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9</v>
      </c>
      <c r="J450" s="85">
        <f t="shared" si="63"/>
        <v>31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31</v>
      </c>
      <c r="R450" s="140">
        <f t="shared" si="68"/>
        <v>356.5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15</v>
      </c>
      <c r="J452" s="85">
        <f t="shared" si="63"/>
        <v>39</v>
      </c>
      <c r="K452" s="69">
        <f t="shared" ref="K452:P452" si="71">+K443+K450+K451</f>
        <v>2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37</v>
      </c>
      <c r="R452" s="67">
        <f>R443+R450+R451</f>
        <v>752.5</v>
      </c>
      <c r="S452" s="123">
        <f t="array" ref="S452">IF(ISERROR(Q452/J452),"",Q452/J452)</f>
        <v>0.94871794871794868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7"/>
  <dimension ref="A1:AC454"/>
  <sheetViews>
    <sheetView workbookViewId="0">
      <pane xSplit="5" ySplit="77" topLeftCell="F310" activePane="bottomRight" state="frozen"/>
      <selection pane="topRight" activeCell="F1" sqref="F1"/>
      <selection pane="bottomLeft" activeCell="A78" sqref="A78"/>
      <selection pane="bottomRight" activeCell="G415" sqref="G415:H417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35" t="s">
        <v>25</v>
      </c>
      <c r="S5" s="249"/>
      <c r="T5" s="251"/>
      <c r="U5" s="251"/>
      <c r="V5" s="253"/>
      <c r="W5" s="135" t="s">
        <v>26</v>
      </c>
      <c r="X5" s="18" t="s">
        <v>27</v>
      </c>
      <c r="Y5" s="18" t="s">
        <v>28</v>
      </c>
      <c r="Z5" s="135" t="s">
        <v>29</v>
      </c>
      <c r="AA5" s="18" t="s">
        <v>30</v>
      </c>
      <c r="AB5" s="18" t="s">
        <v>31</v>
      </c>
      <c r="AC5" s="135" t="s">
        <v>32</v>
      </c>
    </row>
    <row r="6" spans="1:29" ht="21.95" hidden="1" customHeight="1">
      <c r="A6" s="142">
        <v>300320</v>
      </c>
      <c r="B6" s="135" t="s">
        <v>33</v>
      </c>
      <c r="C6" s="261" t="s">
        <v>34</v>
      </c>
      <c r="D6" s="261"/>
      <c r="E6" s="148" t="s">
        <v>35</v>
      </c>
      <c r="F6" s="13"/>
      <c r="G6" s="110"/>
      <c r="H6" s="110"/>
      <c r="I6" s="110"/>
      <c r="J6" s="110"/>
      <c r="K6" s="146">
        <f t="shared" ref="K6:K76" si="0">G6*M6</f>
        <v>0</v>
      </c>
      <c r="L6" s="146">
        <f t="shared" ref="L6:L76" si="1">I6*M6</f>
        <v>0</v>
      </c>
      <c r="M6" s="146">
        <v>633.6</v>
      </c>
      <c r="N6" s="146">
        <f>+M6*1000/(28.3*10*40*60)*T6</f>
        <v>4.6643109540636036</v>
      </c>
      <c r="O6" s="146"/>
      <c r="P6" s="146">
        <f t="shared" ref="P6:P76" si="2">N6*I6+O6*U6</f>
        <v>0</v>
      </c>
      <c r="Q6" s="146"/>
      <c r="R6" s="19">
        <f t="shared" ref="R6:R76" si="3">Q6*U6</f>
        <v>0</v>
      </c>
      <c r="S6" s="146">
        <f t="shared" ref="S6:S76" si="4">R6-P6</f>
        <v>0</v>
      </c>
      <c r="T6" s="20">
        <v>5</v>
      </c>
      <c r="U6" s="20"/>
      <c r="V6" s="143" t="str">
        <f t="array" ref="V6">IF(ISERROR(L6/K6),"",L6/K6)</f>
        <v/>
      </c>
      <c r="W6" s="20"/>
      <c r="X6" s="135"/>
      <c r="Y6" s="135"/>
      <c r="Z6" s="147"/>
      <c r="AA6" s="20"/>
      <c r="AB6" s="20"/>
      <c r="AC6" s="20"/>
    </row>
    <row r="7" spans="1:29" ht="21.95" hidden="1" customHeight="1">
      <c r="A7" s="142">
        <v>300318</v>
      </c>
      <c r="B7" s="135" t="s">
        <v>33</v>
      </c>
      <c r="C7" s="261" t="s">
        <v>34</v>
      </c>
      <c r="D7" s="261"/>
      <c r="E7" s="148" t="s">
        <v>36</v>
      </c>
      <c r="F7" s="13"/>
      <c r="G7" s="110"/>
      <c r="H7" s="110"/>
      <c r="I7" s="110"/>
      <c r="J7" s="110"/>
      <c r="K7" s="146">
        <f t="shared" si="0"/>
        <v>0</v>
      </c>
      <c r="L7" s="146">
        <f t="shared" si="1"/>
        <v>0</v>
      </c>
      <c r="M7" s="146">
        <v>633.6</v>
      </c>
      <c r="N7" s="146">
        <f t="shared" ref="N7:N13" si="5">+M7*1000/(28.3*10*40*60)*T7</f>
        <v>4.6643109540636036</v>
      </c>
      <c r="O7" s="146"/>
      <c r="P7" s="146">
        <f t="shared" si="2"/>
        <v>0</v>
      </c>
      <c r="Q7" s="146"/>
      <c r="R7" s="19">
        <f t="shared" si="3"/>
        <v>0</v>
      </c>
      <c r="S7" s="146">
        <f t="shared" si="4"/>
        <v>0</v>
      </c>
      <c r="T7" s="20">
        <v>5</v>
      </c>
      <c r="U7" s="20"/>
      <c r="V7" s="143" t="str">
        <f t="array" ref="V7">IF(ISERROR(L7/K7),"",L7/K7)</f>
        <v/>
      </c>
      <c r="W7" s="20"/>
      <c r="X7" s="135"/>
      <c r="Y7" s="135"/>
      <c r="Z7" s="147"/>
      <c r="AA7" s="20"/>
      <c r="AB7" s="20"/>
      <c r="AC7" s="20"/>
    </row>
    <row r="8" spans="1:29" ht="21.95" hidden="1" customHeight="1">
      <c r="A8" s="142">
        <v>300319</v>
      </c>
      <c r="B8" s="135" t="s">
        <v>33</v>
      </c>
      <c r="C8" s="261" t="s">
        <v>34</v>
      </c>
      <c r="D8" s="261"/>
      <c r="E8" s="148" t="s">
        <v>37</v>
      </c>
      <c r="F8" s="13"/>
      <c r="G8" s="110"/>
      <c r="H8" s="110"/>
      <c r="I8" s="110"/>
      <c r="J8" s="110"/>
      <c r="K8" s="146">
        <f t="shared" si="0"/>
        <v>0</v>
      </c>
      <c r="L8" s="146">
        <f t="shared" si="1"/>
        <v>0</v>
      </c>
      <c r="M8" s="146">
        <v>633.6</v>
      </c>
      <c r="N8" s="146">
        <f t="shared" si="5"/>
        <v>4.6643109540636036</v>
      </c>
      <c r="O8" s="146"/>
      <c r="P8" s="146">
        <f t="shared" si="2"/>
        <v>0</v>
      </c>
      <c r="Q8" s="146"/>
      <c r="R8" s="19">
        <f t="shared" si="3"/>
        <v>0</v>
      </c>
      <c r="S8" s="146">
        <f t="shared" si="4"/>
        <v>0</v>
      </c>
      <c r="T8" s="20">
        <v>5</v>
      </c>
      <c r="U8" s="20"/>
      <c r="V8" s="143" t="str">
        <f t="array" ref="V8">IF(ISERROR(L8/K8),"",L8/K8)</f>
        <v/>
      </c>
      <c r="W8" s="20"/>
      <c r="X8" s="135"/>
      <c r="Y8" s="135"/>
      <c r="Z8" s="147"/>
      <c r="AA8" s="20"/>
      <c r="AB8" s="20"/>
      <c r="AC8" s="20"/>
    </row>
    <row r="9" spans="1:29" ht="21.95" hidden="1" customHeight="1">
      <c r="A9" s="142">
        <v>300316</v>
      </c>
      <c r="B9" s="135" t="s">
        <v>33</v>
      </c>
      <c r="C9" s="261" t="s">
        <v>34</v>
      </c>
      <c r="D9" s="261"/>
      <c r="E9" s="148" t="s">
        <v>38</v>
      </c>
      <c r="F9" s="13"/>
      <c r="G9" s="110"/>
      <c r="H9" s="110"/>
      <c r="I9" s="110"/>
      <c r="J9" s="110"/>
      <c r="K9" s="146">
        <f t="shared" si="0"/>
        <v>0</v>
      </c>
      <c r="L9" s="146">
        <f t="shared" si="1"/>
        <v>0</v>
      </c>
      <c r="M9" s="146">
        <v>616</v>
      </c>
      <c r="N9" s="146">
        <f t="shared" si="5"/>
        <v>4.534746760895171</v>
      </c>
      <c r="O9" s="146"/>
      <c r="P9" s="146">
        <f t="shared" si="2"/>
        <v>0</v>
      </c>
      <c r="Q9" s="146"/>
      <c r="R9" s="19">
        <f t="shared" si="3"/>
        <v>0</v>
      </c>
      <c r="S9" s="146">
        <f t="shared" si="4"/>
        <v>0</v>
      </c>
      <c r="T9" s="20">
        <v>5</v>
      </c>
      <c r="U9" s="20"/>
      <c r="V9" s="143"/>
      <c r="W9" s="20"/>
      <c r="X9" s="135"/>
      <c r="Y9" s="135"/>
      <c r="Z9" s="147"/>
      <c r="AA9" s="20"/>
      <c r="AB9" s="20"/>
      <c r="AC9" s="20"/>
    </row>
    <row r="10" spans="1:29" ht="21.95" hidden="1" customHeight="1">
      <c r="A10" s="142">
        <v>300317</v>
      </c>
      <c r="B10" s="135" t="s">
        <v>33</v>
      </c>
      <c r="C10" s="248" t="s">
        <v>34</v>
      </c>
      <c r="D10" s="248"/>
      <c r="E10" s="148" t="s">
        <v>39</v>
      </c>
      <c r="F10" s="13"/>
      <c r="G10" s="110"/>
      <c r="H10" s="110"/>
      <c r="I10" s="110"/>
      <c r="J10" s="110"/>
      <c r="K10" s="146">
        <f t="shared" si="0"/>
        <v>0</v>
      </c>
      <c r="L10" s="146">
        <f t="shared" si="1"/>
        <v>0</v>
      </c>
      <c r="M10" s="146">
        <v>616</v>
      </c>
      <c r="N10" s="146">
        <f t="shared" si="5"/>
        <v>4.534746760895171</v>
      </c>
      <c r="O10" s="146"/>
      <c r="P10" s="146">
        <f t="shared" si="2"/>
        <v>0</v>
      </c>
      <c r="Q10" s="146"/>
      <c r="R10" s="19">
        <f t="shared" si="3"/>
        <v>0</v>
      </c>
      <c r="S10" s="146">
        <f t="shared" si="4"/>
        <v>0</v>
      </c>
      <c r="T10" s="20">
        <v>5</v>
      </c>
      <c r="U10" s="20"/>
      <c r="V10" s="143"/>
      <c r="W10" s="20"/>
      <c r="X10" s="135"/>
      <c r="Y10" s="135"/>
      <c r="Z10" s="147"/>
      <c r="AA10" s="20"/>
      <c r="AB10" s="20"/>
      <c r="AC10" s="20"/>
    </row>
    <row r="11" spans="1:29" ht="21.95" hidden="1" customHeight="1">
      <c r="A11" s="142">
        <v>300315</v>
      </c>
      <c r="B11" s="135" t="s">
        <v>33</v>
      </c>
      <c r="C11" s="248" t="s">
        <v>34</v>
      </c>
      <c r="D11" s="248"/>
      <c r="E11" s="148" t="s">
        <v>40</v>
      </c>
      <c r="F11" s="13"/>
      <c r="G11" s="110"/>
      <c r="H11" s="110"/>
      <c r="I11" s="110"/>
      <c r="J11" s="110"/>
      <c r="K11" s="146">
        <f t="shared" si="0"/>
        <v>0</v>
      </c>
      <c r="L11" s="146">
        <f t="shared" si="1"/>
        <v>0</v>
      </c>
      <c r="M11" s="146">
        <v>616</v>
      </c>
      <c r="N11" s="146">
        <f t="shared" si="5"/>
        <v>4.534746760895171</v>
      </c>
      <c r="O11" s="146"/>
      <c r="P11" s="146">
        <f t="shared" si="2"/>
        <v>0</v>
      </c>
      <c r="Q11" s="146"/>
      <c r="R11" s="19">
        <f t="shared" si="3"/>
        <v>0</v>
      </c>
      <c r="S11" s="146">
        <f t="shared" si="4"/>
        <v>0</v>
      </c>
      <c r="T11" s="20">
        <v>5</v>
      </c>
      <c r="U11" s="20"/>
      <c r="V11" s="143" t="str">
        <f t="array" ref="V11">IF(ISERROR(L11/K11),"",L11/K11)</f>
        <v/>
      </c>
      <c r="W11" s="20"/>
      <c r="X11" s="135"/>
      <c r="Y11" s="135"/>
      <c r="Z11" s="147"/>
      <c r="AA11" s="20"/>
      <c r="AB11" s="20"/>
      <c r="AC11" s="20"/>
    </row>
    <row r="12" spans="1:29" ht="21.95" hidden="1" customHeight="1">
      <c r="A12" s="142">
        <v>300314</v>
      </c>
      <c r="B12" s="135" t="s">
        <v>33</v>
      </c>
      <c r="C12" s="248" t="s">
        <v>34</v>
      </c>
      <c r="D12" s="248"/>
      <c r="E12" s="148" t="s">
        <v>41</v>
      </c>
      <c r="F12" s="13"/>
      <c r="G12" s="110"/>
      <c r="H12" s="110"/>
      <c r="I12" s="110"/>
      <c r="J12" s="110"/>
      <c r="K12" s="146">
        <f t="shared" si="0"/>
        <v>0</v>
      </c>
      <c r="L12" s="146">
        <f t="shared" si="1"/>
        <v>0</v>
      </c>
      <c r="M12" s="146">
        <v>616</v>
      </c>
      <c r="N12" s="146">
        <f t="shared" si="5"/>
        <v>4.534746760895171</v>
      </c>
      <c r="O12" s="146"/>
      <c r="P12" s="146">
        <f t="shared" si="2"/>
        <v>0</v>
      </c>
      <c r="Q12" s="146"/>
      <c r="R12" s="19">
        <f t="shared" si="3"/>
        <v>0</v>
      </c>
      <c r="S12" s="146">
        <f t="shared" si="4"/>
        <v>0</v>
      </c>
      <c r="T12" s="20">
        <v>5</v>
      </c>
      <c r="U12" s="20"/>
      <c r="V12" s="143" t="str">
        <f t="array" ref="V12">IF(ISERROR(L12/K12),"",L12/K12)</f>
        <v/>
      </c>
      <c r="W12" s="20"/>
      <c r="X12" s="135"/>
      <c r="Y12" s="135"/>
      <c r="Z12" s="147"/>
      <c r="AA12" s="20"/>
      <c r="AB12" s="20"/>
      <c r="AC12" s="20"/>
    </row>
    <row r="13" spans="1:29" ht="21.95" hidden="1" customHeight="1">
      <c r="A13" s="142">
        <v>300313</v>
      </c>
      <c r="B13" s="135" t="s">
        <v>33</v>
      </c>
      <c r="C13" s="248" t="s">
        <v>34</v>
      </c>
      <c r="D13" s="248"/>
      <c r="E13" s="148" t="s">
        <v>42</v>
      </c>
      <c r="F13" s="13"/>
      <c r="G13" s="110"/>
      <c r="H13" s="110"/>
      <c r="I13" s="110"/>
      <c r="J13" s="110"/>
      <c r="K13" s="146">
        <f t="shared" si="0"/>
        <v>0</v>
      </c>
      <c r="L13" s="146">
        <f t="shared" si="1"/>
        <v>0</v>
      </c>
      <c r="M13" s="146">
        <v>616</v>
      </c>
      <c r="N13" s="146">
        <f t="shared" si="5"/>
        <v>4.534746760895171</v>
      </c>
      <c r="O13" s="146"/>
      <c r="P13" s="146">
        <f t="shared" si="2"/>
        <v>0</v>
      </c>
      <c r="Q13" s="146"/>
      <c r="R13" s="19">
        <f t="shared" si="3"/>
        <v>0</v>
      </c>
      <c r="S13" s="146">
        <f t="shared" si="4"/>
        <v>0</v>
      </c>
      <c r="T13" s="20">
        <v>5</v>
      </c>
      <c r="U13" s="20"/>
      <c r="V13" s="143" t="str">
        <f t="array" ref="V13">IF(ISERROR(L13/K13),"",L13/K13)</f>
        <v/>
      </c>
      <c r="W13" s="20"/>
      <c r="X13" s="135"/>
      <c r="Y13" s="135"/>
      <c r="Z13" s="147"/>
      <c r="AA13" s="20"/>
      <c r="AB13" s="20"/>
      <c r="AC13" s="20"/>
    </row>
    <row r="14" spans="1:29" ht="21.95" hidden="1" customHeight="1">
      <c r="A14" s="142"/>
      <c r="B14" s="135" t="s">
        <v>43</v>
      </c>
      <c r="C14" s="259" t="s">
        <v>313</v>
      </c>
      <c r="D14" s="260"/>
      <c r="E14" s="148" t="s">
        <v>314</v>
      </c>
      <c r="F14" s="13"/>
      <c r="G14" s="110"/>
      <c r="H14" s="110"/>
      <c r="I14" s="110"/>
      <c r="J14" s="110"/>
      <c r="K14" s="146">
        <f t="shared" si="0"/>
        <v>0</v>
      </c>
      <c r="L14" s="146">
        <f t="shared" si="1"/>
        <v>0</v>
      </c>
      <c r="M14" s="146">
        <v>213.4</v>
      </c>
      <c r="N14" s="146">
        <f>+M14*1000/(15.4*10*17*60)*T14</f>
        <v>4.0756302521008401</v>
      </c>
      <c r="O14" s="146"/>
      <c r="P14" s="146">
        <f t="shared" si="2"/>
        <v>0</v>
      </c>
      <c r="Q14" s="146"/>
      <c r="R14" s="19">
        <f t="shared" si="3"/>
        <v>0</v>
      </c>
      <c r="S14" s="146">
        <f t="shared" si="4"/>
        <v>0</v>
      </c>
      <c r="T14" s="20">
        <v>3</v>
      </c>
      <c r="U14" s="20"/>
      <c r="V14" s="143"/>
      <c r="W14" s="20"/>
      <c r="X14" s="135"/>
      <c r="Y14" s="135"/>
      <c r="Z14" s="147"/>
      <c r="AA14" s="20"/>
      <c r="AB14" s="20"/>
      <c r="AC14" s="20"/>
    </row>
    <row r="15" spans="1:29" ht="21.95" hidden="1" customHeight="1">
      <c r="A15" s="142"/>
      <c r="B15" s="135" t="s">
        <v>43</v>
      </c>
      <c r="C15" s="259" t="s">
        <v>313</v>
      </c>
      <c r="D15" s="260"/>
      <c r="E15" s="148" t="s">
        <v>315</v>
      </c>
      <c r="F15" s="13"/>
      <c r="G15" s="110"/>
      <c r="H15" s="110"/>
      <c r="I15" s="110"/>
      <c r="J15" s="110"/>
      <c r="K15" s="146">
        <f t="shared" si="0"/>
        <v>0</v>
      </c>
      <c r="L15" s="146">
        <f t="shared" si="1"/>
        <v>0</v>
      </c>
      <c r="M15" s="146">
        <v>213.4</v>
      </c>
      <c r="N15" s="146">
        <f>+M15*1000/(15.4*10*17*60)*T15</f>
        <v>4.0756302521008401</v>
      </c>
      <c r="O15" s="146"/>
      <c r="P15" s="146">
        <f t="shared" si="2"/>
        <v>0</v>
      </c>
      <c r="Q15" s="146"/>
      <c r="R15" s="19">
        <f t="shared" si="3"/>
        <v>0</v>
      </c>
      <c r="S15" s="146">
        <f t="shared" si="4"/>
        <v>0</v>
      </c>
      <c r="T15" s="20">
        <v>3</v>
      </c>
      <c r="U15" s="20"/>
      <c r="V15" s="143"/>
      <c r="W15" s="20"/>
      <c r="X15" s="135"/>
      <c r="Y15" s="135"/>
      <c r="Z15" s="147"/>
      <c r="AA15" s="20"/>
      <c r="AB15" s="20"/>
      <c r="AC15" s="20"/>
    </row>
    <row r="16" spans="1:29" ht="21" hidden="1" customHeight="1">
      <c r="A16" s="135">
        <v>300202</v>
      </c>
      <c r="B16" s="135" t="s">
        <v>43</v>
      </c>
      <c r="C16" s="259" t="s">
        <v>44</v>
      </c>
      <c r="D16" s="260"/>
      <c r="E16" s="135" t="s">
        <v>35</v>
      </c>
      <c r="F16" s="13"/>
      <c r="G16" s="110"/>
      <c r="H16" s="110"/>
      <c r="I16" s="110"/>
      <c r="J16" s="110"/>
      <c r="K16" s="146">
        <f t="shared" si="0"/>
        <v>0</v>
      </c>
      <c r="L16" s="146">
        <f t="shared" si="1"/>
        <v>0</v>
      </c>
      <c r="M16" s="146">
        <v>212.4</v>
      </c>
      <c r="N16" s="146">
        <f>+M16*1000/(15.4*10*17*60)*T16</f>
        <v>4.0565317035905268</v>
      </c>
      <c r="O16" s="146"/>
      <c r="P16" s="146">
        <f t="shared" si="2"/>
        <v>0</v>
      </c>
      <c r="Q16" s="146"/>
      <c r="R16" s="19">
        <f t="shared" si="3"/>
        <v>0</v>
      </c>
      <c r="S16" s="146">
        <f t="shared" si="4"/>
        <v>0</v>
      </c>
      <c r="T16" s="20">
        <v>3</v>
      </c>
      <c r="U16" s="20"/>
      <c r="V16" s="143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35">
        <v>300203</v>
      </c>
      <c r="B17" s="135" t="s">
        <v>43</v>
      </c>
      <c r="C17" s="259" t="s">
        <v>44</v>
      </c>
      <c r="D17" s="260"/>
      <c r="E17" s="135" t="s">
        <v>41</v>
      </c>
      <c r="F17" s="13"/>
      <c r="G17" s="110"/>
      <c r="H17" s="110"/>
      <c r="I17" s="110"/>
      <c r="J17" s="110"/>
      <c r="K17" s="146">
        <f t="shared" si="0"/>
        <v>0</v>
      </c>
      <c r="L17" s="146">
        <f t="shared" si="1"/>
        <v>0</v>
      </c>
      <c r="M17" s="146">
        <v>212.4</v>
      </c>
      <c r="N17" s="146">
        <f>+M17*1000/(15.4*10*17*60)*T17</f>
        <v>4.0565317035905268</v>
      </c>
      <c r="O17" s="146"/>
      <c r="P17" s="146">
        <f t="shared" si="2"/>
        <v>0</v>
      </c>
      <c r="Q17" s="146"/>
      <c r="R17" s="19">
        <f t="shared" si="3"/>
        <v>0</v>
      </c>
      <c r="S17" s="146">
        <f t="shared" si="4"/>
        <v>0</v>
      </c>
      <c r="T17" s="20">
        <v>3</v>
      </c>
      <c r="U17" s="20"/>
      <c r="V17" s="143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35">
        <v>300204</v>
      </c>
      <c r="B18" s="135" t="s">
        <v>43</v>
      </c>
      <c r="C18" s="259" t="s">
        <v>44</v>
      </c>
      <c r="D18" s="260"/>
      <c r="E18" s="135" t="s">
        <v>37</v>
      </c>
      <c r="F18" s="13"/>
      <c r="G18" s="110"/>
      <c r="H18" s="110"/>
      <c r="I18" s="110"/>
      <c r="J18" s="110"/>
      <c r="K18" s="146">
        <f t="shared" si="0"/>
        <v>0</v>
      </c>
      <c r="L18" s="146">
        <f t="shared" si="1"/>
        <v>0</v>
      </c>
      <c r="M18" s="146">
        <v>212.4</v>
      </c>
      <c r="N18" s="146">
        <f>+M18*1000/(15.4*10*17*60)*T18</f>
        <v>4.0565317035905268</v>
      </c>
      <c r="O18" s="146"/>
      <c r="P18" s="146">
        <f t="shared" si="2"/>
        <v>0</v>
      </c>
      <c r="Q18" s="146"/>
      <c r="R18" s="19">
        <f t="shared" si="3"/>
        <v>0</v>
      </c>
      <c r="S18" s="146">
        <f t="shared" si="4"/>
        <v>0</v>
      </c>
      <c r="T18" s="20">
        <v>3</v>
      </c>
      <c r="U18" s="20"/>
      <c r="V18" s="143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42">
        <v>300269</v>
      </c>
      <c r="B19" s="135" t="s">
        <v>43</v>
      </c>
      <c r="C19" s="248" t="s">
        <v>45</v>
      </c>
      <c r="D19" s="248"/>
      <c r="E19" s="148"/>
      <c r="F19" s="13"/>
      <c r="G19" s="110"/>
      <c r="H19" s="110"/>
      <c r="I19" s="110"/>
      <c r="J19" s="110"/>
      <c r="K19" s="146">
        <f t="shared" si="0"/>
        <v>0</v>
      </c>
      <c r="L19" s="146">
        <f t="shared" si="1"/>
        <v>0</v>
      </c>
      <c r="M19" s="146">
        <v>209.4</v>
      </c>
      <c r="N19" s="146">
        <f>+M19*1000/(19.4*10*16*60)*T19</f>
        <v>3.3730670103092786</v>
      </c>
      <c r="O19" s="146"/>
      <c r="P19" s="146">
        <f t="shared" si="2"/>
        <v>0</v>
      </c>
      <c r="Q19" s="146"/>
      <c r="R19" s="19">
        <f t="shared" si="3"/>
        <v>0</v>
      </c>
      <c r="S19" s="146">
        <f t="shared" si="4"/>
        <v>0</v>
      </c>
      <c r="T19" s="20">
        <v>3</v>
      </c>
      <c r="U19" s="20"/>
      <c r="V19" s="143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42"/>
      <c r="B20" s="135"/>
      <c r="C20" s="248" t="s">
        <v>46</v>
      </c>
      <c r="D20" s="248"/>
      <c r="E20" s="148" t="s">
        <v>47</v>
      </c>
      <c r="F20" s="13"/>
      <c r="G20" s="110"/>
      <c r="H20" s="110"/>
      <c r="I20" s="110"/>
      <c r="J20" s="110"/>
      <c r="K20" s="146">
        <f t="shared" si="0"/>
        <v>0</v>
      </c>
      <c r="L20" s="146">
        <f t="shared" si="1"/>
        <v>0</v>
      </c>
      <c r="M20" s="146">
        <v>209.9</v>
      </c>
      <c r="N20" s="146">
        <f>+M20*1000/(19*10*16*60)*T20</f>
        <v>3.4523026315789478</v>
      </c>
      <c r="O20" s="146"/>
      <c r="P20" s="146">
        <f t="shared" si="2"/>
        <v>0</v>
      </c>
      <c r="Q20" s="146"/>
      <c r="R20" s="19">
        <f t="shared" si="3"/>
        <v>0</v>
      </c>
      <c r="S20" s="146">
        <f t="shared" si="4"/>
        <v>0</v>
      </c>
      <c r="T20" s="20">
        <v>3</v>
      </c>
      <c r="U20" s="20"/>
      <c r="V20" s="143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42">
        <v>300350</v>
      </c>
      <c r="B21" s="135" t="s">
        <v>43</v>
      </c>
      <c r="C21" s="248" t="s">
        <v>48</v>
      </c>
      <c r="D21" s="248"/>
      <c r="E21" s="148" t="s">
        <v>49</v>
      </c>
      <c r="F21" s="13"/>
      <c r="G21" s="110"/>
      <c r="H21" s="110"/>
      <c r="I21" s="110"/>
      <c r="J21" s="110"/>
      <c r="K21" s="146">
        <f t="shared" si="0"/>
        <v>0</v>
      </c>
      <c r="L21" s="146">
        <f t="shared" si="1"/>
        <v>0</v>
      </c>
      <c r="M21" s="146">
        <v>209.9</v>
      </c>
      <c r="N21" s="146">
        <f>+M21*1000/(19*10*16*60)*T21</f>
        <v>2.3015350877192984</v>
      </c>
      <c r="O21" s="146"/>
      <c r="P21" s="146">
        <f t="shared" si="2"/>
        <v>0</v>
      </c>
      <c r="Q21" s="146"/>
      <c r="R21" s="19">
        <f t="shared" si="3"/>
        <v>0</v>
      </c>
      <c r="S21" s="146">
        <f t="shared" si="4"/>
        <v>0</v>
      </c>
      <c r="T21" s="20">
        <v>2</v>
      </c>
      <c r="U21" s="20"/>
      <c r="V21" s="143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42">
        <v>300113</v>
      </c>
      <c r="B22" s="135" t="s">
        <v>43</v>
      </c>
      <c r="C22" s="248" t="s">
        <v>50</v>
      </c>
      <c r="D22" s="248"/>
      <c r="E22" s="148" t="s">
        <v>40</v>
      </c>
      <c r="F22" s="13"/>
      <c r="G22" s="110"/>
      <c r="H22" s="110"/>
      <c r="I22" s="110"/>
      <c r="J22" s="110"/>
      <c r="K22" s="146">
        <f t="shared" si="0"/>
        <v>0</v>
      </c>
      <c r="L22" s="146">
        <f t="shared" si="1"/>
        <v>0</v>
      </c>
      <c r="M22" s="146">
        <v>210</v>
      </c>
      <c r="N22" s="146">
        <f>M22*1000/(19.2*10*17*60)*T22</f>
        <v>2.1446078431372548</v>
      </c>
      <c r="O22" s="146"/>
      <c r="P22" s="146">
        <f t="shared" si="2"/>
        <v>0</v>
      </c>
      <c r="Q22" s="146"/>
      <c r="R22" s="19">
        <f t="shared" si="3"/>
        <v>0</v>
      </c>
      <c r="S22" s="146">
        <f t="shared" si="4"/>
        <v>0</v>
      </c>
      <c r="T22" s="20">
        <v>2</v>
      </c>
      <c r="U22" s="20"/>
      <c r="V22" s="143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42">
        <v>300114</v>
      </c>
      <c r="B23" s="135" t="s">
        <v>43</v>
      </c>
      <c r="C23" s="248" t="s">
        <v>50</v>
      </c>
      <c r="D23" s="248"/>
      <c r="E23" s="148" t="s">
        <v>42</v>
      </c>
      <c r="F23" s="13"/>
      <c r="G23" s="110"/>
      <c r="H23" s="110"/>
      <c r="I23" s="110"/>
      <c r="J23" s="110"/>
      <c r="K23" s="146">
        <f t="shared" si="0"/>
        <v>0</v>
      </c>
      <c r="L23" s="146">
        <f t="shared" si="1"/>
        <v>0</v>
      </c>
      <c r="M23" s="146">
        <v>210</v>
      </c>
      <c r="N23" s="146">
        <f>M23*1000/(19.2*10*17*60)*T23</f>
        <v>2.1446078431372548</v>
      </c>
      <c r="O23" s="146"/>
      <c r="P23" s="146">
        <f t="shared" si="2"/>
        <v>0</v>
      </c>
      <c r="Q23" s="146"/>
      <c r="R23" s="19">
        <f t="shared" si="3"/>
        <v>0</v>
      </c>
      <c r="S23" s="146">
        <f t="shared" si="4"/>
        <v>0</v>
      </c>
      <c r="T23" s="20">
        <v>2</v>
      </c>
      <c r="U23" s="20"/>
      <c r="V23" s="143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42">
        <v>300115</v>
      </c>
      <c r="B24" s="135" t="s">
        <v>43</v>
      </c>
      <c r="C24" s="248" t="s">
        <v>50</v>
      </c>
      <c r="D24" s="248"/>
      <c r="E24" s="148" t="s">
        <v>41</v>
      </c>
      <c r="F24" s="13"/>
      <c r="G24" s="110"/>
      <c r="H24" s="110"/>
      <c r="I24" s="110"/>
      <c r="J24" s="110"/>
      <c r="K24" s="146">
        <f t="shared" si="0"/>
        <v>0</v>
      </c>
      <c r="L24" s="146">
        <f t="shared" si="1"/>
        <v>0</v>
      </c>
      <c r="M24" s="146">
        <v>210</v>
      </c>
      <c r="N24" s="146">
        <f>M24*1000/(19.2*10*17*60)*T24</f>
        <v>2.1446078431372548</v>
      </c>
      <c r="O24" s="146"/>
      <c r="P24" s="146">
        <f t="shared" si="2"/>
        <v>0</v>
      </c>
      <c r="Q24" s="146"/>
      <c r="R24" s="19">
        <f t="shared" si="3"/>
        <v>0</v>
      </c>
      <c r="S24" s="146">
        <f t="shared" si="4"/>
        <v>0</v>
      </c>
      <c r="T24" s="20">
        <v>2</v>
      </c>
      <c r="U24" s="20"/>
      <c r="V24" s="143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42">
        <v>300011</v>
      </c>
      <c r="B25" s="135" t="s">
        <v>43</v>
      </c>
      <c r="C25" s="248" t="s">
        <v>51</v>
      </c>
      <c r="D25" s="248"/>
      <c r="E25" s="148" t="s">
        <v>40</v>
      </c>
      <c r="F25" s="13"/>
      <c r="G25" s="110"/>
      <c r="H25" s="110"/>
      <c r="I25" s="110"/>
      <c r="J25" s="110"/>
      <c r="K25" s="146">
        <f t="shared" si="0"/>
        <v>0</v>
      </c>
      <c r="L25" s="146">
        <f t="shared" si="1"/>
        <v>0</v>
      </c>
      <c r="M25" s="146">
        <v>524.6</v>
      </c>
      <c r="N25" s="146">
        <f>+M25*1000/(25.4*20*15*60)*T25</f>
        <v>3.4422572178477688</v>
      </c>
      <c r="O25" s="146"/>
      <c r="P25" s="146">
        <f t="shared" si="2"/>
        <v>0</v>
      </c>
      <c r="Q25" s="146"/>
      <c r="R25" s="19">
        <f t="shared" si="3"/>
        <v>0</v>
      </c>
      <c r="S25" s="146">
        <f t="shared" si="4"/>
        <v>0</v>
      </c>
      <c r="T25" s="20">
        <v>3</v>
      </c>
      <c r="U25" s="20"/>
      <c r="V25" s="143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42">
        <v>300012</v>
      </c>
      <c r="B26" s="135" t="s">
        <v>43</v>
      </c>
      <c r="C26" s="248" t="s">
        <v>51</v>
      </c>
      <c r="D26" s="248"/>
      <c r="E26" s="148" t="s">
        <v>41</v>
      </c>
      <c r="F26" s="13"/>
      <c r="G26" s="110"/>
      <c r="H26" s="110"/>
      <c r="I26" s="110"/>
      <c r="J26" s="110"/>
      <c r="K26" s="146">
        <f t="shared" si="0"/>
        <v>0</v>
      </c>
      <c r="L26" s="146">
        <f t="shared" si="1"/>
        <v>0</v>
      </c>
      <c r="M26" s="146">
        <v>524.6</v>
      </c>
      <c r="N26" s="146">
        <f>+M26*1000/(25.4*20*15*60)*T26</f>
        <v>3.4422572178477688</v>
      </c>
      <c r="O26" s="146"/>
      <c r="P26" s="146">
        <f t="shared" si="2"/>
        <v>0</v>
      </c>
      <c r="Q26" s="146"/>
      <c r="R26" s="19">
        <f t="shared" si="3"/>
        <v>0</v>
      </c>
      <c r="S26" s="146">
        <f t="shared" si="4"/>
        <v>0</v>
      </c>
      <c r="T26" s="20">
        <v>3</v>
      </c>
      <c r="U26" s="20"/>
      <c r="V26" s="143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42">
        <v>300013</v>
      </c>
      <c r="B27" s="135" t="s">
        <v>43</v>
      </c>
      <c r="C27" s="248" t="s">
        <v>51</v>
      </c>
      <c r="D27" s="248"/>
      <c r="E27" s="148" t="s">
        <v>42</v>
      </c>
      <c r="F27" s="13"/>
      <c r="G27" s="110"/>
      <c r="H27" s="110"/>
      <c r="I27" s="110"/>
      <c r="J27" s="110"/>
      <c r="K27" s="146">
        <f t="shared" si="0"/>
        <v>0</v>
      </c>
      <c r="L27" s="146">
        <f t="shared" si="1"/>
        <v>0</v>
      </c>
      <c r="M27" s="146">
        <v>524.6</v>
      </c>
      <c r="N27" s="146">
        <f>+M27*1000/(25.4*20*15*60)*T27</f>
        <v>3.4422572178477688</v>
      </c>
      <c r="O27" s="146"/>
      <c r="P27" s="146">
        <f t="shared" si="2"/>
        <v>0</v>
      </c>
      <c r="Q27" s="146"/>
      <c r="R27" s="19">
        <f t="shared" si="3"/>
        <v>0</v>
      </c>
      <c r="S27" s="146">
        <f t="shared" si="4"/>
        <v>0</v>
      </c>
      <c r="T27" s="20">
        <v>3</v>
      </c>
      <c r="U27" s="20"/>
      <c r="V27" s="143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42">
        <v>300016</v>
      </c>
      <c r="B28" s="135" t="s">
        <v>43</v>
      </c>
      <c r="C28" s="248" t="s">
        <v>51</v>
      </c>
      <c r="D28" s="248"/>
      <c r="E28" s="148" t="s">
        <v>38</v>
      </c>
      <c r="F28" s="13"/>
      <c r="G28" s="110"/>
      <c r="H28" s="110"/>
      <c r="I28" s="110"/>
      <c r="J28" s="110"/>
      <c r="K28" s="146">
        <f t="shared" si="0"/>
        <v>0</v>
      </c>
      <c r="L28" s="146">
        <f t="shared" si="1"/>
        <v>0</v>
      </c>
      <c r="M28" s="146">
        <v>524.6</v>
      </c>
      <c r="N28" s="146">
        <f>+M28*1000/(25.4*20*15*60)*T28</f>
        <v>3.4422572178477688</v>
      </c>
      <c r="O28" s="146"/>
      <c r="P28" s="146">
        <f t="shared" si="2"/>
        <v>0</v>
      </c>
      <c r="Q28" s="146"/>
      <c r="R28" s="19">
        <f t="shared" si="3"/>
        <v>0</v>
      </c>
      <c r="S28" s="146">
        <f t="shared" si="4"/>
        <v>0</v>
      </c>
      <c r="T28" s="20">
        <v>3</v>
      </c>
      <c r="U28" s="20"/>
      <c r="V28" s="143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38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42">
        <v>300276</v>
      </c>
      <c r="B30" s="135" t="s">
        <v>43</v>
      </c>
      <c r="C30" s="248" t="s">
        <v>53</v>
      </c>
      <c r="D30" s="248"/>
      <c r="E30" s="148" t="s">
        <v>41</v>
      </c>
      <c r="F30" s="13"/>
      <c r="G30" s="110"/>
      <c r="H30" s="110"/>
      <c r="I30" s="110"/>
      <c r="J30" s="110"/>
      <c r="K30" s="146">
        <f t="shared" si="0"/>
        <v>0</v>
      </c>
      <c r="L30" s="146">
        <f t="shared" si="1"/>
        <v>0</v>
      </c>
      <c r="M30" s="15">
        <v>266</v>
      </c>
      <c r="N30" s="146">
        <f>+M30*1000/(29.8*10*13*60)*T30</f>
        <v>3.4331440371708828</v>
      </c>
      <c r="O30" s="146"/>
      <c r="P30" s="146">
        <f t="shared" si="2"/>
        <v>0</v>
      </c>
      <c r="Q30" s="146"/>
      <c r="R30" s="19">
        <f t="shared" si="3"/>
        <v>0</v>
      </c>
      <c r="S30" s="146">
        <f t="shared" si="4"/>
        <v>0</v>
      </c>
      <c r="T30" s="20">
        <v>3</v>
      </c>
      <c r="U30" s="20"/>
      <c r="V30" s="143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42">
        <v>300277</v>
      </c>
      <c r="B31" s="135" t="s">
        <v>43</v>
      </c>
      <c r="C31" s="248" t="s">
        <v>53</v>
      </c>
      <c r="D31" s="248"/>
      <c r="E31" s="148" t="s">
        <v>39</v>
      </c>
      <c r="F31" s="13"/>
      <c r="G31" s="110"/>
      <c r="H31" s="110"/>
      <c r="I31" s="110"/>
      <c r="J31" s="110"/>
      <c r="K31" s="146">
        <f t="shared" si="0"/>
        <v>0</v>
      </c>
      <c r="L31" s="146">
        <f t="shared" si="1"/>
        <v>0</v>
      </c>
      <c r="M31" s="15">
        <v>266</v>
      </c>
      <c r="N31" s="146">
        <f>+M31*1000/(29.8*10*13*60)*T31</f>
        <v>3.4331440371708828</v>
      </c>
      <c r="O31" s="146"/>
      <c r="P31" s="146">
        <f t="shared" si="2"/>
        <v>0</v>
      </c>
      <c r="Q31" s="146"/>
      <c r="R31" s="19">
        <f t="shared" si="3"/>
        <v>0</v>
      </c>
      <c r="S31" s="146">
        <f t="shared" si="4"/>
        <v>0</v>
      </c>
      <c r="T31" s="20">
        <v>3</v>
      </c>
      <c r="U31" s="20"/>
      <c r="V31" s="143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42">
        <v>300278</v>
      </c>
      <c r="B32" s="135" t="s">
        <v>43</v>
      </c>
      <c r="C32" s="248" t="s">
        <v>53</v>
      </c>
      <c r="D32" s="248"/>
      <c r="E32" s="148" t="s">
        <v>54</v>
      </c>
      <c r="F32" s="13"/>
      <c r="G32" s="110"/>
      <c r="H32" s="110"/>
      <c r="I32" s="110"/>
      <c r="J32" s="110"/>
      <c r="K32" s="146">
        <f t="shared" si="0"/>
        <v>0</v>
      </c>
      <c r="L32" s="146">
        <f t="shared" si="1"/>
        <v>0</v>
      </c>
      <c r="M32" s="15">
        <v>266</v>
      </c>
      <c r="N32" s="146">
        <f>+M32*1000/(29.8*10*13*60)*T32</f>
        <v>3.4331440371708828</v>
      </c>
      <c r="O32" s="146"/>
      <c r="P32" s="146">
        <f t="shared" si="2"/>
        <v>0</v>
      </c>
      <c r="Q32" s="146"/>
      <c r="R32" s="19">
        <f t="shared" si="3"/>
        <v>0</v>
      </c>
      <c r="S32" s="146">
        <f t="shared" si="4"/>
        <v>0</v>
      </c>
      <c r="T32" s="20">
        <v>3</v>
      </c>
      <c r="U32" s="20"/>
      <c r="V32" s="143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42">
        <v>300027</v>
      </c>
      <c r="B33" s="135" t="s">
        <v>55</v>
      </c>
      <c r="C33" s="248" t="s">
        <v>56</v>
      </c>
      <c r="D33" s="248"/>
      <c r="E33" s="148" t="s">
        <v>54</v>
      </c>
      <c r="F33" s="13"/>
      <c r="G33" s="110"/>
      <c r="H33" s="110"/>
      <c r="I33" s="110"/>
      <c r="J33" s="110"/>
      <c r="K33" s="146">
        <f t="shared" si="0"/>
        <v>0</v>
      </c>
      <c r="L33" s="146">
        <f t="shared" si="1"/>
        <v>0</v>
      </c>
      <c r="M33" s="146">
        <v>550.4</v>
      </c>
      <c r="N33" s="146">
        <f>+M33*1000/(31*20*15*60)*T33</f>
        <v>2.9591397849462364</v>
      </c>
      <c r="O33" s="146"/>
      <c r="P33" s="146">
        <f t="shared" si="2"/>
        <v>0</v>
      </c>
      <c r="Q33" s="146"/>
      <c r="R33" s="19">
        <f t="shared" si="3"/>
        <v>0</v>
      </c>
      <c r="S33" s="146">
        <f t="shared" si="4"/>
        <v>0</v>
      </c>
      <c r="T33" s="20">
        <v>3</v>
      </c>
      <c r="U33" s="20"/>
      <c r="V33" s="143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42">
        <v>300028</v>
      </c>
      <c r="B34" s="135" t="s">
        <v>55</v>
      </c>
      <c r="C34" s="248" t="s">
        <v>56</v>
      </c>
      <c r="D34" s="248"/>
      <c r="E34" s="148" t="s">
        <v>35</v>
      </c>
      <c r="F34" s="13"/>
      <c r="G34" s="110"/>
      <c r="H34" s="110"/>
      <c r="I34" s="110"/>
      <c r="J34" s="110"/>
      <c r="K34" s="146">
        <f t="shared" si="0"/>
        <v>0</v>
      </c>
      <c r="L34" s="146">
        <f t="shared" si="1"/>
        <v>0</v>
      </c>
      <c r="M34" s="146">
        <v>550.4</v>
      </c>
      <c r="N34" s="146">
        <f>+M34*1000/(31*20*15*60)*T34</f>
        <v>2.9591397849462364</v>
      </c>
      <c r="O34" s="146"/>
      <c r="P34" s="146">
        <f t="shared" si="2"/>
        <v>0</v>
      </c>
      <c r="Q34" s="146"/>
      <c r="R34" s="19">
        <f t="shared" si="3"/>
        <v>0</v>
      </c>
      <c r="S34" s="146">
        <f t="shared" si="4"/>
        <v>0</v>
      </c>
      <c r="T34" s="20">
        <v>3</v>
      </c>
      <c r="U34" s="20"/>
      <c r="V34" s="143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42">
        <v>300029</v>
      </c>
      <c r="B35" s="135" t="s">
        <v>55</v>
      </c>
      <c r="C35" s="248" t="s">
        <v>56</v>
      </c>
      <c r="D35" s="248"/>
      <c r="E35" s="148" t="s">
        <v>57</v>
      </c>
      <c r="F35" s="13"/>
      <c r="G35" s="110"/>
      <c r="H35" s="110"/>
      <c r="I35" s="110"/>
      <c r="J35" s="110"/>
      <c r="K35" s="146">
        <f t="shared" si="0"/>
        <v>0</v>
      </c>
      <c r="L35" s="146">
        <f t="shared" si="1"/>
        <v>0</v>
      </c>
      <c r="M35" s="146">
        <v>550.4</v>
      </c>
      <c r="N35" s="146">
        <f>+M35*1000/(31*20*15*60)*T35</f>
        <v>2.9591397849462364</v>
      </c>
      <c r="O35" s="146"/>
      <c r="P35" s="146">
        <f t="shared" si="2"/>
        <v>0</v>
      </c>
      <c r="Q35" s="146"/>
      <c r="R35" s="19">
        <f t="shared" si="3"/>
        <v>0</v>
      </c>
      <c r="S35" s="146">
        <f t="shared" si="4"/>
        <v>0</v>
      </c>
      <c r="T35" s="20">
        <v>3</v>
      </c>
      <c r="U35" s="20"/>
      <c r="V35" s="143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42">
        <v>300026</v>
      </c>
      <c r="B36" s="135" t="s">
        <v>55</v>
      </c>
      <c r="C36" s="248" t="s">
        <v>56</v>
      </c>
      <c r="D36" s="248"/>
      <c r="E36" s="148" t="s">
        <v>37</v>
      </c>
      <c r="F36" s="13"/>
      <c r="G36" s="110"/>
      <c r="H36" s="110"/>
      <c r="I36" s="110"/>
      <c r="J36" s="110"/>
      <c r="K36" s="146">
        <f t="shared" si="0"/>
        <v>0</v>
      </c>
      <c r="L36" s="146">
        <f t="shared" si="1"/>
        <v>0</v>
      </c>
      <c r="M36" s="146">
        <v>550.4</v>
      </c>
      <c r="N36" s="146">
        <f>+M36*1000/(31*20*15*60)*T36</f>
        <v>2.9591397849462364</v>
      </c>
      <c r="O36" s="146"/>
      <c r="P36" s="146">
        <f t="shared" si="2"/>
        <v>0</v>
      </c>
      <c r="Q36" s="146"/>
      <c r="R36" s="19">
        <f t="shared" si="3"/>
        <v>0</v>
      </c>
      <c r="S36" s="146">
        <f t="shared" si="4"/>
        <v>0</v>
      </c>
      <c r="T36" s="20">
        <v>3</v>
      </c>
      <c r="U36" s="20"/>
      <c r="V36" s="143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42">
        <v>300032</v>
      </c>
      <c r="B37" s="135">
        <v>3002</v>
      </c>
      <c r="C37" s="248" t="s">
        <v>58</v>
      </c>
      <c r="D37" s="248" t="s">
        <v>59</v>
      </c>
      <c r="E37" s="148" t="s">
        <v>35</v>
      </c>
      <c r="F37" s="13"/>
      <c r="G37" s="110"/>
      <c r="H37" s="110"/>
      <c r="I37" s="110"/>
      <c r="J37" s="110"/>
      <c r="K37" s="146">
        <f t="shared" si="0"/>
        <v>0</v>
      </c>
      <c r="L37" s="146">
        <f t="shared" si="1"/>
        <v>0</v>
      </c>
      <c r="M37" s="146">
        <v>285.7</v>
      </c>
      <c r="N37" s="146">
        <f>+M37*1000/(31*10*13*60)*T37</f>
        <v>7.0893300248138953</v>
      </c>
      <c r="O37" s="146"/>
      <c r="P37" s="146">
        <f t="shared" si="2"/>
        <v>0</v>
      </c>
      <c r="Q37" s="146"/>
      <c r="R37" s="19">
        <f t="shared" si="3"/>
        <v>0</v>
      </c>
      <c r="S37" s="146">
        <f t="shared" si="4"/>
        <v>0</v>
      </c>
      <c r="T37" s="20">
        <v>6</v>
      </c>
      <c r="U37" s="20"/>
      <c r="V37" s="143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42">
        <v>300413</v>
      </c>
      <c r="B38" s="135">
        <v>3002</v>
      </c>
      <c r="C38" s="259" t="s">
        <v>304</v>
      </c>
      <c r="D38" s="260"/>
      <c r="E38" s="148" t="s">
        <v>302</v>
      </c>
      <c r="F38" s="13"/>
      <c r="G38" s="110"/>
      <c r="H38" s="110"/>
      <c r="I38" s="110"/>
      <c r="J38" s="110"/>
      <c r="K38" s="146">
        <f t="shared" si="0"/>
        <v>0</v>
      </c>
      <c r="L38" s="146">
        <f t="shared" si="1"/>
        <v>0</v>
      </c>
      <c r="M38" s="146">
        <v>528.79999999999995</v>
      </c>
      <c r="N38" s="146">
        <f>+M38*1000/(31*10*13*60)*T38</f>
        <v>6.5607940446650126</v>
      </c>
      <c r="O38" s="146"/>
      <c r="P38" s="146">
        <f t="shared" si="2"/>
        <v>0</v>
      </c>
      <c r="Q38" s="146"/>
      <c r="R38" s="19">
        <f t="shared" si="3"/>
        <v>0</v>
      </c>
      <c r="S38" s="146">
        <f t="shared" si="4"/>
        <v>0</v>
      </c>
      <c r="T38" s="20">
        <v>3</v>
      </c>
      <c r="U38" s="20"/>
      <c r="V38" s="143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42">
        <v>300414</v>
      </c>
      <c r="B39" s="135">
        <v>3002</v>
      </c>
      <c r="C39" s="259" t="s">
        <v>304</v>
      </c>
      <c r="D39" s="260"/>
      <c r="E39" s="148" t="s">
        <v>311</v>
      </c>
      <c r="F39" s="13"/>
      <c r="G39" s="110"/>
      <c r="H39" s="110"/>
      <c r="I39" s="110"/>
      <c r="J39" s="110"/>
      <c r="K39" s="146">
        <f t="shared" si="0"/>
        <v>0</v>
      </c>
      <c r="L39" s="146">
        <f t="shared" si="1"/>
        <v>0</v>
      </c>
      <c r="M39" s="146">
        <v>528.79999999999995</v>
      </c>
      <c r="N39" s="146">
        <f>+M39*1000/(31*10*13*60)*T39</f>
        <v>6.5607940446650126</v>
      </c>
      <c r="O39" s="146"/>
      <c r="P39" s="146">
        <f t="shared" si="2"/>
        <v>0</v>
      </c>
      <c r="Q39" s="146"/>
      <c r="R39" s="19">
        <f t="shared" si="3"/>
        <v>0</v>
      </c>
      <c r="S39" s="146">
        <f t="shared" si="4"/>
        <v>0</v>
      </c>
      <c r="T39" s="20">
        <v>3</v>
      </c>
      <c r="U39" s="20"/>
      <c r="V39" s="143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42">
        <v>300415</v>
      </c>
      <c r="B40" s="135">
        <v>3002</v>
      </c>
      <c r="C40" s="259" t="s">
        <v>304</v>
      </c>
      <c r="D40" s="260"/>
      <c r="E40" s="148" t="s">
        <v>303</v>
      </c>
      <c r="F40" s="13"/>
      <c r="G40" s="110"/>
      <c r="H40" s="110"/>
      <c r="I40" s="110"/>
      <c r="J40" s="110"/>
      <c r="K40" s="146">
        <f t="shared" si="0"/>
        <v>0</v>
      </c>
      <c r="L40" s="146">
        <f t="shared" si="1"/>
        <v>0</v>
      </c>
      <c r="M40" s="146">
        <v>528.79999999999995</v>
      </c>
      <c r="N40" s="146">
        <f>+M40*1000/(31*10*13*60)*T40</f>
        <v>6.5607940446650126</v>
      </c>
      <c r="O40" s="146"/>
      <c r="P40" s="146">
        <f t="shared" si="2"/>
        <v>0</v>
      </c>
      <c r="Q40" s="146"/>
      <c r="R40" s="19">
        <f t="shared" si="3"/>
        <v>0</v>
      </c>
      <c r="S40" s="146">
        <f t="shared" si="4"/>
        <v>0</v>
      </c>
      <c r="T40" s="20">
        <v>3</v>
      </c>
      <c r="U40" s="20"/>
      <c r="V40" s="143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42">
        <v>300035</v>
      </c>
      <c r="B41" s="135" t="s">
        <v>60</v>
      </c>
      <c r="C41" s="248" t="s">
        <v>61</v>
      </c>
      <c r="D41" s="248" t="s">
        <v>62</v>
      </c>
      <c r="E41" s="148" t="s">
        <v>35</v>
      </c>
      <c r="F41" s="13"/>
      <c r="G41" s="110"/>
      <c r="H41" s="110"/>
      <c r="I41" s="110"/>
      <c r="J41" s="110"/>
      <c r="K41" s="146">
        <f t="shared" si="0"/>
        <v>0</v>
      </c>
      <c r="L41" s="146">
        <f t="shared" si="1"/>
        <v>0</v>
      </c>
      <c r="M41" s="146">
        <v>366.93</v>
      </c>
      <c r="N41" s="146">
        <f>+M41*1000/(35.8*10*13*60)*T41</f>
        <v>2.6280618822518265</v>
      </c>
      <c r="O41" s="146"/>
      <c r="P41" s="146">
        <f t="shared" si="2"/>
        <v>0</v>
      </c>
      <c r="Q41" s="146"/>
      <c r="R41" s="19">
        <f t="shared" si="3"/>
        <v>0</v>
      </c>
      <c r="S41" s="146">
        <f t="shared" si="4"/>
        <v>0</v>
      </c>
      <c r="T41" s="20">
        <v>2</v>
      </c>
      <c r="U41" s="20"/>
      <c r="V41" s="143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42">
        <v>300036</v>
      </c>
      <c r="B42" s="135" t="s">
        <v>60</v>
      </c>
      <c r="C42" s="248" t="s">
        <v>61</v>
      </c>
      <c r="D42" s="248" t="s">
        <v>62</v>
      </c>
      <c r="E42" s="148" t="s">
        <v>63</v>
      </c>
      <c r="F42" s="13"/>
      <c r="G42" s="110"/>
      <c r="H42" s="110"/>
      <c r="I42" s="110"/>
      <c r="J42" s="110"/>
      <c r="K42" s="146">
        <f t="shared" si="0"/>
        <v>0</v>
      </c>
      <c r="L42" s="146">
        <f t="shared" si="1"/>
        <v>0</v>
      </c>
      <c r="M42" s="146">
        <v>366.93</v>
      </c>
      <c r="N42" s="146">
        <f>+M42*1000/(35.8*10*13*60)*T42</f>
        <v>2.6280618822518265</v>
      </c>
      <c r="O42" s="146"/>
      <c r="P42" s="146">
        <f t="shared" si="2"/>
        <v>0</v>
      </c>
      <c r="Q42" s="146"/>
      <c r="R42" s="19">
        <f t="shared" si="3"/>
        <v>0</v>
      </c>
      <c r="S42" s="146">
        <f t="shared" si="4"/>
        <v>0</v>
      </c>
      <c r="T42" s="20">
        <v>2</v>
      </c>
      <c r="U42" s="20"/>
      <c r="V42" s="143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42">
        <v>300037</v>
      </c>
      <c r="B43" s="135" t="s">
        <v>60</v>
      </c>
      <c r="C43" s="248" t="s">
        <v>61</v>
      </c>
      <c r="D43" s="248" t="s">
        <v>62</v>
      </c>
      <c r="E43" s="148" t="s">
        <v>37</v>
      </c>
      <c r="F43" s="13"/>
      <c r="G43" s="110"/>
      <c r="H43" s="110"/>
      <c r="I43" s="110"/>
      <c r="J43" s="110"/>
      <c r="K43" s="146">
        <f t="shared" si="0"/>
        <v>0</v>
      </c>
      <c r="L43" s="146">
        <f t="shared" si="1"/>
        <v>0</v>
      </c>
      <c r="M43" s="146">
        <v>366.93</v>
      </c>
      <c r="N43" s="146">
        <f>+M43*1000/(35.8*10*13*60)*T43</f>
        <v>2.6280618822518265</v>
      </c>
      <c r="O43" s="146"/>
      <c r="P43" s="146">
        <f t="shared" si="2"/>
        <v>0</v>
      </c>
      <c r="Q43" s="146"/>
      <c r="R43" s="19">
        <f t="shared" si="3"/>
        <v>0</v>
      </c>
      <c r="S43" s="146">
        <f t="shared" si="4"/>
        <v>0</v>
      </c>
      <c r="T43" s="20">
        <v>2</v>
      </c>
      <c r="U43" s="20"/>
      <c r="V43" s="143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42">
        <v>300038</v>
      </c>
      <c r="B44" s="135" t="s">
        <v>60</v>
      </c>
      <c r="C44" s="248" t="s">
        <v>64</v>
      </c>
      <c r="D44" s="248" t="s">
        <v>65</v>
      </c>
      <c r="E44" s="148" t="s">
        <v>35</v>
      </c>
      <c r="F44" s="13"/>
      <c r="G44" s="110"/>
      <c r="H44" s="110"/>
      <c r="I44" s="110"/>
      <c r="J44" s="110"/>
      <c r="K44" s="146">
        <f t="shared" si="0"/>
        <v>0</v>
      </c>
      <c r="L44" s="146">
        <f t="shared" si="1"/>
        <v>0</v>
      </c>
      <c r="M44" s="146">
        <v>301.14</v>
      </c>
      <c r="N44" s="146">
        <f>+M44*1000/(35.8*10*13*60)*T44</f>
        <v>5.3921357971637294</v>
      </c>
      <c r="O44" s="146"/>
      <c r="P44" s="146">
        <f t="shared" si="2"/>
        <v>0</v>
      </c>
      <c r="Q44" s="146"/>
      <c r="R44" s="19">
        <f t="shared" si="3"/>
        <v>0</v>
      </c>
      <c r="S44" s="146">
        <f t="shared" si="4"/>
        <v>0</v>
      </c>
      <c r="T44" s="20">
        <v>5</v>
      </c>
      <c r="U44" s="20"/>
      <c r="V44" s="143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42">
        <v>300039</v>
      </c>
      <c r="B45" s="135" t="s">
        <v>60</v>
      </c>
      <c r="C45" s="248" t="s">
        <v>64</v>
      </c>
      <c r="D45" s="248" t="s">
        <v>65</v>
      </c>
      <c r="E45" s="148" t="s">
        <v>66</v>
      </c>
      <c r="F45" s="13"/>
      <c r="G45" s="110"/>
      <c r="H45" s="110"/>
      <c r="I45" s="110"/>
      <c r="J45" s="110"/>
      <c r="K45" s="146">
        <f t="shared" si="0"/>
        <v>0</v>
      </c>
      <c r="L45" s="146">
        <f t="shared" si="1"/>
        <v>0</v>
      </c>
      <c r="M45" s="146">
        <v>310.39999999999998</v>
      </c>
      <c r="N45" s="146">
        <f>+M45*1000/(35.8*10*13*60)*T45</f>
        <v>5.557942988110586</v>
      </c>
      <c r="O45" s="146"/>
      <c r="P45" s="146">
        <f t="shared" si="2"/>
        <v>0</v>
      </c>
      <c r="Q45" s="146"/>
      <c r="R45" s="19">
        <f t="shared" si="3"/>
        <v>0</v>
      </c>
      <c r="S45" s="146">
        <f t="shared" si="4"/>
        <v>0</v>
      </c>
      <c r="T45" s="20">
        <v>5</v>
      </c>
      <c r="U45" s="20"/>
      <c r="V45" s="143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42">
        <v>300416</v>
      </c>
      <c r="B46" s="135" t="s">
        <v>67</v>
      </c>
      <c r="C46" s="259" t="s">
        <v>68</v>
      </c>
      <c r="D46" s="260"/>
      <c r="E46" s="148" t="s">
        <v>69</v>
      </c>
      <c r="F46" s="147"/>
      <c r="G46" s="14"/>
      <c r="H46" s="14"/>
      <c r="I46" s="14"/>
      <c r="J46" s="14"/>
      <c r="K46" s="146">
        <f t="shared" si="0"/>
        <v>0</v>
      </c>
      <c r="L46" s="146">
        <f t="shared" si="1"/>
        <v>0</v>
      </c>
      <c r="M46" s="146">
        <v>385.6</v>
      </c>
      <c r="N46" s="146">
        <f>+M46*1000/(25.4*20*15*60)*T46</f>
        <v>2.5301837270341205</v>
      </c>
      <c r="O46" s="146"/>
      <c r="P46" s="146">
        <f t="shared" si="2"/>
        <v>0</v>
      </c>
      <c r="Q46" s="146"/>
      <c r="R46" s="19">
        <f t="shared" si="3"/>
        <v>0</v>
      </c>
      <c r="S46" s="146">
        <f t="shared" si="4"/>
        <v>0</v>
      </c>
      <c r="T46" s="20">
        <v>3</v>
      </c>
      <c r="U46" s="20"/>
      <c r="V46" s="143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42">
        <v>300417</v>
      </c>
      <c r="B47" s="135" t="s">
        <v>67</v>
      </c>
      <c r="C47" s="259" t="s">
        <v>68</v>
      </c>
      <c r="D47" s="260"/>
      <c r="E47" s="148" t="s">
        <v>70</v>
      </c>
      <c r="F47" s="147"/>
      <c r="G47" s="14"/>
      <c r="H47" s="14"/>
      <c r="I47" s="14"/>
      <c r="J47" s="14"/>
      <c r="K47" s="146">
        <f t="shared" si="0"/>
        <v>0</v>
      </c>
      <c r="L47" s="146">
        <f t="shared" si="1"/>
        <v>0</v>
      </c>
      <c r="M47" s="146">
        <v>385.6</v>
      </c>
      <c r="N47" s="146">
        <f>+M47*1000/(25.4*20*15*60)*T47</f>
        <v>2.5301837270341205</v>
      </c>
      <c r="O47" s="146"/>
      <c r="P47" s="146">
        <f t="shared" si="2"/>
        <v>0</v>
      </c>
      <c r="Q47" s="146"/>
      <c r="R47" s="19">
        <f t="shared" si="3"/>
        <v>0</v>
      </c>
      <c r="S47" s="146">
        <f t="shared" si="4"/>
        <v>0</v>
      </c>
      <c r="T47" s="20">
        <v>3</v>
      </c>
      <c r="U47" s="20"/>
      <c r="V47" s="143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42">
        <v>300418</v>
      </c>
      <c r="B48" s="135" t="s">
        <v>67</v>
      </c>
      <c r="C48" s="259" t="s">
        <v>68</v>
      </c>
      <c r="D48" s="260"/>
      <c r="E48" s="148" t="s">
        <v>71</v>
      </c>
      <c r="F48" s="147"/>
      <c r="G48" s="14"/>
      <c r="H48" s="14"/>
      <c r="I48" s="14"/>
      <c r="J48" s="14"/>
      <c r="K48" s="146">
        <f t="shared" si="0"/>
        <v>0</v>
      </c>
      <c r="L48" s="146">
        <f t="shared" si="1"/>
        <v>0</v>
      </c>
      <c r="M48" s="146">
        <v>385.6</v>
      </c>
      <c r="N48" s="146">
        <f>+M48*1000/(25.4*20*15*60)*T48</f>
        <v>2.5301837270341205</v>
      </c>
      <c r="O48" s="146"/>
      <c r="P48" s="146">
        <f t="shared" si="2"/>
        <v>0</v>
      </c>
      <c r="Q48" s="146"/>
      <c r="R48" s="19">
        <f t="shared" si="3"/>
        <v>0</v>
      </c>
      <c r="S48" s="146">
        <f t="shared" si="4"/>
        <v>0</v>
      </c>
      <c r="T48" s="20">
        <v>3</v>
      </c>
      <c r="U48" s="20"/>
      <c r="V48" s="143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42">
        <v>300419</v>
      </c>
      <c r="B49" s="135" t="s">
        <v>67</v>
      </c>
      <c r="C49" s="259" t="s">
        <v>68</v>
      </c>
      <c r="D49" s="260"/>
      <c r="E49" s="148" t="s">
        <v>72</v>
      </c>
      <c r="F49" s="147"/>
      <c r="G49" s="14"/>
      <c r="H49" s="14"/>
      <c r="I49" s="14"/>
      <c r="J49" s="14"/>
      <c r="K49" s="146">
        <f t="shared" si="0"/>
        <v>0</v>
      </c>
      <c r="L49" s="146">
        <f t="shared" si="1"/>
        <v>0</v>
      </c>
      <c r="M49" s="146">
        <v>385.6</v>
      </c>
      <c r="N49" s="146">
        <f>+M49*1000/(25.4*20*15*60)*T49</f>
        <v>2.5301837270341205</v>
      </c>
      <c r="O49" s="146"/>
      <c r="P49" s="146">
        <f t="shared" si="2"/>
        <v>0</v>
      </c>
      <c r="Q49" s="146"/>
      <c r="R49" s="19">
        <f t="shared" si="3"/>
        <v>0</v>
      </c>
      <c r="S49" s="146">
        <f t="shared" si="4"/>
        <v>0</v>
      </c>
      <c r="T49" s="20">
        <v>3</v>
      </c>
      <c r="U49" s="20"/>
      <c r="V49" s="143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42">
        <v>300260</v>
      </c>
      <c r="B50" s="135" t="s">
        <v>67</v>
      </c>
      <c r="C50" s="248" t="s">
        <v>73</v>
      </c>
      <c r="D50" s="248"/>
      <c r="E50" s="148" t="s">
        <v>74</v>
      </c>
      <c r="F50" s="13"/>
      <c r="G50" s="110"/>
      <c r="H50" s="110"/>
      <c r="I50" s="110"/>
      <c r="J50" s="110"/>
      <c r="K50" s="146">
        <f t="shared" si="0"/>
        <v>0</v>
      </c>
      <c r="L50" s="146">
        <f t="shared" si="1"/>
        <v>0</v>
      </c>
      <c r="M50" s="146">
        <v>434.33</v>
      </c>
      <c r="N50" s="146">
        <f>+M50*1000/(42.7*10*15*60)*T50</f>
        <v>2.2603695029924538</v>
      </c>
      <c r="O50" s="146"/>
      <c r="P50" s="146">
        <f t="shared" si="2"/>
        <v>0</v>
      </c>
      <c r="Q50" s="146"/>
      <c r="R50" s="19">
        <f t="shared" si="3"/>
        <v>0</v>
      </c>
      <c r="S50" s="146">
        <f t="shared" si="4"/>
        <v>0</v>
      </c>
      <c r="T50" s="20">
        <v>2</v>
      </c>
      <c r="U50" s="20"/>
      <c r="V50" s="143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42">
        <v>300261</v>
      </c>
      <c r="B51" s="135" t="s">
        <v>67</v>
      </c>
      <c r="C51" s="248" t="s">
        <v>73</v>
      </c>
      <c r="D51" s="248"/>
      <c r="E51" s="148" t="s">
        <v>41</v>
      </c>
      <c r="F51" s="13"/>
      <c r="G51" s="110"/>
      <c r="H51" s="110"/>
      <c r="I51" s="110"/>
      <c r="J51" s="110"/>
      <c r="K51" s="146">
        <f t="shared" si="0"/>
        <v>0</v>
      </c>
      <c r="L51" s="146">
        <f t="shared" si="1"/>
        <v>0</v>
      </c>
      <c r="M51" s="146">
        <v>434.33</v>
      </c>
      <c r="N51" s="146">
        <f>+M51*1000/(42.7*10*15*60)*T51</f>
        <v>2.2603695029924538</v>
      </c>
      <c r="O51" s="146"/>
      <c r="P51" s="146">
        <f t="shared" si="2"/>
        <v>0</v>
      </c>
      <c r="Q51" s="146"/>
      <c r="R51" s="19">
        <f t="shared" si="3"/>
        <v>0</v>
      </c>
      <c r="S51" s="146">
        <f t="shared" si="4"/>
        <v>0</v>
      </c>
      <c r="T51" s="20">
        <v>2</v>
      </c>
      <c r="U51" s="20"/>
      <c r="V51" s="143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42">
        <v>300262</v>
      </c>
      <c r="B52" s="135" t="s">
        <v>67</v>
      </c>
      <c r="C52" s="248" t="s">
        <v>73</v>
      </c>
      <c r="D52" s="248"/>
      <c r="E52" s="148" t="s">
        <v>39</v>
      </c>
      <c r="F52" s="13"/>
      <c r="G52" s="110"/>
      <c r="H52" s="110"/>
      <c r="I52" s="110"/>
      <c r="J52" s="110"/>
      <c r="K52" s="146">
        <f t="shared" si="0"/>
        <v>0</v>
      </c>
      <c r="L52" s="146">
        <f t="shared" si="1"/>
        <v>0</v>
      </c>
      <c r="M52" s="146">
        <v>434.33</v>
      </c>
      <c r="N52" s="146">
        <f>+M52*1000/(42.7*10*15*60)*T52</f>
        <v>2.2603695029924538</v>
      </c>
      <c r="O52" s="146"/>
      <c r="P52" s="146">
        <f t="shared" si="2"/>
        <v>0</v>
      </c>
      <c r="Q52" s="146"/>
      <c r="R52" s="19">
        <f t="shared" si="3"/>
        <v>0</v>
      </c>
      <c r="S52" s="146">
        <f t="shared" si="4"/>
        <v>0</v>
      </c>
      <c r="T52" s="20">
        <v>2</v>
      </c>
      <c r="U52" s="20"/>
      <c r="V52" s="143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42">
        <v>300263</v>
      </c>
      <c r="B53" s="135" t="s">
        <v>67</v>
      </c>
      <c r="C53" s="248" t="s">
        <v>73</v>
      </c>
      <c r="D53" s="248"/>
      <c r="E53" s="148" t="s">
        <v>54</v>
      </c>
      <c r="F53" s="13"/>
      <c r="G53" s="110"/>
      <c r="H53" s="110"/>
      <c r="I53" s="110"/>
      <c r="J53" s="110"/>
      <c r="K53" s="146">
        <f t="shared" si="0"/>
        <v>0</v>
      </c>
      <c r="L53" s="146">
        <f t="shared" si="1"/>
        <v>0</v>
      </c>
      <c r="M53" s="146">
        <v>434.33</v>
      </c>
      <c r="N53" s="146">
        <f>+M53*1000/(42.7*10*15*60)*T53</f>
        <v>2.2603695029924538</v>
      </c>
      <c r="O53" s="146"/>
      <c r="P53" s="146">
        <f t="shared" si="2"/>
        <v>0</v>
      </c>
      <c r="Q53" s="146"/>
      <c r="R53" s="19">
        <f t="shared" si="3"/>
        <v>0</v>
      </c>
      <c r="S53" s="146">
        <f t="shared" si="4"/>
        <v>0</v>
      </c>
      <c r="T53" s="20">
        <v>2</v>
      </c>
      <c r="U53" s="20"/>
      <c r="V53" s="143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42">
        <v>300051</v>
      </c>
      <c r="B54" s="135" t="s">
        <v>67</v>
      </c>
      <c r="C54" s="248" t="s">
        <v>75</v>
      </c>
      <c r="D54" s="248" t="s">
        <v>76</v>
      </c>
      <c r="E54" s="148" t="s">
        <v>40</v>
      </c>
      <c r="F54" s="13"/>
      <c r="G54" s="110"/>
      <c r="H54" s="110"/>
      <c r="I54" s="110"/>
      <c r="J54" s="110"/>
      <c r="K54" s="146">
        <f t="shared" si="0"/>
        <v>0</v>
      </c>
      <c r="L54" s="146">
        <f t="shared" si="1"/>
        <v>0</v>
      </c>
      <c r="M54" s="146">
        <v>545.9</v>
      </c>
      <c r="N54" s="146">
        <f>+M54*1000/(41.5*10*16*60)*T54</f>
        <v>2.7404618473895583</v>
      </c>
      <c r="O54" s="146"/>
      <c r="P54" s="146">
        <f t="shared" si="2"/>
        <v>0</v>
      </c>
      <c r="Q54" s="146"/>
      <c r="R54" s="19">
        <f t="shared" si="3"/>
        <v>0</v>
      </c>
      <c r="S54" s="146">
        <f t="shared" si="4"/>
        <v>0</v>
      </c>
      <c r="T54" s="22">
        <v>2</v>
      </c>
      <c r="U54" s="20"/>
      <c r="V54" s="143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42">
        <v>300052</v>
      </c>
      <c r="B55" s="135" t="s">
        <v>67</v>
      </c>
      <c r="C55" s="248" t="s">
        <v>75</v>
      </c>
      <c r="D55" s="248" t="s">
        <v>76</v>
      </c>
      <c r="E55" s="148" t="s">
        <v>39</v>
      </c>
      <c r="F55" s="13"/>
      <c r="G55" s="110"/>
      <c r="H55" s="110"/>
      <c r="I55" s="110"/>
      <c r="J55" s="110"/>
      <c r="K55" s="146">
        <f t="shared" si="0"/>
        <v>0</v>
      </c>
      <c r="L55" s="146">
        <f t="shared" si="1"/>
        <v>0</v>
      </c>
      <c r="M55" s="146">
        <v>545.9</v>
      </c>
      <c r="N55" s="146">
        <f>+M55*1000/(41.5*10*16*60)*T55</f>
        <v>2.7404618473895583</v>
      </c>
      <c r="O55" s="146"/>
      <c r="P55" s="146">
        <f t="shared" si="2"/>
        <v>0</v>
      </c>
      <c r="Q55" s="146"/>
      <c r="R55" s="19">
        <f t="shared" si="3"/>
        <v>0</v>
      </c>
      <c r="S55" s="146">
        <f t="shared" si="4"/>
        <v>0</v>
      </c>
      <c r="T55" s="20">
        <v>2</v>
      </c>
      <c r="U55" s="20"/>
      <c r="V55" s="143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42">
        <v>300054</v>
      </c>
      <c r="B56" s="135" t="s">
        <v>67</v>
      </c>
      <c r="C56" s="248" t="s">
        <v>75</v>
      </c>
      <c r="D56" s="248" t="s">
        <v>76</v>
      </c>
      <c r="E56" s="148" t="s">
        <v>38</v>
      </c>
      <c r="F56" s="13"/>
      <c r="G56" s="110"/>
      <c r="H56" s="110"/>
      <c r="I56" s="110"/>
      <c r="J56" s="110"/>
      <c r="K56" s="146">
        <f t="shared" si="0"/>
        <v>0</v>
      </c>
      <c r="L56" s="146">
        <f t="shared" si="1"/>
        <v>0</v>
      </c>
      <c r="M56" s="146">
        <v>545.9</v>
      </c>
      <c r="N56" s="146">
        <f>+M56*1000/(41.5*10*16*60)*T56</f>
        <v>2.7404618473895583</v>
      </c>
      <c r="O56" s="146"/>
      <c r="P56" s="146">
        <f t="shared" si="2"/>
        <v>0</v>
      </c>
      <c r="Q56" s="146"/>
      <c r="R56" s="19">
        <f t="shared" si="3"/>
        <v>0</v>
      </c>
      <c r="S56" s="146">
        <f t="shared" si="4"/>
        <v>0</v>
      </c>
      <c r="T56" s="20">
        <v>2</v>
      </c>
      <c r="U56" s="20"/>
      <c r="V56" s="143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38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42">
        <v>300050</v>
      </c>
      <c r="B58" s="135" t="s">
        <v>67</v>
      </c>
      <c r="C58" s="248" t="s">
        <v>77</v>
      </c>
      <c r="D58" s="248" t="s">
        <v>78</v>
      </c>
      <c r="E58" s="148" t="s">
        <v>79</v>
      </c>
      <c r="F58" s="13"/>
      <c r="G58" s="110"/>
      <c r="H58" s="110"/>
      <c r="I58" s="110"/>
      <c r="J58" s="110"/>
      <c r="K58" s="146">
        <f t="shared" si="0"/>
        <v>0</v>
      </c>
      <c r="L58" s="146">
        <f t="shared" si="1"/>
        <v>0</v>
      </c>
      <c r="M58" s="146">
        <v>427.5</v>
      </c>
      <c r="N58" s="146">
        <f>+M58*1000/(45*10*14*60)*T58</f>
        <v>5.6547619047619051</v>
      </c>
      <c r="O58" s="146"/>
      <c r="P58" s="146">
        <f t="shared" si="2"/>
        <v>0</v>
      </c>
      <c r="Q58" s="146"/>
      <c r="R58" s="19">
        <f t="shared" si="3"/>
        <v>0</v>
      </c>
      <c r="S58" s="146">
        <f t="shared" si="4"/>
        <v>0</v>
      </c>
      <c r="T58" s="20">
        <v>5</v>
      </c>
      <c r="U58" s="20"/>
      <c r="V58" s="143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42">
        <v>300045</v>
      </c>
      <c r="B59" s="135" t="s">
        <v>67</v>
      </c>
      <c r="C59" s="248" t="s">
        <v>77</v>
      </c>
      <c r="D59" s="248" t="s">
        <v>78</v>
      </c>
      <c r="E59" s="148" t="s">
        <v>35</v>
      </c>
      <c r="F59" s="13"/>
      <c r="G59" s="110"/>
      <c r="H59" s="110"/>
      <c r="I59" s="110"/>
      <c r="J59" s="110"/>
      <c r="K59" s="146">
        <f t="shared" si="0"/>
        <v>0</v>
      </c>
      <c r="L59" s="146">
        <f t="shared" si="1"/>
        <v>0</v>
      </c>
      <c r="M59" s="15">
        <v>406.6</v>
      </c>
      <c r="N59" s="146">
        <f>+M59*1000/(45*10*13*60)*T59</f>
        <v>5.7920227920227916</v>
      </c>
      <c r="O59" s="146"/>
      <c r="P59" s="146">
        <f t="shared" si="2"/>
        <v>0</v>
      </c>
      <c r="Q59" s="146"/>
      <c r="R59" s="19">
        <f t="shared" si="3"/>
        <v>0</v>
      </c>
      <c r="S59" s="146">
        <f t="shared" si="4"/>
        <v>0</v>
      </c>
      <c r="T59" s="20">
        <v>5</v>
      </c>
      <c r="U59" s="20"/>
      <c r="V59" s="143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42">
        <v>300422</v>
      </c>
      <c r="B60" s="135" t="s">
        <v>67</v>
      </c>
      <c r="C60" s="259" t="s">
        <v>301</v>
      </c>
      <c r="D60" s="260"/>
      <c r="E60" s="148" t="s">
        <v>54</v>
      </c>
      <c r="F60" s="13"/>
      <c r="G60" s="110"/>
      <c r="H60" s="110"/>
      <c r="I60" s="110"/>
      <c r="J60" s="110"/>
      <c r="K60" s="146">
        <f t="shared" si="0"/>
        <v>0</v>
      </c>
      <c r="L60" s="146">
        <f t="shared" si="1"/>
        <v>0</v>
      </c>
      <c r="M60" s="15">
        <v>429.8</v>
      </c>
      <c r="N60" s="146">
        <f>+M60*1000/(45*10*13*60)*T60</f>
        <v>3.6735042735042738</v>
      </c>
      <c r="O60" s="146"/>
      <c r="P60" s="146">
        <f t="shared" si="2"/>
        <v>0</v>
      </c>
      <c r="Q60" s="146"/>
      <c r="R60" s="19">
        <f t="shared" si="3"/>
        <v>0</v>
      </c>
      <c r="S60" s="146">
        <f t="shared" si="4"/>
        <v>0</v>
      </c>
      <c r="T60" s="20">
        <v>3</v>
      </c>
      <c r="U60" s="20"/>
      <c r="V60" s="143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42">
        <v>300421</v>
      </c>
      <c r="B61" s="135" t="s">
        <v>67</v>
      </c>
      <c r="C61" s="259" t="s">
        <v>301</v>
      </c>
      <c r="D61" s="260"/>
      <c r="E61" s="148" t="s">
        <v>80</v>
      </c>
      <c r="F61" s="13"/>
      <c r="G61" s="110"/>
      <c r="H61" s="110"/>
      <c r="I61" s="110"/>
      <c r="J61" s="110"/>
      <c r="K61" s="146">
        <f t="shared" si="0"/>
        <v>0</v>
      </c>
      <c r="L61" s="146">
        <f t="shared" si="1"/>
        <v>0</v>
      </c>
      <c r="M61" s="15">
        <v>429.8</v>
      </c>
      <c r="N61" s="146">
        <f>+M61*1000/(45*10*13*60)*T61</f>
        <v>3.6735042735042738</v>
      </c>
      <c r="O61" s="146"/>
      <c r="P61" s="146">
        <f t="shared" si="2"/>
        <v>0</v>
      </c>
      <c r="Q61" s="146"/>
      <c r="R61" s="19">
        <f t="shared" si="3"/>
        <v>0</v>
      </c>
      <c r="S61" s="146">
        <f t="shared" si="4"/>
        <v>0</v>
      </c>
      <c r="T61" s="20">
        <v>3</v>
      </c>
      <c r="U61" s="20"/>
      <c r="V61" s="143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42">
        <v>300149</v>
      </c>
      <c r="B62" s="135" t="s">
        <v>67</v>
      </c>
      <c r="C62" s="248" t="s">
        <v>81</v>
      </c>
      <c r="D62" s="248" t="s">
        <v>82</v>
      </c>
      <c r="E62" s="148" t="s">
        <v>80</v>
      </c>
      <c r="F62" s="13"/>
      <c r="G62" s="110"/>
      <c r="H62" s="110"/>
      <c r="I62" s="110"/>
      <c r="J62" s="110"/>
      <c r="K62" s="146">
        <f t="shared" si="0"/>
        <v>0</v>
      </c>
      <c r="L62" s="146">
        <f t="shared" si="1"/>
        <v>0</v>
      </c>
      <c r="M62" s="146">
        <v>589.1</v>
      </c>
      <c r="N62" s="146">
        <f>+M62*1000/(67.1*10*13*60)*T62</f>
        <v>3.3767052619511633</v>
      </c>
      <c r="O62" s="146"/>
      <c r="P62" s="146">
        <f t="shared" si="2"/>
        <v>0</v>
      </c>
      <c r="Q62" s="146"/>
      <c r="R62" s="19">
        <f t="shared" si="3"/>
        <v>0</v>
      </c>
      <c r="S62" s="146">
        <f t="shared" si="4"/>
        <v>0</v>
      </c>
      <c r="T62" s="20">
        <v>3</v>
      </c>
      <c r="U62" s="20"/>
      <c r="V62" s="143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42">
        <v>300150</v>
      </c>
      <c r="B63" s="135" t="s">
        <v>67</v>
      </c>
      <c r="C63" s="248" t="s">
        <v>81</v>
      </c>
      <c r="D63" s="248" t="s">
        <v>82</v>
      </c>
      <c r="E63" s="148" t="s">
        <v>54</v>
      </c>
      <c r="F63" s="13"/>
      <c r="G63" s="110"/>
      <c r="H63" s="110"/>
      <c r="I63" s="110"/>
      <c r="J63" s="110"/>
      <c r="K63" s="146">
        <f t="shared" si="0"/>
        <v>0</v>
      </c>
      <c r="L63" s="146">
        <f t="shared" si="1"/>
        <v>0</v>
      </c>
      <c r="M63" s="146">
        <v>589.1</v>
      </c>
      <c r="N63" s="146">
        <f>+M63*1000/(67.1*10*13*60)*T63</f>
        <v>3.3767052619511633</v>
      </c>
      <c r="O63" s="146"/>
      <c r="P63" s="146">
        <f t="shared" si="2"/>
        <v>0</v>
      </c>
      <c r="Q63" s="146"/>
      <c r="R63" s="19">
        <f t="shared" si="3"/>
        <v>0</v>
      </c>
      <c r="S63" s="146">
        <f t="shared" si="4"/>
        <v>0</v>
      </c>
      <c r="T63" s="20">
        <v>3</v>
      </c>
      <c r="U63" s="20"/>
      <c r="V63" s="143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42">
        <v>300330</v>
      </c>
      <c r="B64" s="135" t="s">
        <v>67</v>
      </c>
      <c r="C64" s="259" t="s">
        <v>83</v>
      </c>
      <c r="D64" s="260"/>
      <c r="E64" s="148" t="s">
        <v>84</v>
      </c>
      <c r="F64" s="13"/>
      <c r="G64" s="110"/>
      <c r="H64" s="110"/>
      <c r="I64" s="110"/>
      <c r="J64" s="110"/>
      <c r="K64" s="146">
        <f t="shared" si="0"/>
        <v>0</v>
      </c>
      <c r="L64" s="146">
        <f t="shared" si="1"/>
        <v>0</v>
      </c>
      <c r="M64" s="146">
        <v>416.3</v>
      </c>
      <c r="N64" s="146">
        <f t="shared" ref="N64:N70" si="6">+M64*1000/(45*10*18*60)*T64</f>
        <v>1.7131687242798355</v>
      </c>
      <c r="O64" s="146"/>
      <c r="P64" s="146">
        <f t="shared" si="2"/>
        <v>0</v>
      </c>
      <c r="Q64" s="146"/>
      <c r="R64" s="19">
        <f t="shared" si="3"/>
        <v>0</v>
      </c>
      <c r="S64" s="146">
        <f t="shared" si="4"/>
        <v>0</v>
      </c>
      <c r="T64" s="20">
        <v>2</v>
      </c>
      <c r="U64" s="20"/>
      <c r="V64" s="143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42">
        <v>300331</v>
      </c>
      <c r="B65" s="135" t="s">
        <v>67</v>
      </c>
      <c r="C65" s="259" t="s">
        <v>83</v>
      </c>
      <c r="D65" s="260"/>
      <c r="E65" s="148" t="s">
        <v>49</v>
      </c>
      <c r="F65" s="13"/>
      <c r="G65" s="110"/>
      <c r="H65" s="110"/>
      <c r="I65" s="110"/>
      <c r="J65" s="110"/>
      <c r="K65" s="146">
        <f t="shared" si="0"/>
        <v>0</v>
      </c>
      <c r="L65" s="146">
        <f t="shared" si="1"/>
        <v>0</v>
      </c>
      <c r="M65" s="146">
        <v>416.3</v>
      </c>
      <c r="N65" s="146">
        <f t="shared" si="6"/>
        <v>1.7131687242798355</v>
      </c>
      <c r="O65" s="146"/>
      <c r="P65" s="146">
        <f t="shared" si="2"/>
        <v>0</v>
      </c>
      <c r="Q65" s="146"/>
      <c r="R65" s="19">
        <f t="shared" si="3"/>
        <v>0</v>
      </c>
      <c r="S65" s="146">
        <f t="shared" si="4"/>
        <v>0</v>
      </c>
      <c r="T65" s="20">
        <v>2</v>
      </c>
      <c r="U65" s="20"/>
      <c r="V65" s="143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42">
        <v>300332</v>
      </c>
      <c r="B66" s="135" t="s">
        <v>67</v>
      </c>
      <c r="C66" s="259" t="s">
        <v>83</v>
      </c>
      <c r="D66" s="260"/>
      <c r="E66" s="148" t="s">
        <v>85</v>
      </c>
      <c r="F66" s="13"/>
      <c r="G66" s="110"/>
      <c r="H66" s="110"/>
      <c r="I66" s="110"/>
      <c r="J66" s="110"/>
      <c r="K66" s="146">
        <f t="shared" si="0"/>
        <v>0</v>
      </c>
      <c r="L66" s="146">
        <f t="shared" si="1"/>
        <v>0</v>
      </c>
      <c r="M66" s="146">
        <v>416.3</v>
      </c>
      <c r="N66" s="146">
        <f t="shared" si="6"/>
        <v>1.7131687242798355</v>
      </c>
      <c r="O66" s="146"/>
      <c r="P66" s="146">
        <f t="shared" si="2"/>
        <v>0</v>
      </c>
      <c r="Q66" s="146"/>
      <c r="R66" s="19">
        <f t="shared" si="3"/>
        <v>0</v>
      </c>
      <c r="S66" s="146">
        <f t="shared" si="4"/>
        <v>0</v>
      </c>
      <c r="T66" s="20">
        <v>2</v>
      </c>
      <c r="U66" s="20"/>
      <c r="V66" s="143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42">
        <v>300333</v>
      </c>
      <c r="B67" s="135" t="s">
        <v>67</v>
      </c>
      <c r="C67" s="259" t="s">
        <v>86</v>
      </c>
      <c r="D67" s="260"/>
      <c r="E67" s="148" t="s">
        <v>84</v>
      </c>
      <c r="F67" s="13"/>
      <c r="G67" s="110"/>
      <c r="H67" s="110"/>
      <c r="I67" s="110"/>
      <c r="J67" s="110"/>
      <c r="K67" s="146">
        <f t="shared" si="0"/>
        <v>0</v>
      </c>
      <c r="L67" s="146">
        <f t="shared" si="1"/>
        <v>0</v>
      </c>
      <c r="M67" s="146">
        <v>416.3</v>
      </c>
      <c r="N67" s="146">
        <f t="shared" si="6"/>
        <v>1.7131687242798355</v>
      </c>
      <c r="O67" s="146"/>
      <c r="P67" s="146">
        <f t="shared" si="2"/>
        <v>0</v>
      </c>
      <c r="Q67" s="146"/>
      <c r="R67" s="19">
        <f t="shared" si="3"/>
        <v>0</v>
      </c>
      <c r="S67" s="146">
        <f t="shared" si="4"/>
        <v>0</v>
      </c>
      <c r="T67" s="20">
        <v>2</v>
      </c>
      <c r="U67" s="20"/>
      <c r="V67" s="143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42">
        <v>300334</v>
      </c>
      <c r="B68" s="135" t="s">
        <v>67</v>
      </c>
      <c r="C68" s="259" t="s">
        <v>86</v>
      </c>
      <c r="D68" s="260"/>
      <c r="E68" s="148" t="s">
        <v>85</v>
      </c>
      <c r="F68" s="13"/>
      <c r="G68" s="110"/>
      <c r="H68" s="110"/>
      <c r="I68" s="110"/>
      <c r="J68" s="110"/>
      <c r="K68" s="146">
        <f t="shared" si="0"/>
        <v>0</v>
      </c>
      <c r="L68" s="146">
        <f t="shared" si="1"/>
        <v>0</v>
      </c>
      <c r="M68" s="146">
        <v>416.3</v>
      </c>
      <c r="N68" s="146">
        <f t="shared" si="6"/>
        <v>1.7131687242798355</v>
      </c>
      <c r="O68" s="146"/>
      <c r="P68" s="146">
        <f t="shared" si="2"/>
        <v>0</v>
      </c>
      <c r="Q68" s="146"/>
      <c r="R68" s="19">
        <f t="shared" si="3"/>
        <v>0</v>
      </c>
      <c r="S68" s="146">
        <f t="shared" si="4"/>
        <v>0</v>
      </c>
      <c r="T68" s="20">
        <v>2</v>
      </c>
      <c r="U68" s="20"/>
      <c r="V68" s="143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42">
        <v>300335</v>
      </c>
      <c r="B69" s="135" t="s">
        <v>67</v>
      </c>
      <c r="C69" s="259" t="s">
        <v>86</v>
      </c>
      <c r="D69" s="260"/>
      <c r="E69" s="148" t="s">
        <v>49</v>
      </c>
      <c r="F69" s="13"/>
      <c r="G69" s="110"/>
      <c r="H69" s="110"/>
      <c r="I69" s="110"/>
      <c r="J69" s="110"/>
      <c r="K69" s="146">
        <f t="shared" si="0"/>
        <v>0</v>
      </c>
      <c r="L69" s="146">
        <f t="shared" si="1"/>
        <v>0</v>
      </c>
      <c r="M69" s="146">
        <v>416.3</v>
      </c>
      <c r="N69" s="146">
        <f t="shared" si="6"/>
        <v>1.7131687242798355</v>
      </c>
      <c r="O69" s="146"/>
      <c r="P69" s="146">
        <f t="shared" si="2"/>
        <v>0</v>
      </c>
      <c r="Q69" s="146"/>
      <c r="R69" s="19">
        <f t="shared" si="3"/>
        <v>0</v>
      </c>
      <c r="S69" s="146">
        <f t="shared" si="4"/>
        <v>0</v>
      </c>
      <c r="T69" s="20">
        <v>2</v>
      </c>
      <c r="U69" s="20"/>
      <c r="V69" s="143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42">
        <v>300291</v>
      </c>
      <c r="B70" s="135" t="s">
        <v>87</v>
      </c>
      <c r="C70" s="248" t="s">
        <v>88</v>
      </c>
      <c r="D70" s="248" t="s">
        <v>89</v>
      </c>
      <c r="E70" s="148" t="s">
        <v>42</v>
      </c>
      <c r="F70" s="13"/>
      <c r="G70" s="110"/>
      <c r="H70" s="110"/>
      <c r="I70" s="110"/>
      <c r="J70" s="110"/>
      <c r="K70" s="146">
        <f t="shared" si="0"/>
        <v>0</v>
      </c>
      <c r="L70" s="146">
        <f t="shared" si="1"/>
        <v>0</v>
      </c>
      <c r="M70" s="146">
        <v>517.79999999999995</v>
      </c>
      <c r="N70" s="146">
        <f t="shared" si="6"/>
        <v>4.261728395061728</v>
      </c>
      <c r="O70" s="146"/>
      <c r="P70" s="146">
        <f t="shared" si="2"/>
        <v>0</v>
      </c>
      <c r="Q70" s="146"/>
      <c r="R70" s="19">
        <f t="shared" si="3"/>
        <v>0</v>
      </c>
      <c r="S70" s="146">
        <f t="shared" si="4"/>
        <v>0</v>
      </c>
      <c r="T70" s="20">
        <v>4</v>
      </c>
      <c r="U70" s="20"/>
      <c r="V70" s="143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42">
        <v>300292</v>
      </c>
      <c r="B71" s="135" t="s">
        <v>87</v>
      </c>
      <c r="C71" s="248" t="s">
        <v>88</v>
      </c>
      <c r="D71" s="248" t="s">
        <v>89</v>
      </c>
      <c r="E71" s="148" t="s">
        <v>41</v>
      </c>
      <c r="F71" s="13"/>
      <c r="G71" s="110"/>
      <c r="H71" s="110"/>
      <c r="I71" s="110"/>
      <c r="J71" s="110"/>
      <c r="K71" s="146">
        <f t="shared" si="0"/>
        <v>0</v>
      </c>
      <c r="L71" s="146">
        <f t="shared" si="1"/>
        <v>0</v>
      </c>
      <c r="M71" s="146">
        <v>517.79999999999995</v>
      </c>
      <c r="N71" s="146">
        <f>+M71*1000/(66.8*1*110*60)*T71</f>
        <v>4.6978769733260748</v>
      </c>
      <c r="O71" s="146"/>
      <c r="P71" s="146">
        <f t="shared" si="2"/>
        <v>0</v>
      </c>
      <c r="Q71" s="146"/>
      <c r="R71" s="19">
        <f t="shared" si="3"/>
        <v>0</v>
      </c>
      <c r="S71" s="146">
        <f t="shared" si="4"/>
        <v>0</v>
      </c>
      <c r="T71" s="20">
        <v>4</v>
      </c>
      <c r="U71" s="20"/>
      <c r="V71" s="143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42">
        <v>300293</v>
      </c>
      <c r="B72" s="135" t="s">
        <v>87</v>
      </c>
      <c r="C72" s="248" t="s">
        <v>88</v>
      </c>
      <c r="D72" s="248" t="s">
        <v>89</v>
      </c>
      <c r="E72" s="148" t="s">
        <v>57</v>
      </c>
      <c r="F72" s="13"/>
      <c r="G72" s="110"/>
      <c r="H72" s="110"/>
      <c r="I72" s="110"/>
      <c r="J72" s="110"/>
      <c r="K72" s="146">
        <f t="shared" si="0"/>
        <v>0</v>
      </c>
      <c r="L72" s="146">
        <f t="shared" si="1"/>
        <v>0</v>
      </c>
      <c r="M72" s="146">
        <v>517.9</v>
      </c>
      <c r="N72" s="146">
        <f>+M72*1000/(67.1*1*110*60)*T72</f>
        <v>4.6777762724111467</v>
      </c>
      <c r="O72" s="146"/>
      <c r="P72" s="146">
        <f t="shared" si="2"/>
        <v>0</v>
      </c>
      <c r="Q72" s="146"/>
      <c r="R72" s="19">
        <f t="shared" si="3"/>
        <v>0</v>
      </c>
      <c r="S72" s="146">
        <f t="shared" si="4"/>
        <v>0</v>
      </c>
      <c r="T72" s="20">
        <v>4</v>
      </c>
      <c r="U72" s="20"/>
      <c r="V72" s="143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42">
        <v>300290</v>
      </c>
      <c r="B73" s="135" t="s">
        <v>87</v>
      </c>
      <c r="C73" s="248" t="s">
        <v>88</v>
      </c>
      <c r="D73" s="248" t="s">
        <v>89</v>
      </c>
      <c r="E73" s="148" t="s">
        <v>35</v>
      </c>
      <c r="F73" s="13"/>
      <c r="G73" s="110"/>
      <c r="H73" s="110"/>
      <c r="I73" s="110"/>
      <c r="J73" s="110"/>
      <c r="K73" s="146">
        <f t="shared" si="0"/>
        <v>0</v>
      </c>
      <c r="L73" s="146">
        <f t="shared" si="1"/>
        <v>0</v>
      </c>
      <c r="M73" s="146">
        <v>520</v>
      </c>
      <c r="N73" s="146">
        <f>+M73*1000/(67.5*1*110*60)*T73</f>
        <v>4.6689113355780023</v>
      </c>
      <c r="O73" s="146"/>
      <c r="P73" s="146">
        <f t="shared" si="2"/>
        <v>0</v>
      </c>
      <c r="Q73" s="146"/>
      <c r="R73" s="19">
        <f t="shared" si="3"/>
        <v>0</v>
      </c>
      <c r="S73" s="146">
        <f t="shared" si="4"/>
        <v>0</v>
      </c>
      <c r="T73" s="20">
        <v>4</v>
      </c>
      <c r="U73" s="20"/>
      <c r="V73" s="143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42">
        <v>300058</v>
      </c>
      <c r="B75" s="135" t="s">
        <v>87</v>
      </c>
      <c r="C75" s="248" t="s">
        <v>316</v>
      </c>
      <c r="D75" s="248" t="s">
        <v>89</v>
      </c>
      <c r="E75" s="148" t="s">
        <v>42</v>
      </c>
      <c r="F75" s="13"/>
      <c r="G75" s="110"/>
      <c r="H75" s="110"/>
      <c r="I75" s="110"/>
      <c r="J75" s="110"/>
      <c r="K75" s="146">
        <f t="shared" si="0"/>
        <v>0</v>
      </c>
      <c r="L75" s="146">
        <f t="shared" si="1"/>
        <v>0</v>
      </c>
      <c r="M75" s="146">
        <v>419.2</v>
      </c>
      <c r="N75" s="146">
        <f>+M75*1000/(51.5*1*110*60)*T75</f>
        <v>4.9332156516622536</v>
      </c>
      <c r="O75" s="146"/>
      <c r="P75" s="146">
        <f t="shared" si="2"/>
        <v>0</v>
      </c>
      <c r="Q75" s="146"/>
      <c r="R75" s="19">
        <f t="shared" si="3"/>
        <v>0</v>
      </c>
      <c r="S75" s="146">
        <f t="shared" si="4"/>
        <v>0</v>
      </c>
      <c r="T75" s="20">
        <v>4</v>
      </c>
      <c r="U75" s="20"/>
      <c r="V75" s="143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42">
        <v>300061</v>
      </c>
      <c r="B76" s="135" t="s">
        <v>92</v>
      </c>
      <c r="C76" s="248" t="s">
        <v>317</v>
      </c>
      <c r="D76" s="248" t="s">
        <v>96</v>
      </c>
      <c r="E76" s="148" t="s">
        <v>41</v>
      </c>
      <c r="F76" s="13"/>
      <c r="G76" s="110"/>
      <c r="H76" s="110"/>
      <c r="I76" s="110"/>
      <c r="J76" s="110"/>
      <c r="K76" s="146">
        <f t="shared" si="0"/>
        <v>0</v>
      </c>
      <c r="L76" s="146">
        <f t="shared" si="1"/>
        <v>0</v>
      </c>
      <c r="M76" s="146">
        <v>418.4</v>
      </c>
      <c r="N76" s="146">
        <f>+M76*1000/(51*1*110*60)*T76</f>
        <v>4.9720736779560308</v>
      </c>
      <c r="O76" s="146"/>
      <c r="P76" s="146">
        <f t="shared" si="2"/>
        <v>0</v>
      </c>
      <c r="Q76" s="146"/>
      <c r="R76" s="19">
        <f t="shared" si="3"/>
        <v>0</v>
      </c>
      <c r="S76" s="146">
        <f t="shared" si="4"/>
        <v>0</v>
      </c>
      <c r="T76" s="20">
        <v>4</v>
      </c>
      <c r="U76" s="20"/>
      <c r="V76" s="143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42">
        <v>300064</v>
      </c>
      <c r="B77" s="135">
        <v>5002</v>
      </c>
      <c r="C77" s="248" t="s">
        <v>317</v>
      </c>
      <c r="D77" s="248" t="s">
        <v>96</v>
      </c>
      <c r="E77" s="148" t="s">
        <v>35</v>
      </c>
      <c r="F77" s="13"/>
      <c r="G77" s="110"/>
      <c r="H77" s="110"/>
      <c r="I77" s="110"/>
      <c r="J77" s="110"/>
      <c r="K77" s="146">
        <f t="shared" ref="K77:K153" si="7">G77*M77</f>
        <v>0</v>
      </c>
      <c r="L77" s="146">
        <f t="shared" ref="L77:L153" si="8">I77*M77</f>
        <v>0</v>
      </c>
      <c r="M77" s="146">
        <v>419.2</v>
      </c>
      <c r="N77" s="146">
        <f>+M77*1000/(51.9*1*110*60)*T77</f>
        <v>4.8951947217843168</v>
      </c>
      <c r="O77" s="146"/>
      <c r="P77" s="146">
        <f t="shared" ref="P77:P153" si="9">N77*I77+O77*U77</f>
        <v>0</v>
      </c>
      <c r="Q77" s="146"/>
      <c r="R77" s="19">
        <f t="shared" ref="R77:R153" si="10">Q77*U77</f>
        <v>0</v>
      </c>
      <c r="S77" s="146">
        <f t="shared" ref="S77:S153" si="11">R77-P77</f>
        <v>0</v>
      </c>
      <c r="T77" s="20">
        <v>4</v>
      </c>
      <c r="U77" s="20"/>
      <c r="V77" s="143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42">
        <v>300060</v>
      </c>
      <c r="B78" s="152" t="s">
        <v>321</v>
      </c>
      <c r="C78" s="248" t="s">
        <v>317</v>
      </c>
      <c r="D78" s="248" t="s">
        <v>96</v>
      </c>
      <c r="E78" s="148" t="s">
        <v>57</v>
      </c>
      <c r="F78" s="13"/>
      <c r="G78" s="133">
        <v>17</v>
      </c>
      <c r="H78" s="133"/>
      <c r="I78" s="133">
        <v>17</v>
      </c>
      <c r="J78" s="133"/>
      <c r="K78" s="146">
        <f t="shared" si="7"/>
        <v>7087.2999999999993</v>
      </c>
      <c r="L78" s="146">
        <f t="shared" si="8"/>
        <v>7087.2999999999993</v>
      </c>
      <c r="M78" s="146">
        <v>416.9</v>
      </c>
      <c r="N78" s="146">
        <f>+M78*1000/(51*1*110*60)*T78</f>
        <v>4.9542483660130721</v>
      </c>
      <c r="O78" s="146"/>
      <c r="P78" s="146">
        <f t="shared" si="9"/>
        <v>84.222222222222229</v>
      </c>
      <c r="Q78" s="146">
        <v>11</v>
      </c>
      <c r="R78" s="19">
        <f t="shared" si="10"/>
        <v>44</v>
      </c>
      <c r="S78" s="146">
        <f t="shared" si="11"/>
        <v>-40.222222222222229</v>
      </c>
      <c r="T78" s="20">
        <v>4</v>
      </c>
      <c r="U78" s="20">
        <v>4</v>
      </c>
      <c r="V78" s="143">
        <f t="array" ref="V78">IF(ISERROR(L78/K78),"",L78/K78)</f>
        <v>1</v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42">
        <v>300068</v>
      </c>
      <c r="B79" s="135" t="s">
        <v>87</v>
      </c>
      <c r="C79" s="248" t="s">
        <v>98</v>
      </c>
      <c r="D79" s="248" t="s">
        <v>99</v>
      </c>
      <c r="E79" s="148" t="s">
        <v>37</v>
      </c>
      <c r="F79" s="13"/>
      <c r="G79" s="133"/>
      <c r="H79" s="133"/>
      <c r="I79" s="133"/>
      <c r="J79" s="133"/>
      <c r="K79" s="146">
        <f t="shared" si="7"/>
        <v>0</v>
      </c>
      <c r="L79" s="146">
        <f t="shared" si="8"/>
        <v>0</v>
      </c>
      <c r="M79" s="146">
        <v>438.4</v>
      </c>
      <c r="N79" s="146">
        <f>+M79*1000/(50*1*120*60)*T79</f>
        <v>4.8711111111111114</v>
      </c>
      <c r="O79" s="146"/>
      <c r="P79" s="146">
        <f t="shared" si="9"/>
        <v>0</v>
      </c>
      <c r="Q79" s="146"/>
      <c r="R79" s="19">
        <f t="shared" si="10"/>
        <v>0</v>
      </c>
      <c r="S79" s="146">
        <f t="shared" si="11"/>
        <v>0</v>
      </c>
      <c r="T79" s="20">
        <v>4</v>
      </c>
      <c r="U79" s="20"/>
      <c r="V79" s="143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42">
        <v>300065</v>
      </c>
      <c r="B80" s="135" t="s">
        <v>87</v>
      </c>
      <c r="C80" s="248" t="s">
        <v>98</v>
      </c>
      <c r="D80" s="248" t="s">
        <v>99</v>
      </c>
      <c r="E80" s="148" t="s">
        <v>35</v>
      </c>
      <c r="F80" s="13"/>
      <c r="G80" s="133"/>
      <c r="H80" s="133"/>
      <c r="I80" s="133"/>
      <c r="J80" s="133"/>
      <c r="K80" s="146">
        <f t="shared" si="7"/>
        <v>0</v>
      </c>
      <c r="L80" s="146">
        <f t="shared" si="8"/>
        <v>0</v>
      </c>
      <c r="M80" s="146">
        <v>438.8</v>
      </c>
      <c r="N80" s="146">
        <f>+M80*1000/(50*1*120*60)*T80</f>
        <v>4.8755555555555556</v>
      </c>
      <c r="O80" s="146"/>
      <c r="P80" s="146">
        <f t="shared" si="9"/>
        <v>0</v>
      </c>
      <c r="Q80" s="146"/>
      <c r="R80" s="19">
        <f t="shared" si="10"/>
        <v>0</v>
      </c>
      <c r="S80" s="146">
        <f t="shared" si="11"/>
        <v>0</v>
      </c>
      <c r="T80" s="20">
        <v>4</v>
      </c>
      <c r="U80" s="142"/>
      <c r="V80" s="143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42">
        <v>300066</v>
      </c>
      <c r="B81" s="135" t="s">
        <v>87</v>
      </c>
      <c r="C81" s="248" t="s">
        <v>98</v>
      </c>
      <c r="D81" s="248" t="s">
        <v>99</v>
      </c>
      <c r="E81" s="148" t="s">
        <v>66</v>
      </c>
      <c r="F81" s="13"/>
      <c r="G81" s="133"/>
      <c r="H81" s="133"/>
      <c r="I81" s="133"/>
      <c r="J81" s="133"/>
      <c r="K81" s="146">
        <f t="shared" si="7"/>
        <v>0</v>
      </c>
      <c r="L81" s="146">
        <f t="shared" si="8"/>
        <v>0</v>
      </c>
      <c r="M81" s="146">
        <v>438.4</v>
      </c>
      <c r="N81" s="146">
        <f>+M81*1000/(50*1*120*60)*T81</f>
        <v>4.8711111111111114</v>
      </c>
      <c r="O81" s="146"/>
      <c r="P81" s="146">
        <f t="shared" si="9"/>
        <v>0</v>
      </c>
      <c r="Q81" s="146"/>
      <c r="R81" s="19">
        <f t="shared" si="10"/>
        <v>0</v>
      </c>
      <c r="S81" s="146">
        <f t="shared" si="11"/>
        <v>0</v>
      </c>
      <c r="T81" s="20">
        <v>4</v>
      </c>
      <c r="U81" s="142"/>
      <c r="V81" s="143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42">
        <v>300067</v>
      </c>
      <c r="B82" s="135" t="s">
        <v>87</v>
      </c>
      <c r="C82" s="248" t="s">
        <v>98</v>
      </c>
      <c r="D82" s="248" t="s">
        <v>99</v>
      </c>
      <c r="E82" s="148" t="s">
        <v>41</v>
      </c>
      <c r="F82" s="13"/>
      <c r="G82" s="133"/>
      <c r="H82" s="133"/>
      <c r="I82" s="133"/>
      <c r="J82" s="133"/>
      <c r="K82" s="146">
        <f t="shared" si="7"/>
        <v>0</v>
      </c>
      <c r="L82" s="146">
        <f t="shared" si="8"/>
        <v>0</v>
      </c>
      <c r="M82" s="146">
        <v>438.8</v>
      </c>
      <c r="N82" s="146">
        <f>+M82*1000/(50*1*120*60)*T82</f>
        <v>4.8755555555555556</v>
      </c>
      <c r="O82" s="146"/>
      <c r="P82" s="146">
        <f t="shared" si="9"/>
        <v>0</v>
      </c>
      <c r="Q82" s="146"/>
      <c r="R82" s="19">
        <f t="shared" si="10"/>
        <v>0</v>
      </c>
      <c r="S82" s="146">
        <f t="shared" si="11"/>
        <v>0</v>
      </c>
      <c r="T82" s="20">
        <v>4</v>
      </c>
      <c r="U82" s="20"/>
      <c r="V82" s="143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38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42">
        <v>300384</v>
      </c>
      <c r="B84" s="135" t="s">
        <v>87</v>
      </c>
      <c r="C84" s="248" t="s">
        <v>100</v>
      </c>
      <c r="D84" s="248" t="s">
        <v>101</v>
      </c>
      <c r="E84" s="148" t="s">
        <v>35</v>
      </c>
      <c r="F84" s="147"/>
      <c r="G84" s="133"/>
      <c r="H84" s="133"/>
      <c r="I84" s="133"/>
      <c r="J84" s="133"/>
      <c r="K84" s="146">
        <f t="shared" si="7"/>
        <v>0</v>
      </c>
      <c r="L84" s="146">
        <f t="shared" si="8"/>
        <v>0</v>
      </c>
      <c r="M84" s="146">
        <v>415.5</v>
      </c>
      <c r="N84" s="15">
        <f>+M84*1000/(51*1*110*60)*T84</f>
        <v>8.6408199643493759</v>
      </c>
      <c r="O84" s="146"/>
      <c r="P84" s="146">
        <f t="shared" si="9"/>
        <v>0</v>
      </c>
      <c r="Q84" s="146"/>
      <c r="R84" s="19">
        <f t="shared" si="10"/>
        <v>0</v>
      </c>
      <c r="S84" s="146">
        <f t="shared" si="11"/>
        <v>0</v>
      </c>
      <c r="T84" s="20">
        <v>7</v>
      </c>
      <c r="U84" s="20"/>
      <c r="V84" s="143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42">
        <v>300383</v>
      </c>
      <c r="B85" s="135" t="s">
        <v>87</v>
      </c>
      <c r="C85" s="248" t="s">
        <v>100</v>
      </c>
      <c r="D85" s="248" t="s">
        <v>102</v>
      </c>
      <c r="E85" s="148" t="s">
        <v>41</v>
      </c>
      <c r="F85" s="147"/>
      <c r="G85" s="133"/>
      <c r="H85" s="133"/>
      <c r="I85" s="133"/>
      <c r="J85" s="133"/>
      <c r="K85" s="146">
        <f t="shared" si="7"/>
        <v>0</v>
      </c>
      <c r="L85" s="146">
        <f t="shared" si="8"/>
        <v>0</v>
      </c>
      <c r="M85" s="146">
        <v>415.5</v>
      </c>
      <c r="N85" s="15">
        <f>+M85*1000/(51*1*110*60)*T85</f>
        <v>8.6408199643493759</v>
      </c>
      <c r="O85" s="146"/>
      <c r="P85" s="146">
        <f t="shared" si="9"/>
        <v>0</v>
      </c>
      <c r="Q85" s="146"/>
      <c r="R85" s="19">
        <f t="shared" si="10"/>
        <v>0</v>
      </c>
      <c r="S85" s="146">
        <f t="shared" si="11"/>
        <v>0</v>
      </c>
      <c r="T85" s="20">
        <v>7</v>
      </c>
      <c r="U85" s="20"/>
      <c r="V85" s="143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42">
        <v>300386</v>
      </c>
      <c r="B86" s="135" t="s">
        <v>87</v>
      </c>
      <c r="C86" s="248" t="s">
        <v>100</v>
      </c>
      <c r="D86" s="248" t="s">
        <v>103</v>
      </c>
      <c r="E86" s="148" t="s">
        <v>66</v>
      </c>
      <c r="F86" s="147"/>
      <c r="G86" s="133"/>
      <c r="H86" s="133"/>
      <c r="I86" s="133"/>
      <c r="J86" s="133"/>
      <c r="K86" s="146">
        <f t="shared" si="7"/>
        <v>0</v>
      </c>
      <c r="L86" s="146">
        <f t="shared" si="8"/>
        <v>0</v>
      </c>
      <c r="M86" s="146">
        <v>415.5</v>
      </c>
      <c r="N86" s="15">
        <f>+M86*1000/(51*1*110*60)*T86</f>
        <v>8.6408199643493759</v>
      </c>
      <c r="O86" s="146"/>
      <c r="P86" s="146">
        <f t="shared" si="9"/>
        <v>0</v>
      </c>
      <c r="Q86" s="146"/>
      <c r="R86" s="19">
        <f t="shared" si="10"/>
        <v>0</v>
      </c>
      <c r="S86" s="146">
        <f t="shared" si="11"/>
        <v>0</v>
      </c>
      <c r="T86" s="20">
        <v>7</v>
      </c>
      <c r="U86" s="20"/>
      <c r="V86" s="143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42">
        <v>300385</v>
      </c>
      <c r="B87" s="135" t="s">
        <v>87</v>
      </c>
      <c r="C87" s="248" t="s">
        <v>100</v>
      </c>
      <c r="D87" s="248" t="s">
        <v>104</v>
      </c>
      <c r="E87" s="148" t="s">
        <v>105</v>
      </c>
      <c r="F87" s="147"/>
      <c r="G87" s="133"/>
      <c r="H87" s="133"/>
      <c r="I87" s="133"/>
      <c r="J87" s="133"/>
      <c r="K87" s="146">
        <f t="shared" si="7"/>
        <v>0</v>
      </c>
      <c r="L87" s="146">
        <f t="shared" si="8"/>
        <v>0</v>
      </c>
      <c r="M87" s="146">
        <v>415.5</v>
      </c>
      <c r="N87" s="15">
        <f>+M87*1000/(51*1*110*60)*T87</f>
        <v>8.6408199643493759</v>
      </c>
      <c r="O87" s="146"/>
      <c r="P87" s="146">
        <f t="shared" si="9"/>
        <v>0</v>
      </c>
      <c r="Q87" s="146"/>
      <c r="R87" s="19">
        <f t="shared" si="10"/>
        <v>0</v>
      </c>
      <c r="S87" s="146">
        <f t="shared" si="11"/>
        <v>0</v>
      </c>
      <c r="T87" s="20">
        <v>7</v>
      </c>
      <c r="U87" s="20"/>
      <c r="V87" s="143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42">
        <v>300352</v>
      </c>
      <c r="B88" s="135" t="s">
        <v>87</v>
      </c>
      <c r="C88" s="248" t="s">
        <v>106</v>
      </c>
      <c r="D88" s="248" t="s">
        <v>101</v>
      </c>
      <c r="E88" s="148" t="s">
        <v>35</v>
      </c>
      <c r="F88" s="13"/>
      <c r="G88" s="133"/>
      <c r="H88" s="133"/>
      <c r="I88" s="133"/>
      <c r="J88" s="133"/>
      <c r="K88" s="146">
        <f t="shared" si="7"/>
        <v>0</v>
      </c>
      <c r="L88" s="146">
        <f t="shared" si="8"/>
        <v>0</v>
      </c>
      <c r="M88" s="146">
        <v>515.9</v>
      </c>
      <c r="N88" s="146">
        <f>+M88*1000/(80*1*110*60)*T88</f>
        <v>6.8395833333333336</v>
      </c>
      <c r="O88" s="146"/>
      <c r="P88" s="146">
        <f t="shared" si="9"/>
        <v>0</v>
      </c>
      <c r="Q88" s="146"/>
      <c r="R88" s="19">
        <f t="shared" si="10"/>
        <v>0</v>
      </c>
      <c r="S88" s="146">
        <f t="shared" si="11"/>
        <v>0</v>
      </c>
      <c r="T88" s="20">
        <v>7</v>
      </c>
      <c r="U88" s="20"/>
      <c r="V88" s="143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42">
        <v>300353</v>
      </c>
      <c r="B89" s="135" t="s">
        <v>87</v>
      </c>
      <c r="C89" s="248" t="s">
        <v>106</v>
      </c>
      <c r="D89" s="248" t="s">
        <v>101</v>
      </c>
      <c r="E89" s="148" t="s">
        <v>105</v>
      </c>
      <c r="F89" s="13"/>
      <c r="G89" s="133"/>
      <c r="H89" s="133"/>
      <c r="I89" s="133"/>
      <c r="J89" s="133"/>
      <c r="K89" s="146">
        <f t="shared" si="7"/>
        <v>0</v>
      </c>
      <c r="L89" s="146">
        <f t="shared" si="8"/>
        <v>0</v>
      </c>
      <c r="M89" s="146">
        <v>515.9</v>
      </c>
      <c r="N89" s="146">
        <f>+M89*1000/(80*1*110*60)*T89</f>
        <v>6.8395833333333336</v>
      </c>
      <c r="O89" s="146"/>
      <c r="P89" s="146">
        <f t="shared" si="9"/>
        <v>0</v>
      </c>
      <c r="Q89" s="146"/>
      <c r="R89" s="19">
        <f t="shared" si="10"/>
        <v>0</v>
      </c>
      <c r="S89" s="146">
        <f t="shared" si="11"/>
        <v>0</v>
      </c>
      <c r="T89" s="20">
        <v>7</v>
      </c>
      <c r="U89" s="20"/>
      <c r="V89" s="143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42">
        <v>300351</v>
      </c>
      <c r="B90" s="135" t="s">
        <v>87</v>
      </c>
      <c r="C90" s="248" t="s">
        <v>106</v>
      </c>
      <c r="D90" s="248" t="s">
        <v>101</v>
      </c>
      <c r="E90" s="148" t="s">
        <v>41</v>
      </c>
      <c r="F90" s="13"/>
      <c r="G90" s="133"/>
      <c r="H90" s="133"/>
      <c r="I90" s="133"/>
      <c r="J90" s="133"/>
      <c r="K90" s="146">
        <f t="shared" si="7"/>
        <v>0</v>
      </c>
      <c r="L90" s="146">
        <f t="shared" si="8"/>
        <v>0</v>
      </c>
      <c r="M90" s="146">
        <v>515.9</v>
      </c>
      <c r="N90" s="146">
        <f>+M90*1000/(80*1*110*60)*T90</f>
        <v>6.8395833333333336</v>
      </c>
      <c r="O90" s="146"/>
      <c r="P90" s="146">
        <f t="shared" si="9"/>
        <v>0</v>
      </c>
      <c r="Q90" s="146"/>
      <c r="R90" s="19">
        <f t="shared" si="10"/>
        <v>0</v>
      </c>
      <c r="S90" s="146">
        <f t="shared" si="11"/>
        <v>0</v>
      </c>
      <c r="T90" s="20">
        <v>7</v>
      </c>
      <c r="U90" s="20"/>
      <c r="V90" s="143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42">
        <v>300354</v>
      </c>
      <c r="B91" s="135" t="s">
        <v>87</v>
      </c>
      <c r="C91" s="248" t="s">
        <v>106</v>
      </c>
      <c r="D91" s="248" t="s">
        <v>101</v>
      </c>
      <c r="E91" s="148" t="s">
        <v>66</v>
      </c>
      <c r="F91" s="13"/>
      <c r="G91" s="133"/>
      <c r="H91" s="133"/>
      <c r="I91" s="133"/>
      <c r="J91" s="133"/>
      <c r="K91" s="146">
        <f t="shared" si="7"/>
        <v>0</v>
      </c>
      <c r="L91" s="146">
        <f t="shared" si="8"/>
        <v>0</v>
      </c>
      <c r="M91" s="146">
        <v>515.9</v>
      </c>
      <c r="N91" s="146">
        <f>+M91*1000/(80*1*110*60)*T91</f>
        <v>6.8395833333333336</v>
      </c>
      <c r="O91" s="146"/>
      <c r="P91" s="146">
        <f t="shared" si="9"/>
        <v>0</v>
      </c>
      <c r="Q91" s="146"/>
      <c r="R91" s="19">
        <f t="shared" si="10"/>
        <v>0</v>
      </c>
      <c r="S91" s="146">
        <f t="shared" si="11"/>
        <v>0</v>
      </c>
      <c r="T91" s="20">
        <v>7</v>
      </c>
      <c r="U91" s="20"/>
      <c r="V91" s="143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42">
        <v>300250</v>
      </c>
      <c r="B92" s="135" t="s">
        <v>87</v>
      </c>
      <c r="C92" s="248" t="s">
        <v>107</v>
      </c>
      <c r="D92" s="248" t="s">
        <v>101</v>
      </c>
      <c r="E92" s="148" t="s">
        <v>35</v>
      </c>
      <c r="F92" s="13"/>
      <c r="G92" s="133"/>
      <c r="H92" s="133"/>
      <c r="I92" s="133"/>
      <c r="J92" s="133"/>
      <c r="K92" s="146">
        <f t="shared" si="7"/>
        <v>0</v>
      </c>
      <c r="L92" s="146">
        <f t="shared" si="8"/>
        <v>0</v>
      </c>
      <c r="M92" s="146">
        <v>412.5</v>
      </c>
      <c r="N92" s="146">
        <f>+M92*1000/(84*1*110*60)*T92</f>
        <v>5.2083333333333339</v>
      </c>
      <c r="O92" s="146"/>
      <c r="P92" s="146">
        <f t="shared" si="9"/>
        <v>0</v>
      </c>
      <c r="Q92" s="146"/>
      <c r="R92" s="19">
        <f t="shared" si="10"/>
        <v>0</v>
      </c>
      <c r="S92" s="146">
        <f t="shared" si="11"/>
        <v>0</v>
      </c>
      <c r="T92" s="20">
        <v>7</v>
      </c>
      <c r="U92" s="20"/>
      <c r="V92" s="143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42">
        <v>300251</v>
      </c>
      <c r="B93" s="135" t="s">
        <v>87</v>
      </c>
      <c r="C93" s="248" t="s">
        <v>107</v>
      </c>
      <c r="D93" s="248" t="s">
        <v>101</v>
      </c>
      <c r="E93" s="148" t="s">
        <v>105</v>
      </c>
      <c r="F93" s="13"/>
      <c r="G93" s="133"/>
      <c r="H93" s="133"/>
      <c r="I93" s="133"/>
      <c r="J93" s="133"/>
      <c r="K93" s="146">
        <f t="shared" si="7"/>
        <v>0</v>
      </c>
      <c r="L93" s="146">
        <f t="shared" si="8"/>
        <v>0</v>
      </c>
      <c r="M93" s="146">
        <v>412.5</v>
      </c>
      <c r="N93" s="146">
        <f>+M93*1000/(84*1*110*60)*T93</f>
        <v>5.2083333333333339</v>
      </c>
      <c r="O93" s="146"/>
      <c r="P93" s="146">
        <f t="shared" si="9"/>
        <v>0</v>
      </c>
      <c r="Q93" s="146"/>
      <c r="R93" s="19">
        <f t="shared" si="10"/>
        <v>0</v>
      </c>
      <c r="S93" s="146">
        <f t="shared" si="11"/>
        <v>0</v>
      </c>
      <c r="T93" s="20">
        <v>7</v>
      </c>
      <c r="U93" s="20"/>
      <c r="V93" s="143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42">
        <v>300254</v>
      </c>
      <c r="B94" s="135" t="s">
        <v>87</v>
      </c>
      <c r="C94" s="248" t="s">
        <v>107</v>
      </c>
      <c r="D94" s="248" t="s">
        <v>101</v>
      </c>
      <c r="E94" s="148" t="s">
        <v>41</v>
      </c>
      <c r="F94" s="13"/>
      <c r="G94" s="133"/>
      <c r="H94" s="133"/>
      <c r="I94" s="133"/>
      <c r="J94" s="133"/>
      <c r="K94" s="146">
        <f t="shared" si="7"/>
        <v>0</v>
      </c>
      <c r="L94" s="146">
        <f t="shared" si="8"/>
        <v>0</v>
      </c>
      <c r="M94" s="146">
        <v>412.5</v>
      </c>
      <c r="N94" s="146">
        <f>+M94*1000/(84*1*110*60)*T94</f>
        <v>5.2083333333333339</v>
      </c>
      <c r="O94" s="146"/>
      <c r="P94" s="146">
        <f t="shared" si="9"/>
        <v>0</v>
      </c>
      <c r="Q94" s="146"/>
      <c r="R94" s="19">
        <f t="shared" si="10"/>
        <v>0</v>
      </c>
      <c r="S94" s="146">
        <f t="shared" si="11"/>
        <v>0</v>
      </c>
      <c r="T94" s="20">
        <v>7</v>
      </c>
      <c r="U94" s="20"/>
      <c r="V94" s="143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42">
        <v>300253</v>
      </c>
      <c r="B95" s="135" t="s">
        <v>87</v>
      </c>
      <c r="C95" s="248" t="s">
        <v>107</v>
      </c>
      <c r="D95" s="248" t="s">
        <v>101</v>
      </c>
      <c r="E95" s="148" t="s">
        <v>66</v>
      </c>
      <c r="F95" s="13"/>
      <c r="G95" s="133"/>
      <c r="H95" s="133"/>
      <c r="I95" s="133"/>
      <c r="J95" s="133"/>
      <c r="K95" s="146">
        <f t="shared" si="7"/>
        <v>0</v>
      </c>
      <c r="L95" s="146">
        <f t="shared" si="8"/>
        <v>0</v>
      </c>
      <c r="M95" s="146">
        <v>412.5</v>
      </c>
      <c r="N95" s="146">
        <f>+M95*1000/(84*1*110*60)*T95</f>
        <v>5.2083333333333339</v>
      </c>
      <c r="O95" s="146"/>
      <c r="P95" s="146">
        <f t="shared" si="9"/>
        <v>0</v>
      </c>
      <c r="Q95" s="146"/>
      <c r="R95" s="19">
        <f t="shared" si="10"/>
        <v>0</v>
      </c>
      <c r="S95" s="146">
        <f t="shared" si="11"/>
        <v>0</v>
      </c>
      <c r="T95" s="20">
        <v>7</v>
      </c>
      <c r="U95" s="20"/>
      <c r="V95" s="143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42">
        <v>300255</v>
      </c>
      <c r="B96" s="135" t="s">
        <v>87</v>
      </c>
      <c r="C96" s="248" t="s">
        <v>107</v>
      </c>
      <c r="D96" s="248" t="s">
        <v>101</v>
      </c>
      <c r="E96" s="148" t="s">
        <v>108</v>
      </c>
      <c r="F96" s="13"/>
      <c r="G96" s="133"/>
      <c r="H96" s="133"/>
      <c r="I96" s="133"/>
      <c r="J96" s="133"/>
      <c r="K96" s="146">
        <f t="shared" si="7"/>
        <v>0</v>
      </c>
      <c r="L96" s="146">
        <f t="shared" si="8"/>
        <v>0</v>
      </c>
      <c r="M96" s="146">
        <v>412.5</v>
      </c>
      <c r="N96" s="146">
        <f>+M96*1000/(84*1*110*60)*T96</f>
        <v>5.2083333333333339</v>
      </c>
      <c r="O96" s="146"/>
      <c r="P96" s="146">
        <f t="shared" si="9"/>
        <v>0</v>
      </c>
      <c r="Q96" s="146"/>
      <c r="R96" s="19">
        <f t="shared" si="10"/>
        <v>0</v>
      </c>
      <c r="S96" s="146">
        <f t="shared" si="11"/>
        <v>0</v>
      </c>
      <c r="T96" s="20">
        <v>7</v>
      </c>
      <c r="U96" s="20"/>
      <c r="V96" s="143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42">
        <v>300088</v>
      </c>
      <c r="B98" s="135" t="s">
        <v>87</v>
      </c>
      <c r="C98" s="248" t="s">
        <v>318</v>
      </c>
      <c r="D98" s="248" t="s">
        <v>96</v>
      </c>
      <c r="E98" s="148" t="s">
        <v>39</v>
      </c>
      <c r="F98" s="13"/>
      <c r="G98" s="133"/>
      <c r="H98" s="133"/>
      <c r="I98" s="133"/>
      <c r="J98" s="133"/>
      <c r="K98" s="146">
        <f t="shared" si="7"/>
        <v>0</v>
      </c>
      <c r="L98" s="146">
        <f t="shared" si="8"/>
        <v>0</v>
      </c>
      <c r="M98" s="146">
        <v>617.79999999999995</v>
      </c>
      <c r="N98" s="146">
        <f>+M98*1000/(123*1*80*60)*T98</f>
        <v>3.1392276422764223</v>
      </c>
      <c r="O98" s="146"/>
      <c r="P98" s="146">
        <f t="shared" si="9"/>
        <v>0</v>
      </c>
      <c r="Q98" s="146"/>
      <c r="R98" s="19">
        <f t="shared" si="10"/>
        <v>0</v>
      </c>
      <c r="S98" s="146">
        <f t="shared" si="11"/>
        <v>0</v>
      </c>
      <c r="T98" s="20">
        <v>3</v>
      </c>
      <c r="U98" s="20"/>
      <c r="V98" s="143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42">
        <v>300089</v>
      </c>
      <c r="B99" s="135" t="s">
        <v>87</v>
      </c>
      <c r="C99" s="248" t="s">
        <v>318</v>
      </c>
      <c r="D99" s="248" t="s">
        <v>96</v>
      </c>
      <c r="E99" s="148" t="s">
        <v>42</v>
      </c>
      <c r="F99" s="13"/>
      <c r="G99" s="133"/>
      <c r="H99" s="133"/>
      <c r="I99" s="133"/>
      <c r="J99" s="133"/>
      <c r="K99" s="146">
        <f t="shared" si="7"/>
        <v>0</v>
      </c>
      <c r="L99" s="146">
        <f t="shared" si="8"/>
        <v>0</v>
      </c>
      <c r="M99" s="146">
        <v>618.6</v>
      </c>
      <c r="N99" s="146">
        <f>+M99*1000/(124*1*80*60)*T99</f>
        <v>3.117943548387097</v>
      </c>
      <c r="O99" s="146"/>
      <c r="P99" s="146">
        <f t="shared" si="9"/>
        <v>0</v>
      </c>
      <c r="Q99" s="146"/>
      <c r="R99" s="19">
        <f t="shared" si="10"/>
        <v>0</v>
      </c>
      <c r="S99" s="146">
        <f t="shared" si="11"/>
        <v>0</v>
      </c>
      <c r="T99" s="20">
        <v>3</v>
      </c>
      <c r="U99" s="20"/>
      <c r="V99" s="143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42">
        <v>300128</v>
      </c>
      <c r="B100" s="135" t="s">
        <v>87</v>
      </c>
      <c r="C100" s="248" t="s">
        <v>112</v>
      </c>
      <c r="D100" s="248" t="s">
        <v>113</v>
      </c>
      <c r="E100" s="148" t="s">
        <v>35</v>
      </c>
      <c r="F100" s="13"/>
      <c r="G100" s="133"/>
      <c r="H100" s="133"/>
      <c r="I100" s="133"/>
      <c r="J100" s="133"/>
      <c r="K100" s="146">
        <f t="shared" si="7"/>
        <v>0</v>
      </c>
      <c r="L100" s="146">
        <f t="shared" si="8"/>
        <v>0</v>
      </c>
      <c r="M100" s="146">
        <v>621.29999999999995</v>
      </c>
      <c r="N100" s="146">
        <f t="shared" ref="N100:N105" si="12">+M100*1000/(130.5*1*80*60)*T100</f>
        <v>3.9674329501915708</v>
      </c>
      <c r="O100" s="146"/>
      <c r="P100" s="146">
        <f t="shared" si="9"/>
        <v>0</v>
      </c>
      <c r="Q100" s="146"/>
      <c r="R100" s="19">
        <f t="shared" si="10"/>
        <v>0</v>
      </c>
      <c r="S100" s="146">
        <f t="shared" si="11"/>
        <v>0</v>
      </c>
      <c r="T100" s="20">
        <v>4</v>
      </c>
      <c r="U100" s="20"/>
      <c r="V100" s="143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42">
        <v>300129</v>
      </c>
      <c r="B101" s="152" t="s">
        <v>321</v>
      </c>
      <c r="C101" s="248" t="s">
        <v>112</v>
      </c>
      <c r="D101" s="248" t="s">
        <v>113</v>
      </c>
      <c r="E101" s="148" t="s">
        <v>41</v>
      </c>
      <c r="F101" s="13"/>
      <c r="G101" s="133">
        <v>1.25</v>
      </c>
      <c r="H101" s="133"/>
      <c r="I101" s="133">
        <f>2-J101/600</f>
        <v>1.25</v>
      </c>
      <c r="J101" s="133">
        <v>450</v>
      </c>
      <c r="K101" s="146">
        <f t="shared" si="7"/>
        <v>776.625</v>
      </c>
      <c r="L101" s="146">
        <f t="shared" si="8"/>
        <v>776.625</v>
      </c>
      <c r="M101" s="146">
        <v>621.29999999999995</v>
      </c>
      <c r="N101" s="146">
        <f t="shared" si="12"/>
        <v>3.9674329501915708</v>
      </c>
      <c r="O101" s="146"/>
      <c r="P101" s="146">
        <f t="shared" si="9"/>
        <v>4.9592911877394634</v>
      </c>
      <c r="Q101" s="146">
        <v>11</v>
      </c>
      <c r="R101" s="19">
        <f t="shared" si="10"/>
        <v>55</v>
      </c>
      <c r="S101" s="146">
        <f t="shared" si="11"/>
        <v>50.040708812260533</v>
      </c>
      <c r="T101" s="20">
        <v>4</v>
      </c>
      <c r="U101" s="20">
        <v>5</v>
      </c>
      <c r="V101" s="143">
        <f t="array" ref="V101">IF(ISERROR(L101/K101),"",L101/K101)</f>
        <v>1</v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42">
        <v>300130</v>
      </c>
      <c r="B102" s="135" t="s">
        <v>87</v>
      </c>
      <c r="C102" s="248" t="s">
        <v>112</v>
      </c>
      <c r="D102" s="248" t="s">
        <v>113</v>
      </c>
      <c r="E102" s="148" t="s">
        <v>37</v>
      </c>
      <c r="F102" s="13"/>
      <c r="G102" s="110"/>
      <c r="H102" s="110"/>
      <c r="I102" s="110"/>
      <c r="J102" s="110"/>
      <c r="K102" s="146">
        <f t="shared" si="7"/>
        <v>0</v>
      </c>
      <c r="L102" s="146">
        <f t="shared" si="8"/>
        <v>0</v>
      </c>
      <c r="M102" s="146">
        <v>621.29999999999995</v>
      </c>
      <c r="N102" s="146">
        <f t="shared" si="12"/>
        <v>3.9674329501915708</v>
      </c>
      <c r="O102" s="146"/>
      <c r="P102" s="146">
        <f t="shared" si="9"/>
        <v>0</v>
      </c>
      <c r="Q102" s="146"/>
      <c r="R102" s="19">
        <f t="shared" si="10"/>
        <v>0</v>
      </c>
      <c r="S102" s="146">
        <f t="shared" si="11"/>
        <v>0</v>
      </c>
      <c r="T102" s="20">
        <v>4</v>
      </c>
      <c r="U102" s="20"/>
      <c r="V102" s="143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42">
        <v>300423</v>
      </c>
      <c r="B103" s="135" t="s">
        <v>300</v>
      </c>
      <c r="C103" s="259" t="s">
        <v>296</v>
      </c>
      <c r="D103" s="260"/>
      <c r="E103" s="148" t="s">
        <v>297</v>
      </c>
      <c r="F103" s="13"/>
      <c r="G103" s="110"/>
      <c r="H103" s="110"/>
      <c r="I103" s="110"/>
      <c r="J103" s="110"/>
      <c r="K103" s="146">
        <f t="shared" si="7"/>
        <v>0</v>
      </c>
      <c r="L103" s="146">
        <f t="shared" si="8"/>
        <v>0</v>
      </c>
      <c r="M103" s="146">
        <v>524.1</v>
      </c>
      <c r="N103" s="146">
        <f t="shared" si="12"/>
        <v>3.3467432950191571</v>
      </c>
      <c r="O103" s="146"/>
      <c r="P103" s="146">
        <f t="shared" si="9"/>
        <v>0</v>
      </c>
      <c r="Q103" s="146"/>
      <c r="R103" s="19">
        <f t="shared" si="10"/>
        <v>0</v>
      </c>
      <c r="S103" s="146">
        <f t="shared" si="11"/>
        <v>0</v>
      </c>
      <c r="T103" s="20">
        <v>4</v>
      </c>
      <c r="U103" s="20"/>
      <c r="V103" s="143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42">
        <v>300424</v>
      </c>
      <c r="B104" s="135" t="s">
        <v>300</v>
      </c>
      <c r="C104" s="259" t="s">
        <v>296</v>
      </c>
      <c r="D104" s="260"/>
      <c r="E104" s="148" t="s">
        <v>298</v>
      </c>
      <c r="F104" s="13"/>
      <c r="G104" s="110"/>
      <c r="H104" s="110"/>
      <c r="I104" s="110"/>
      <c r="J104" s="110"/>
      <c r="K104" s="146">
        <f t="shared" si="7"/>
        <v>0</v>
      </c>
      <c r="L104" s="146">
        <f t="shared" si="8"/>
        <v>0</v>
      </c>
      <c r="M104" s="146">
        <v>524.1</v>
      </c>
      <c r="N104" s="146">
        <f t="shared" si="12"/>
        <v>3.3467432950191571</v>
      </c>
      <c r="O104" s="146"/>
      <c r="P104" s="146">
        <f t="shared" si="9"/>
        <v>0</v>
      </c>
      <c r="Q104" s="146"/>
      <c r="R104" s="19">
        <f t="shared" si="10"/>
        <v>0</v>
      </c>
      <c r="S104" s="146">
        <f t="shared" si="11"/>
        <v>0</v>
      </c>
      <c r="T104" s="20">
        <v>4</v>
      </c>
      <c r="U104" s="20"/>
      <c r="V104" s="143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42">
        <v>300425</v>
      </c>
      <c r="B105" s="135" t="s">
        <v>300</v>
      </c>
      <c r="C105" s="259" t="s">
        <v>296</v>
      </c>
      <c r="D105" s="260"/>
      <c r="E105" s="148" t="s">
        <v>299</v>
      </c>
      <c r="F105" s="13"/>
      <c r="G105" s="110"/>
      <c r="H105" s="110"/>
      <c r="I105" s="110"/>
      <c r="J105" s="110"/>
      <c r="K105" s="146">
        <f t="shared" si="7"/>
        <v>0</v>
      </c>
      <c r="L105" s="146">
        <f t="shared" si="8"/>
        <v>0</v>
      </c>
      <c r="M105" s="146">
        <v>524.1</v>
      </c>
      <c r="N105" s="146">
        <f t="shared" si="12"/>
        <v>3.3467432950191571</v>
      </c>
      <c r="O105" s="146"/>
      <c r="P105" s="146">
        <f t="shared" si="9"/>
        <v>0</v>
      </c>
      <c r="Q105" s="146"/>
      <c r="R105" s="19">
        <f t="shared" si="10"/>
        <v>0</v>
      </c>
      <c r="S105" s="146">
        <f t="shared" si="11"/>
        <v>0</v>
      </c>
      <c r="T105" s="20">
        <v>4</v>
      </c>
      <c r="U105" s="20"/>
      <c r="V105" s="143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35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35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35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35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35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42">
        <v>300074</v>
      </c>
      <c r="B111" s="135" t="s">
        <v>118</v>
      </c>
      <c r="C111" s="248" t="s">
        <v>119</v>
      </c>
      <c r="D111" s="248" t="s">
        <v>120</v>
      </c>
      <c r="E111" s="148" t="s">
        <v>54</v>
      </c>
      <c r="F111" s="13"/>
      <c r="G111" s="110"/>
      <c r="H111" s="110"/>
      <c r="I111" s="110"/>
      <c r="J111" s="110"/>
      <c r="K111" s="146">
        <f t="shared" si="7"/>
        <v>0</v>
      </c>
      <c r="L111" s="146">
        <f t="shared" si="8"/>
        <v>0</v>
      </c>
      <c r="M111" s="146">
        <v>290.8</v>
      </c>
      <c r="N111" s="146">
        <f>+M111*1000/(88*4*13*60)*T111</f>
        <v>3.1774475524475525</v>
      </c>
      <c r="O111" s="146"/>
      <c r="P111" s="146">
        <f t="shared" si="9"/>
        <v>0</v>
      </c>
      <c r="Q111" s="146"/>
      <c r="R111" s="19">
        <f t="shared" si="10"/>
        <v>0</v>
      </c>
      <c r="S111" s="146">
        <f t="shared" si="11"/>
        <v>0</v>
      </c>
      <c r="T111" s="20">
        <v>3</v>
      </c>
      <c r="U111" s="20"/>
      <c r="V111" s="143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42">
        <v>300076</v>
      </c>
      <c r="B112" s="135" t="s">
        <v>118</v>
      </c>
      <c r="C112" s="248" t="s">
        <v>119</v>
      </c>
      <c r="D112" s="248" t="s">
        <v>120</v>
      </c>
      <c r="E112" s="148" t="s">
        <v>35</v>
      </c>
      <c r="F112" s="13"/>
      <c r="G112" s="110"/>
      <c r="H112" s="110"/>
      <c r="I112" s="110"/>
      <c r="J112" s="110"/>
      <c r="K112" s="146">
        <f t="shared" si="7"/>
        <v>0</v>
      </c>
      <c r="L112" s="146">
        <f t="shared" si="8"/>
        <v>0</v>
      </c>
      <c r="M112" s="146">
        <v>303.10000000000002</v>
      </c>
      <c r="N112" s="146">
        <f>+M112*1000/(88*4*12*60)*T112</f>
        <v>4.7837752525252526</v>
      </c>
      <c r="O112" s="146"/>
      <c r="P112" s="146">
        <f t="shared" si="9"/>
        <v>0</v>
      </c>
      <c r="Q112" s="146"/>
      <c r="R112" s="19">
        <f t="shared" si="10"/>
        <v>0</v>
      </c>
      <c r="S112" s="146">
        <f t="shared" si="11"/>
        <v>0</v>
      </c>
      <c r="T112" s="20">
        <v>4</v>
      </c>
      <c r="U112" s="20"/>
      <c r="V112" s="143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42">
        <v>300096</v>
      </c>
      <c r="B113" s="135" t="s">
        <v>118</v>
      </c>
      <c r="C113" s="248" t="s">
        <v>121</v>
      </c>
      <c r="D113" s="248" t="s">
        <v>122</v>
      </c>
      <c r="E113" s="148" t="s">
        <v>37</v>
      </c>
      <c r="F113" s="13"/>
      <c r="G113" s="110"/>
      <c r="H113" s="110"/>
      <c r="I113" s="110"/>
      <c r="J113" s="110"/>
      <c r="K113" s="146">
        <f t="shared" si="7"/>
        <v>0</v>
      </c>
      <c r="L113" s="146">
        <f t="shared" si="8"/>
        <v>0</v>
      </c>
      <c r="M113" s="146">
        <v>480.13</v>
      </c>
      <c r="N113" s="146">
        <f>+M113*1000/(126.5*4*12*60)*T113</f>
        <v>2.6357597716293371</v>
      </c>
      <c r="O113" s="146"/>
      <c r="P113" s="146">
        <f t="shared" si="9"/>
        <v>0</v>
      </c>
      <c r="Q113" s="146"/>
      <c r="R113" s="19">
        <f t="shared" si="10"/>
        <v>0</v>
      </c>
      <c r="S113" s="146">
        <f t="shared" si="11"/>
        <v>0</v>
      </c>
      <c r="T113" s="20">
        <v>2</v>
      </c>
      <c r="U113" s="20"/>
      <c r="V113" s="143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42"/>
      <c r="B114" s="135" t="s">
        <v>118</v>
      </c>
      <c r="C114" s="248" t="s">
        <v>121</v>
      </c>
      <c r="D114" s="248" t="s">
        <v>122</v>
      </c>
      <c r="E114" s="148" t="s">
        <v>35</v>
      </c>
      <c r="F114" s="13"/>
      <c r="G114" s="110"/>
      <c r="H114" s="110"/>
      <c r="I114" s="110"/>
      <c r="J114" s="110"/>
      <c r="K114" s="146">
        <f t="shared" si="7"/>
        <v>0</v>
      </c>
      <c r="L114" s="146">
        <f t="shared" si="8"/>
        <v>0</v>
      </c>
      <c r="M114" s="146">
        <v>480.13</v>
      </c>
      <c r="N114" s="146">
        <f>+M114*1000/(126.5*4*12*60)*T114</f>
        <v>2.6357597716293371</v>
      </c>
      <c r="O114" s="146"/>
      <c r="P114" s="146">
        <f t="shared" si="9"/>
        <v>0</v>
      </c>
      <c r="Q114" s="146"/>
      <c r="R114" s="19">
        <f t="shared" si="10"/>
        <v>0</v>
      </c>
      <c r="S114" s="146">
        <f t="shared" si="11"/>
        <v>0</v>
      </c>
      <c r="T114" s="20">
        <v>2</v>
      </c>
      <c r="U114" s="20"/>
      <c r="V114" s="143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42">
        <v>300097</v>
      </c>
      <c r="B115" s="135" t="s">
        <v>118</v>
      </c>
      <c r="C115" s="248" t="s">
        <v>121</v>
      </c>
      <c r="D115" s="248" t="s">
        <v>122</v>
      </c>
      <c r="E115" s="148" t="s">
        <v>63</v>
      </c>
      <c r="F115" s="13"/>
      <c r="G115" s="110"/>
      <c r="H115" s="110"/>
      <c r="I115" s="110"/>
      <c r="J115" s="110"/>
      <c r="K115" s="146">
        <f t="shared" si="7"/>
        <v>0</v>
      </c>
      <c r="L115" s="146">
        <f t="shared" si="8"/>
        <v>0</v>
      </c>
      <c r="M115" s="146">
        <v>480.13</v>
      </c>
      <c r="N115" s="146">
        <f>+M115*1000/(126.5*4*12*60)*T115</f>
        <v>2.6357597716293371</v>
      </c>
      <c r="O115" s="146"/>
      <c r="P115" s="146">
        <f t="shared" si="9"/>
        <v>0</v>
      </c>
      <c r="Q115" s="146"/>
      <c r="R115" s="19">
        <f t="shared" si="10"/>
        <v>0</v>
      </c>
      <c r="S115" s="146">
        <f t="shared" si="11"/>
        <v>0</v>
      </c>
      <c r="T115" s="20">
        <v>2</v>
      </c>
      <c r="U115" s="20"/>
      <c r="V115" s="143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35">
        <v>300294</v>
      </c>
      <c r="B116" s="135" t="s">
        <v>118</v>
      </c>
      <c r="C116" s="248" t="s">
        <v>123</v>
      </c>
      <c r="D116" s="248"/>
      <c r="E116" s="148" t="s">
        <v>41</v>
      </c>
      <c r="F116" s="27"/>
      <c r="G116" s="110"/>
      <c r="H116" s="110"/>
      <c r="I116" s="110"/>
      <c r="J116" s="110"/>
      <c r="K116" s="146">
        <f t="shared" si="7"/>
        <v>0</v>
      </c>
      <c r="L116" s="146">
        <f t="shared" si="8"/>
        <v>0</v>
      </c>
      <c r="M116" s="146">
        <v>373.14</v>
      </c>
      <c r="N116" s="146">
        <f t="shared" ref="N116:N125" si="13">+M116*1000/(90*4*14*60)*T116</f>
        <v>3.7017857142857142</v>
      </c>
      <c r="O116" s="146"/>
      <c r="P116" s="146">
        <f t="shared" si="9"/>
        <v>0</v>
      </c>
      <c r="Q116" s="146"/>
      <c r="R116" s="19">
        <f t="shared" si="10"/>
        <v>0</v>
      </c>
      <c r="S116" s="146">
        <f t="shared" si="11"/>
        <v>0</v>
      </c>
      <c r="T116" s="20">
        <v>3</v>
      </c>
      <c r="U116" s="20"/>
      <c r="V116" s="143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35">
        <v>300295</v>
      </c>
      <c r="B117" s="135" t="s">
        <v>124</v>
      </c>
      <c r="C117" s="248" t="s">
        <v>125</v>
      </c>
      <c r="D117" s="248"/>
      <c r="E117" s="148" t="s">
        <v>126</v>
      </c>
      <c r="F117" s="27"/>
      <c r="G117" s="110"/>
      <c r="H117" s="110"/>
      <c r="I117" s="110"/>
      <c r="J117" s="110"/>
      <c r="K117" s="146">
        <f t="shared" si="7"/>
        <v>0</v>
      </c>
      <c r="L117" s="146">
        <f t="shared" si="8"/>
        <v>0</v>
      </c>
      <c r="M117" s="146">
        <v>373.14</v>
      </c>
      <c r="N117" s="146">
        <f t="shared" si="13"/>
        <v>3.7017857142857142</v>
      </c>
      <c r="O117" s="146"/>
      <c r="P117" s="146">
        <f t="shared" si="9"/>
        <v>0</v>
      </c>
      <c r="Q117" s="146"/>
      <c r="R117" s="19">
        <f t="shared" si="10"/>
        <v>0</v>
      </c>
      <c r="S117" s="146">
        <f t="shared" si="11"/>
        <v>0</v>
      </c>
      <c r="T117" s="20">
        <v>3</v>
      </c>
      <c r="U117" s="20"/>
      <c r="V117" s="143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35">
        <v>300258</v>
      </c>
      <c r="B118" s="135" t="s">
        <v>118</v>
      </c>
      <c r="C118" s="248" t="s">
        <v>123</v>
      </c>
      <c r="D118" s="248"/>
      <c r="E118" s="148" t="s">
        <v>42</v>
      </c>
      <c r="F118" s="27"/>
      <c r="G118" s="110"/>
      <c r="H118" s="110"/>
      <c r="I118" s="110"/>
      <c r="J118" s="110"/>
      <c r="K118" s="146">
        <f t="shared" si="7"/>
        <v>0</v>
      </c>
      <c r="L118" s="146">
        <f t="shared" si="8"/>
        <v>0</v>
      </c>
      <c r="M118" s="146">
        <v>373.14</v>
      </c>
      <c r="N118" s="146">
        <f t="shared" si="13"/>
        <v>3.7017857142857142</v>
      </c>
      <c r="O118" s="146"/>
      <c r="P118" s="146">
        <f t="shared" si="9"/>
        <v>0</v>
      </c>
      <c r="Q118" s="146"/>
      <c r="R118" s="19">
        <f t="shared" si="10"/>
        <v>0</v>
      </c>
      <c r="S118" s="146">
        <f t="shared" si="11"/>
        <v>0</v>
      </c>
      <c r="T118" s="20">
        <v>3</v>
      </c>
      <c r="U118" s="20"/>
      <c r="V118" s="143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35">
        <v>300256</v>
      </c>
      <c r="B119" s="135" t="s">
        <v>118</v>
      </c>
      <c r="C119" s="248" t="s">
        <v>123</v>
      </c>
      <c r="D119" s="248"/>
      <c r="E119" s="148" t="s">
        <v>74</v>
      </c>
      <c r="F119" s="27"/>
      <c r="G119" s="110"/>
      <c r="H119" s="110"/>
      <c r="I119" s="110"/>
      <c r="J119" s="110"/>
      <c r="K119" s="146">
        <f t="shared" si="7"/>
        <v>0</v>
      </c>
      <c r="L119" s="146">
        <f t="shared" si="8"/>
        <v>0</v>
      </c>
      <c r="M119" s="146">
        <v>373.14</v>
      </c>
      <c r="N119" s="146">
        <f t="shared" si="13"/>
        <v>3.7017857142857142</v>
      </c>
      <c r="O119" s="146"/>
      <c r="P119" s="146">
        <f t="shared" si="9"/>
        <v>0</v>
      </c>
      <c r="Q119" s="146"/>
      <c r="R119" s="19">
        <f t="shared" si="10"/>
        <v>0</v>
      </c>
      <c r="S119" s="146">
        <f t="shared" si="11"/>
        <v>0</v>
      </c>
      <c r="T119" s="20">
        <v>3</v>
      </c>
      <c r="U119" s="20"/>
      <c r="V119" s="143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35">
        <v>300259</v>
      </c>
      <c r="B120" s="135" t="s">
        <v>118</v>
      </c>
      <c r="C120" s="248" t="s">
        <v>123</v>
      </c>
      <c r="D120" s="248"/>
      <c r="E120" s="148" t="s">
        <v>40</v>
      </c>
      <c r="F120" s="27"/>
      <c r="G120" s="110"/>
      <c r="H120" s="110"/>
      <c r="I120" s="110"/>
      <c r="J120" s="110"/>
      <c r="K120" s="146">
        <f t="shared" si="7"/>
        <v>0</v>
      </c>
      <c r="L120" s="146">
        <f t="shared" si="8"/>
        <v>0</v>
      </c>
      <c r="M120" s="146">
        <v>373.14</v>
      </c>
      <c r="N120" s="146">
        <f t="shared" si="13"/>
        <v>3.7017857142857142</v>
      </c>
      <c r="O120" s="146"/>
      <c r="P120" s="146">
        <f t="shared" si="9"/>
        <v>0</v>
      </c>
      <c r="Q120" s="146"/>
      <c r="R120" s="19">
        <f t="shared" si="10"/>
        <v>0</v>
      </c>
      <c r="S120" s="146">
        <f t="shared" si="11"/>
        <v>0</v>
      </c>
      <c r="T120" s="20">
        <v>3</v>
      </c>
      <c r="U120" s="20"/>
      <c r="V120" s="143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35">
        <v>300345</v>
      </c>
      <c r="B121" s="135" t="s">
        <v>118</v>
      </c>
      <c r="C121" s="248" t="s">
        <v>127</v>
      </c>
      <c r="D121" s="248"/>
      <c r="E121" s="148" t="s">
        <v>74</v>
      </c>
      <c r="F121" s="27"/>
      <c r="G121" s="41"/>
      <c r="H121" s="41"/>
      <c r="I121" s="41"/>
      <c r="J121" s="41"/>
      <c r="K121" s="146">
        <f t="shared" si="7"/>
        <v>0</v>
      </c>
      <c r="L121" s="146">
        <f t="shared" si="8"/>
        <v>0</v>
      </c>
      <c r="M121" s="146">
        <v>373.14</v>
      </c>
      <c r="N121" s="146">
        <f t="shared" si="13"/>
        <v>3.7017857142857142</v>
      </c>
      <c r="O121" s="41"/>
      <c r="P121" s="146">
        <f t="shared" si="9"/>
        <v>0</v>
      </c>
      <c r="Q121" s="41"/>
      <c r="R121" s="19">
        <f t="shared" si="10"/>
        <v>0</v>
      </c>
      <c r="S121" s="146">
        <f t="shared" si="11"/>
        <v>0</v>
      </c>
      <c r="T121" s="20">
        <v>3</v>
      </c>
      <c r="U121" s="41"/>
      <c r="V121" s="143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35">
        <v>300346</v>
      </c>
      <c r="B122" s="135" t="s">
        <v>118</v>
      </c>
      <c r="C122" s="248" t="s">
        <v>127</v>
      </c>
      <c r="D122" s="248"/>
      <c r="E122" s="148" t="s">
        <v>42</v>
      </c>
      <c r="F122" s="27"/>
      <c r="G122" s="41"/>
      <c r="H122" s="41"/>
      <c r="I122" s="41"/>
      <c r="J122" s="41"/>
      <c r="K122" s="146">
        <f t="shared" si="7"/>
        <v>0</v>
      </c>
      <c r="L122" s="146">
        <f t="shared" si="8"/>
        <v>0</v>
      </c>
      <c r="M122" s="146">
        <v>373.14</v>
      </c>
      <c r="N122" s="146">
        <f t="shared" si="13"/>
        <v>3.7017857142857142</v>
      </c>
      <c r="O122" s="41"/>
      <c r="P122" s="146">
        <f t="shared" si="9"/>
        <v>0</v>
      </c>
      <c r="Q122" s="41"/>
      <c r="R122" s="19">
        <f t="shared" si="10"/>
        <v>0</v>
      </c>
      <c r="S122" s="146">
        <f t="shared" si="11"/>
        <v>0</v>
      </c>
      <c r="T122" s="20">
        <v>3</v>
      </c>
      <c r="U122" s="41"/>
      <c r="V122" s="143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35">
        <v>300347</v>
      </c>
      <c r="B123" s="135" t="s">
        <v>118</v>
      </c>
      <c r="C123" s="248" t="s">
        <v>127</v>
      </c>
      <c r="D123" s="248"/>
      <c r="E123" s="148" t="s">
        <v>41</v>
      </c>
      <c r="F123" s="27"/>
      <c r="G123" s="41"/>
      <c r="H123" s="41"/>
      <c r="I123" s="41"/>
      <c r="J123" s="41"/>
      <c r="K123" s="146">
        <f t="shared" si="7"/>
        <v>0</v>
      </c>
      <c r="L123" s="146">
        <f t="shared" si="8"/>
        <v>0</v>
      </c>
      <c r="M123" s="146">
        <v>373.14</v>
      </c>
      <c r="N123" s="146">
        <f t="shared" si="13"/>
        <v>3.7017857142857142</v>
      </c>
      <c r="O123" s="41"/>
      <c r="P123" s="146">
        <f t="shared" si="9"/>
        <v>0</v>
      </c>
      <c r="Q123" s="41"/>
      <c r="R123" s="19">
        <f t="shared" si="10"/>
        <v>0</v>
      </c>
      <c r="S123" s="146">
        <f t="shared" si="11"/>
        <v>0</v>
      </c>
      <c r="T123" s="20">
        <v>3</v>
      </c>
      <c r="U123" s="41"/>
      <c r="V123" s="143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35">
        <v>300348</v>
      </c>
      <c r="B124" s="135" t="s">
        <v>118</v>
      </c>
      <c r="C124" s="248" t="s">
        <v>127</v>
      </c>
      <c r="D124" s="248"/>
      <c r="E124" s="148" t="s">
        <v>126</v>
      </c>
      <c r="F124" s="27"/>
      <c r="G124" s="41"/>
      <c r="H124" s="41"/>
      <c r="I124" s="41"/>
      <c r="J124" s="41"/>
      <c r="K124" s="146">
        <f t="shared" si="7"/>
        <v>0</v>
      </c>
      <c r="L124" s="146">
        <f t="shared" si="8"/>
        <v>0</v>
      </c>
      <c r="M124" s="146">
        <v>373.14</v>
      </c>
      <c r="N124" s="146">
        <f t="shared" si="13"/>
        <v>3.7017857142857142</v>
      </c>
      <c r="O124" s="41"/>
      <c r="P124" s="146">
        <f t="shared" si="9"/>
        <v>0</v>
      </c>
      <c r="Q124" s="41"/>
      <c r="R124" s="19">
        <f t="shared" si="10"/>
        <v>0</v>
      </c>
      <c r="S124" s="146">
        <f t="shared" si="11"/>
        <v>0</v>
      </c>
      <c r="T124" s="20">
        <v>3</v>
      </c>
      <c r="U124" s="41"/>
      <c r="V124" s="143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35">
        <v>300349</v>
      </c>
      <c r="B125" s="135" t="s">
        <v>118</v>
      </c>
      <c r="C125" s="248" t="s">
        <v>127</v>
      </c>
      <c r="D125" s="248"/>
      <c r="E125" s="148" t="s">
        <v>40</v>
      </c>
      <c r="F125" s="27"/>
      <c r="G125" s="41"/>
      <c r="H125" s="41"/>
      <c r="I125" s="41"/>
      <c r="J125" s="41"/>
      <c r="K125" s="146">
        <f t="shared" si="7"/>
        <v>0</v>
      </c>
      <c r="L125" s="146">
        <f t="shared" si="8"/>
        <v>0</v>
      </c>
      <c r="M125" s="146">
        <v>373.14</v>
      </c>
      <c r="N125" s="146">
        <f t="shared" si="13"/>
        <v>3.7017857142857142</v>
      </c>
      <c r="O125" s="41"/>
      <c r="P125" s="146">
        <f t="shared" si="9"/>
        <v>0</v>
      </c>
      <c r="Q125" s="41"/>
      <c r="R125" s="19">
        <f t="shared" si="10"/>
        <v>0</v>
      </c>
      <c r="S125" s="146">
        <f t="shared" si="11"/>
        <v>0</v>
      </c>
      <c r="T125" s="20">
        <v>3</v>
      </c>
      <c r="U125" s="41"/>
      <c r="V125" s="143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35">
        <v>300298</v>
      </c>
      <c r="B126" s="135" t="s">
        <v>118</v>
      </c>
      <c r="C126" s="248" t="s">
        <v>128</v>
      </c>
      <c r="D126" s="248"/>
      <c r="E126" s="148" t="s">
        <v>54</v>
      </c>
      <c r="F126" s="27"/>
      <c r="G126" s="110"/>
      <c r="H126" s="110"/>
      <c r="I126" s="110"/>
      <c r="J126" s="110"/>
      <c r="K126" s="146">
        <f t="shared" si="7"/>
        <v>0</v>
      </c>
      <c r="L126" s="146">
        <f t="shared" si="8"/>
        <v>0</v>
      </c>
      <c r="M126" s="146">
        <v>380.63</v>
      </c>
      <c r="N126" s="146">
        <f t="shared" ref="N126:N131" si="14">+M126*1000/(94.7*4*15*60)*T126</f>
        <v>4.4659157573624313</v>
      </c>
      <c r="O126" s="146"/>
      <c r="P126" s="146">
        <f t="shared" si="9"/>
        <v>0</v>
      </c>
      <c r="Q126" s="146"/>
      <c r="R126" s="19">
        <f t="shared" si="10"/>
        <v>0</v>
      </c>
      <c r="S126" s="146">
        <f t="shared" si="11"/>
        <v>0</v>
      </c>
      <c r="T126" s="20">
        <v>4</v>
      </c>
      <c r="U126" s="20"/>
      <c r="V126" s="143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35">
        <v>300299</v>
      </c>
      <c r="B127" s="135" t="s">
        <v>118</v>
      </c>
      <c r="C127" s="248" t="s">
        <v>128</v>
      </c>
      <c r="D127" s="248"/>
      <c r="E127" s="148" t="s">
        <v>39</v>
      </c>
      <c r="F127" s="27"/>
      <c r="G127" s="110"/>
      <c r="H127" s="110"/>
      <c r="I127" s="110"/>
      <c r="J127" s="110"/>
      <c r="K127" s="146">
        <f t="shared" si="7"/>
        <v>0</v>
      </c>
      <c r="L127" s="146">
        <f t="shared" si="8"/>
        <v>0</v>
      </c>
      <c r="M127" s="146">
        <v>380.63</v>
      </c>
      <c r="N127" s="146">
        <f t="shared" si="14"/>
        <v>4.4659157573624313</v>
      </c>
      <c r="O127" s="146"/>
      <c r="P127" s="146">
        <f t="shared" si="9"/>
        <v>0</v>
      </c>
      <c r="Q127" s="146"/>
      <c r="R127" s="19">
        <f t="shared" si="10"/>
        <v>0</v>
      </c>
      <c r="S127" s="146">
        <f t="shared" si="11"/>
        <v>0</v>
      </c>
      <c r="T127" s="20">
        <v>4</v>
      </c>
      <c r="U127" s="20"/>
      <c r="V127" s="143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35">
        <v>300296</v>
      </c>
      <c r="B128" s="135" t="s">
        <v>118</v>
      </c>
      <c r="C128" s="248" t="s">
        <v>128</v>
      </c>
      <c r="D128" s="248"/>
      <c r="E128" s="148" t="s">
        <v>41</v>
      </c>
      <c r="F128" s="27"/>
      <c r="G128" s="110"/>
      <c r="H128" s="110"/>
      <c r="I128" s="110"/>
      <c r="J128" s="110"/>
      <c r="K128" s="146">
        <f t="shared" si="7"/>
        <v>0</v>
      </c>
      <c r="L128" s="146">
        <f t="shared" si="8"/>
        <v>0</v>
      </c>
      <c r="M128" s="146">
        <v>380.63</v>
      </c>
      <c r="N128" s="146">
        <f t="shared" si="14"/>
        <v>4.4659157573624313</v>
      </c>
      <c r="O128" s="146"/>
      <c r="P128" s="146">
        <f t="shared" si="9"/>
        <v>0</v>
      </c>
      <c r="Q128" s="146"/>
      <c r="R128" s="19">
        <f t="shared" si="10"/>
        <v>0</v>
      </c>
      <c r="S128" s="146">
        <f t="shared" si="11"/>
        <v>0</v>
      </c>
      <c r="T128" s="20">
        <v>4</v>
      </c>
      <c r="U128" s="20"/>
      <c r="V128" s="143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35">
        <v>300297</v>
      </c>
      <c r="B129" s="135" t="s">
        <v>118</v>
      </c>
      <c r="C129" s="248" t="s">
        <v>128</v>
      </c>
      <c r="D129" s="248"/>
      <c r="E129" s="148" t="s">
        <v>37</v>
      </c>
      <c r="F129" s="27"/>
      <c r="G129" s="110"/>
      <c r="H129" s="110"/>
      <c r="I129" s="110"/>
      <c r="J129" s="110"/>
      <c r="K129" s="146">
        <f t="shared" si="7"/>
        <v>0</v>
      </c>
      <c r="L129" s="146">
        <f t="shared" si="8"/>
        <v>0</v>
      </c>
      <c r="M129" s="146">
        <v>380.63</v>
      </c>
      <c r="N129" s="146">
        <f t="shared" si="14"/>
        <v>4.4659157573624313</v>
      </c>
      <c r="O129" s="146"/>
      <c r="P129" s="146">
        <f t="shared" si="9"/>
        <v>0</v>
      </c>
      <c r="Q129" s="146"/>
      <c r="R129" s="19">
        <f t="shared" si="10"/>
        <v>0</v>
      </c>
      <c r="S129" s="146">
        <f t="shared" si="11"/>
        <v>0</v>
      </c>
      <c r="T129" s="20">
        <v>4</v>
      </c>
      <c r="U129" s="20"/>
      <c r="V129" s="143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35">
        <v>300340</v>
      </c>
      <c r="B130" s="135" t="s">
        <v>118</v>
      </c>
      <c r="C130" s="259" t="s">
        <v>129</v>
      </c>
      <c r="D130" s="260"/>
      <c r="E130" s="148" t="s">
        <v>41</v>
      </c>
      <c r="F130" s="27"/>
      <c r="G130" s="110"/>
      <c r="H130" s="110"/>
      <c r="I130" s="110"/>
      <c r="J130" s="110"/>
      <c r="K130" s="146">
        <f t="shared" si="7"/>
        <v>0</v>
      </c>
      <c r="L130" s="146">
        <f t="shared" si="8"/>
        <v>0</v>
      </c>
      <c r="M130" s="146">
        <v>325.60000000000002</v>
      </c>
      <c r="N130" s="146">
        <f t="shared" si="14"/>
        <v>3.8202510852986036</v>
      </c>
      <c r="O130" s="146"/>
      <c r="P130" s="146">
        <f t="shared" si="9"/>
        <v>0</v>
      </c>
      <c r="Q130" s="146"/>
      <c r="R130" s="19">
        <f t="shared" si="10"/>
        <v>0</v>
      </c>
      <c r="S130" s="146">
        <f t="shared" si="11"/>
        <v>0</v>
      </c>
      <c r="T130" s="20">
        <v>4</v>
      </c>
      <c r="U130" s="20"/>
      <c r="V130" s="143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35">
        <v>300339</v>
      </c>
      <c r="B131" s="135" t="s">
        <v>118</v>
      </c>
      <c r="C131" s="259" t="s">
        <v>129</v>
      </c>
      <c r="D131" s="260"/>
      <c r="E131" s="148" t="s">
        <v>39</v>
      </c>
      <c r="F131" s="27"/>
      <c r="G131" s="110"/>
      <c r="H131" s="110"/>
      <c r="I131" s="110"/>
      <c r="J131" s="110"/>
      <c r="K131" s="146">
        <f t="shared" si="7"/>
        <v>0</v>
      </c>
      <c r="L131" s="146">
        <f t="shared" si="8"/>
        <v>0</v>
      </c>
      <c r="M131" s="146">
        <v>325.60000000000002</v>
      </c>
      <c r="N131" s="146">
        <f t="shared" si="14"/>
        <v>3.8202510852986036</v>
      </c>
      <c r="O131" s="146"/>
      <c r="P131" s="146">
        <f t="shared" si="9"/>
        <v>0</v>
      </c>
      <c r="Q131" s="146"/>
      <c r="R131" s="19">
        <f t="shared" si="10"/>
        <v>0</v>
      </c>
      <c r="S131" s="146">
        <f t="shared" si="11"/>
        <v>0</v>
      </c>
      <c r="T131" s="20">
        <v>4</v>
      </c>
      <c r="U131" s="20"/>
      <c r="V131" s="143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35">
        <v>300303</v>
      </c>
      <c r="B132" s="135" t="s">
        <v>118</v>
      </c>
      <c r="C132" s="248" t="s">
        <v>130</v>
      </c>
      <c r="D132" s="248" t="s">
        <v>131</v>
      </c>
      <c r="E132" s="148" t="s">
        <v>57</v>
      </c>
      <c r="F132" s="27"/>
      <c r="G132" s="110"/>
      <c r="H132" s="110"/>
      <c r="I132" s="110"/>
      <c r="J132" s="110"/>
      <c r="K132" s="146">
        <f t="shared" si="7"/>
        <v>0</v>
      </c>
      <c r="L132" s="146">
        <f t="shared" si="8"/>
        <v>0</v>
      </c>
      <c r="M132" s="146">
        <v>396.92</v>
      </c>
      <c r="N132" s="146">
        <f>+M132*1000/(113.8*4*15*60)*T132</f>
        <v>4.8442686975200155</v>
      </c>
      <c r="O132" s="146"/>
      <c r="P132" s="146">
        <f t="shared" si="9"/>
        <v>0</v>
      </c>
      <c r="Q132" s="146"/>
      <c r="R132" s="19">
        <f t="shared" si="10"/>
        <v>0</v>
      </c>
      <c r="S132" s="146">
        <f t="shared" si="11"/>
        <v>0</v>
      </c>
      <c r="T132" s="20">
        <v>5</v>
      </c>
      <c r="U132" s="20"/>
      <c r="V132" s="143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35">
        <v>300302</v>
      </c>
      <c r="B133" s="135" t="s">
        <v>118</v>
      </c>
      <c r="C133" s="248" t="s">
        <v>130</v>
      </c>
      <c r="D133" s="248" t="s">
        <v>131</v>
      </c>
      <c r="E133" s="148" t="s">
        <v>117</v>
      </c>
      <c r="F133" s="27"/>
      <c r="G133" s="110"/>
      <c r="H133" s="110"/>
      <c r="I133" s="110"/>
      <c r="J133" s="110"/>
      <c r="K133" s="146">
        <f t="shared" si="7"/>
        <v>0</v>
      </c>
      <c r="L133" s="146">
        <f t="shared" si="8"/>
        <v>0</v>
      </c>
      <c r="M133" s="146">
        <v>396.06</v>
      </c>
      <c r="N133" s="146">
        <f>+M133*1000/(113.8*4*15*60)*T133</f>
        <v>4.8337727006444053</v>
      </c>
      <c r="O133" s="146"/>
      <c r="P133" s="146">
        <f t="shared" si="9"/>
        <v>0</v>
      </c>
      <c r="Q133" s="146"/>
      <c r="R133" s="19">
        <f t="shared" si="10"/>
        <v>0</v>
      </c>
      <c r="S133" s="146">
        <f t="shared" si="11"/>
        <v>0</v>
      </c>
      <c r="T133" s="20">
        <v>5</v>
      </c>
      <c r="U133" s="20"/>
      <c r="V133" s="143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35">
        <v>300301</v>
      </c>
      <c r="B134" s="135" t="s">
        <v>118</v>
      </c>
      <c r="C134" s="248" t="s">
        <v>130</v>
      </c>
      <c r="D134" s="248" t="s">
        <v>131</v>
      </c>
      <c r="E134" s="148" t="s">
        <v>132</v>
      </c>
      <c r="F134" s="27"/>
      <c r="G134" s="110"/>
      <c r="H134" s="110"/>
      <c r="I134" s="110"/>
      <c r="J134" s="110"/>
      <c r="K134" s="146">
        <f t="shared" si="7"/>
        <v>0</v>
      </c>
      <c r="L134" s="146">
        <f t="shared" si="8"/>
        <v>0</v>
      </c>
      <c r="M134" s="146">
        <v>401.25</v>
      </c>
      <c r="N134" s="146">
        <f>+M134*1000/(113.8*4*15*60)*T134</f>
        <v>4.8971148213239601</v>
      </c>
      <c r="O134" s="146"/>
      <c r="P134" s="146">
        <f t="shared" si="9"/>
        <v>0</v>
      </c>
      <c r="Q134" s="146"/>
      <c r="R134" s="19">
        <f t="shared" si="10"/>
        <v>0</v>
      </c>
      <c r="S134" s="146">
        <f t="shared" si="11"/>
        <v>0</v>
      </c>
      <c r="T134" s="20">
        <v>5</v>
      </c>
      <c r="U134" s="20"/>
      <c r="V134" s="143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42">
        <v>300304</v>
      </c>
      <c r="B135" s="135" t="s">
        <v>118</v>
      </c>
      <c r="C135" s="248" t="s">
        <v>130</v>
      </c>
      <c r="D135" s="248"/>
      <c r="E135" s="148" t="s">
        <v>133</v>
      </c>
      <c r="F135" s="27"/>
      <c r="G135" s="110"/>
      <c r="H135" s="110"/>
      <c r="I135" s="110"/>
      <c r="J135" s="110"/>
      <c r="K135" s="146">
        <f t="shared" si="7"/>
        <v>0</v>
      </c>
      <c r="L135" s="146">
        <f t="shared" si="8"/>
        <v>0</v>
      </c>
      <c r="M135" s="146">
        <v>401.25</v>
      </c>
      <c r="N135" s="146">
        <f>+M135*1000/(113.8*4*15*60)*T135</f>
        <v>4.8971148213239601</v>
      </c>
      <c r="O135" s="146"/>
      <c r="P135" s="146">
        <f t="shared" si="9"/>
        <v>0</v>
      </c>
      <c r="Q135" s="146"/>
      <c r="R135" s="19">
        <f t="shared" si="10"/>
        <v>0</v>
      </c>
      <c r="S135" s="146">
        <f t="shared" si="11"/>
        <v>0</v>
      </c>
      <c r="T135" s="20">
        <v>5</v>
      </c>
      <c r="U135" s="20"/>
      <c r="V135" s="143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42">
        <v>300300</v>
      </c>
      <c r="B136" s="135" t="s">
        <v>118</v>
      </c>
      <c r="C136" s="248" t="s">
        <v>130</v>
      </c>
      <c r="D136" s="248" t="s">
        <v>131</v>
      </c>
      <c r="E136" s="148" t="s">
        <v>54</v>
      </c>
      <c r="F136" s="27"/>
      <c r="G136" s="110"/>
      <c r="H136" s="110"/>
      <c r="I136" s="110"/>
      <c r="J136" s="110"/>
      <c r="K136" s="146">
        <f t="shared" si="7"/>
        <v>0</v>
      </c>
      <c r="L136" s="146">
        <f t="shared" si="8"/>
        <v>0</v>
      </c>
      <c r="M136" s="146">
        <v>399.07</v>
      </c>
      <c r="N136" s="146">
        <f>+M136*1000/(113.8*4*15*60)*T136</f>
        <v>4.8705086897090411</v>
      </c>
      <c r="O136" s="146"/>
      <c r="P136" s="146">
        <f t="shared" si="9"/>
        <v>0</v>
      </c>
      <c r="Q136" s="146"/>
      <c r="R136" s="19">
        <f t="shared" si="10"/>
        <v>0</v>
      </c>
      <c r="S136" s="146">
        <f t="shared" si="11"/>
        <v>0</v>
      </c>
      <c r="T136" s="20">
        <v>5</v>
      </c>
      <c r="U136" s="20"/>
      <c r="V136" s="143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42">
        <v>300085</v>
      </c>
      <c r="B137" s="135">
        <v>6503</v>
      </c>
      <c r="C137" s="248" t="s">
        <v>134</v>
      </c>
      <c r="D137" s="248" t="s">
        <v>131</v>
      </c>
      <c r="E137" s="148" t="s">
        <v>135</v>
      </c>
      <c r="F137" s="27"/>
      <c r="G137" s="110"/>
      <c r="H137" s="110"/>
      <c r="I137" s="110"/>
      <c r="J137" s="110"/>
      <c r="K137" s="146">
        <f t="shared" si="7"/>
        <v>0</v>
      </c>
      <c r="L137" s="146">
        <f t="shared" si="8"/>
        <v>0</v>
      </c>
      <c r="M137" s="146">
        <v>394.3</v>
      </c>
      <c r="N137" s="146">
        <f>+M137*1000/(104.2*4*15*60)*T137</f>
        <v>6.3067818298144598</v>
      </c>
      <c r="O137" s="146"/>
      <c r="P137" s="146">
        <f t="shared" si="9"/>
        <v>0</v>
      </c>
      <c r="Q137" s="146"/>
      <c r="R137" s="19">
        <f t="shared" si="10"/>
        <v>0</v>
      </c>
      <c r="S137" s="146">
        <f t="shared" si="11"/>
        <v>0</v>
      </c>
      <c r="T137" s="20">
        <v>6</v>
      </c>
      <c r="U137" s="20"/>
      <c r="V137" s="143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42">
        <v>300087</v>
      </c>
      <c r="B138" s="135" t="s">
        <v>118</v>
      </c>
      <c r="C138" s="248" t="s">
        <v>134</v>
      </c>
      <c r="D138" s="248" t="s">
        <v>131</v>
      </c>
      <c r="E138" s="148" t="s">
        <v>80</v>
      </c>
      <c r="F138" s="27"/>
      <c r="G138" s="110"/>
      <c r="H138" s="110"/>
      <c r="I138" s="110"/>
      <c r="J138" s="110"/>
      <c r="K138" s="146">
        <f t="shared" si="7"/>
        <v>0</v>
      </c>
      <c r="L138" s="146">
        <f t="shared" si="8"/>
        <v>0</v>
      </c>
      <c r="M138" s="146">
        <v>380.1</v>
      </c>
      <c r="N138" s="146">
        <f>+M138*1000/(104.2*4*16*60)*T138</f>
        <v>4.7497300863723604</v>
      </c>
      <c r="O138" s="146"/>
      <c r="P138" s="146">
        <f t="shared" si="9"/>
        <v>0</v>
      </c>
      <c r="Q138" s="146"/>
      <c r="R138" s="19">
        <f t="shared" si="10"/>
        <v>0</v>
      </c>
      <c r="S138" s="146">
        <f t="shared" si="11"/>
        <v>0</v>
      </c>
      <c r="T138" s="20">
        <v>5</v>
      </c>
      <c r="U138" s="20"/>
      <c r="V138" s="143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42">
        <v>300387</v>
      </c>
      <c r="B139" s="135" t="s">
        <v>136</v>
      </c>
      <c r="C139" s="259" t="s">
        <v>137</v>
      </c>
      <c r="D139" s="260"/>
      <c r="E139" s="148" t="s">
        <v>57</v>
      </c>
      <c r="F139" s="27"/>
      <c r="G139" s="110"/>
      <c r="H139" s="110"/>
      <c r="I139" s="110"/>
      <c r="J139" s="110"/>
      <c r="K139" s="146">
        <f t="shared" si="7"/>
        <v>0</v>
      </c>
      <c r="L139" s="146">
        <f t="shared" si="8"/>
        <v>0</v>
      </c>
      <c r="M139" s="146">
        <v>352.29</v>
      </c>
      <c r="N139" s="146">
        <f>+M139*1000/(104.2*4*16*60)*T139</f>
        <v>4.4022162907869484</v>
      </c>
      <c r="O139" s="146"/>
      <c r="P139" s="146">
        <f t="shared" si="9"/>
        <v>0</v>
      </c>
      <c r="Q139" s="146"/>
      <c r="R139" s="19">
        <f t="shared" si="10"/>
        <v>0</v>
      </c>
      <c r="S139" s="146">
        <f t="shared" si="11"/>
        <v>0</v>
      </c>
      <c r="T139" s="20">
        <v>5</v>
      </c>
      <c r="U139" s="20"/>
      <c r="V139" s="143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42">
        <v>300388</v>
      </c>
      <c r="B140" s="135" t="s">
        <v>138</v>
      </c>
      <c r="C140" s="259" t="s">
        <v>137</v>
      </c>
      <c r="D140" s="260"/>
      <c r="E140" s="148" t="s">
        <v>117</v>
      </c>
      <c r="F140" s="27"/>
      <c r="G140" s="110"/>
      <c r="H140" s="110"/>
      <c r="I140" s="110"/>
      <c r="J140" s="110"/>
      <c r="K140" s="146">
        <f t="shared" si="7"/>
        <v>0</v>
      </c>
      <c r="L140" s="146">
        <f t="shared" si="8"/>
        <v>0</v>
      </c>
      <c r="M140" s="146">
        <v>352.29</v>
      </c>
      <c r="N140" s="146">
        <f>+M140*1000/(104.2*4*16*60)*T140</f>
        <v>4.4022162907869484</v>
      </c>
      <c r="O140" s="146"/>
      <c r="P140" s="146">
        <f t="shared" si="9"/>
        <v>0</v>
      </c>
      <c r="Q140" s="146"/>
      <c r="R140" s="19">
        <f t="shared" si="10"/>
        <v>0</v>
      </c>
      <c r="S140" s="146">
        <f t="shared" si="11"/>
        <v>0</v>
      </c>
      <c r="T140" s="20">
        <v>5</v>
      </c>
      <c r="U140" s="20"/>
      <c r="V140" s="143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42">
        <v>300123</v>
      </c>
      <c r="B141" s="135" t="s">
        <v>118</v>
      </c>
      <c r="C141" s="248" t="s">
        <v>139</v>
      </c>
      <c r="D141" s="248" t="s">
        <v>140</v>
      </c>
      <c r="E141" s="148" t="s">
        <v>135</v>
      </c>
      <c r="F141" s="27"/>
      <c r="G141" s="110"/>
      <c r="H141" s="110"/>
      <c r="I141" s="110"/>
      <c r="J141" s="110"/>
      <c r="K141" s="146">
        <f t="shared" si="7"/>
        <v>0</v>
      </c>
      <c r="L141" s="146">
        <f t="shared" si="8"/>
        <v>0</v>
      </c>
      <c r="M141" s="146">
        <v>557</v>
      </c>
      <c r="N141" s="146">
        <f>+M141*1000/(126.5*4*15*60)*T141</f>
        <v>6.1155028546332888</v>
      </c>
      <c r="O141" s="146"/>
      <c r="P141" s="146">
        <f t="shared" si="9"/>
        <v>0</v>
      </c>
      <c r="Q141" s="146"/>
      <c r="R141" s="19">
        <f t="shared" si="10"/>
        <v>0</v>
      </c>
      <c r="S141" s="146">
        <f t="shared" si="11"/>
        <v>0</v>
      </c>
      <c r="T141" s="20">
        <v>5</v>
      </c>
      <c r="U141" s="20"/>
      <c r="V141" s="143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42">
        <v>300270</v>
      </c>
      <c r="B142" s="135" t="s">
        <v>118</v>
      </c>
      <c r="C142" s="248" t="s">
        <v>141</v>
      </c>
      <c r="D142" s="248"/>
      <c r="E142" s="148" t="s">
        <v>142</v>
      </c>
      <c r="F142" s="27"/>
      <c r="G142" s="110"/>
      <c r="H142" s="110"/>
      <c r="I142" s="110"/>
      <c r="J142" s="110"/>
      <c r="K142" s="146">
        <f t="shared" si="7"/>
        <v>0</v>
      </c>
      <c r="L142" s="146">
        <f t="shared" si="8"/>
        <v>0</v>
      </c>
      <c r="M142" s="146">
        <v>485.7</v>
      </c>
      <c r="N142" s="146">
        <f>+M142*1000/(126.5*4*15*60)*T142</f>
        <v>4.2661396574440049</v>
      </c>
      <c r="O142" s="146"/>
      <c r="P142" s="146">
        <f t="shared" si="9"/>
        <v>0</v>
      </c>
      <c r="Q142" s="146"/>
      <c r="R142" s="19">
        <f t="shared" si="10"/>
        <v>0</v>
      </c>
      <c r="S142" s="146">
        <f t="shared" si="11"/>
        <v>0</v>
      </c>
      <c r="T142" s="20">
        <v>4</v>
      </c>
      <c r="U142" s="20"/>
      <c r="V142" s="143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42">
        <v>300336</v>
      </c>
      <c r="B143" s="135" t="s">
        <v>136</v>
      </c>
      <c r="C143" s="248" t="s">
        <v>143</v>
      </c>
      <c r="D143" s="248"/>
      <c r="E143" s="148" t="s">
        <v>84</v>
      </c>
      <c r="F143" s="27"/>
      <c r="G143" s="110"/>
      <c r="H143" s="110"/>
      <c r="I143" s="110"/>
      <c r="J143" s="110"/>
      <c r="K143" s="146">
        <f t="shared" si="7"/>
        <v>0</v>
      </c>
      <c r="L143" s="146">
        <f t="shared" si="8"/>
        <v>0</v>
      </c>
      <c r="M143" s="146">
        <v>411.4</v>
      </c>
      <c r="N143" s="146">
        <f>+M143*1000/(104.2*4*16*60)*T143</f>
        <v>2.0563419705694179</v>
      </c>
      <c r="O143" s="146"/>
      <c r="P143" s="146">
        <f t="shared" si="9"/>
        <v>0</v>
      </c>
      <c r="Q143" s="146"/>
      <c r="R143" s="19">
        <f t="shared" si="10"/>
        <v>0</v>
      </c>
      <c r="S143" s="146">
        <f t="shared" si="11"/>
        <v>0</v>
      </c>
      <c r="T143" s="20">
        <v>2</v>
      </c>
      <c r="U143" s="20"/>
      <c r="V143" s="143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42">
        <v>300337</v>
      </c>
      <c r="B144" s="135" t="s">
        <v>138</v>
      </c>
      <c r="C144" s="248" t="s">
        <v>143</v>
      </c>
      <c r="D144" s="248"/>
      <c r="E144" s="148" t="s">
        <v>49</v>
      </c>
      <c r="F144" s="27"/>
      <c r="G144" s="110"/>
      <c r="H144" s="110"/>
      <c r="I144" s="110"/>
      <c r="J144" s="110"/>
      <c r="K144" s="146">
        <f t="shared" si="7"/>
        <v>0</v>
      </c>
      <c r="L144" s="146">
        <f t="shared" si="8"/>
        <v>0</v>
      </c>
      <c r="M144" s="146">
        <v>411.4</v>
      </c>
      <c r="N144" s="146">
        <f>+M144*1000/(104.2*4*16*60)*T144</f>
        <v>2.0563419705694179</v>
      </c>
      <c r="O144" s="146"/>
      <c r="P144" s="146">
        <f t="shared" si="9"/>
        <v>0</v>
      </c>
      <c r="Q144" s="146"/>
      <c r="R144" s="19">
        <f t="shared" si="10"/>
        <v>0</v>
      </c>
      <c r="S144" s="146">
        <f t="shared" si="11"/>
        <v>0</v>
      </c>
      <c r="T144" s="20">
        <v>2</v>
      </c>
      <c r="U144" s="20"/>
      <c r="V144" s="143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42">
        <v>300338</v>
      </c>
      <c r="B145" s="135" t="s">
        <v>144</v>
      </c>
      <c r="C145" s="248" t="s">
        <v>143</v>
      </c>
      <c r="D145" s="248"/>
      <c r="E145" s="148" t="s">
        <v>85</v>
      </c>
      <c r="F145" s="27"/>
      <c r="G145" s="110"/>
      <c r="H145" s="110"/>
      <c r="I145" s="110"/>
      <c r="J145" s="110"/>
      <c r="K145" s="146">
        <f t="shared" si="7"/>
        <v>0</v>
      </c>
      <c r="L145" s="146">
        <f t="shared" si="8"/>
        <v>0</v>
      </c>
      <c r="M145" s="146">
        <v>411.4</v>
      </c>
      <c r="N145" s="146">
        <f>+M145*1000/(104.2*4*16*60)*T145</f>
        <v>2.0563419705694179</v>
      </c>
      <c r="O145" s="146"/>
      <c r="P145" s="146">
        <f t="shared" si="9"/>
        <v>0</v>
      </c>
      <c r="Q145" s="146"/>
      <c r="R145" s="19">
        <f t="shared" si="10"/>
        <v>0</v>
      </c>
      <c r="S145" s="146">
        <f t="shared" si="11"/>
        <v>0</v>
      </c>
      <c r="T145" s="20">
        <v>2</v>
      </c>
      <c r="U145" s="20"/>
      <c r="V145" s="143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42">
        <v>300309</v>
      </c>
      <c r="B146" s="135">
        <v>6504</v>
      </c>
      <c r="C146" s="248" t="s">
        <v>145</v>
      </c>
      <c r="D146" s="248"/>
      <c r="E146" s="148" t="s">
        <v>47</v>
      </c>
      <c r="F146" s="27"/>
      <c r="G146" s="110"/>
      <c r="H146" s="110"/>
      <c r="I146" s="110"/>
      <c r="J146" s="110"/>
      <c r="K146" s="146">
        <f t="shared" si="7"/>
        <v>0</v>
      </c>
      <c r="L146" s="146">
        <f t="shared" si="8"/>
        <v>0</v>
      </c>
      <c r="M146" s="146">
        <v>316.88</v>
      </c>
      <c r="N146" s="15">
        <f>+M146*1000/(75.2*4*16*60)*T146</f>
        <v>6.5841090425531918</v>
      </c>
      <c r="O146" s="146"/>
      <c r="P146" s="146">
        <f t="shared" si="9"/>
        <v>0</v>
      </c>
      <c r="Q146" s="146"/>
      <c r="R146" s="19">
        <f t="shared" si="10"/>
        <v>0</v>
      </c>
      <c r="S146" s="146">
        <f t="shared" si="11"/>
        <v>0</v>
      </c>
      <c r="T146" s="20">
        <v>6</v>
      </c>
      <c r="U146" s="20"/>
      <c r="V146" s="143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42">
        <v>300310</v>
      </c>
      <c r="B147" s="135">
        <v>6504</v>
      </c>
      <c r="C147" s="248" t="s">
        <v>145</v>
      </c>
      <c r="D147" s="248"/>
      <c r="E147" s="148" t="s">
        <v>146</v>
      </c>
      <c r="F147" s="27"/>
      <c r="G147" s="110"/>
      <c r="H147" s="110"/>
      <c r="I147" s="110"/>
      <c r="J147" s="110"/>
      <c r="K147" s="146">
        <f t="shared" si="7"/>
        <v>0</v>
      </c>
      <c r="L147" s="146">
        <f t="shared" si="8"/>
        <v>0</v>
      </c>
      <c r="M147" s="146">
        <v>316.88</v>
      </c>
      <c r="N147" s="15">
        <f>+M147*1000/(75.2*4*16*60)*T147</f>
        <v>6.5841090425531918</v>
      </c>
      <c r="O147" s="146"/>
      <c r="P147" s="146">
        <f t="shared" si="9"/>
        <v>0</v>
      </c>
      <c r="Q147" s="146"/>
      <c r="R147" s="19">
        <f t="shared" si="10"/>
        <v>0</v>
      </c>
      <c r="S147" s="146">
        <f t="shared" si="11"/>
        <v>0</v>
      </c>
      <c r="T147" s="20">
        <v>6</v>
      </c>
      <c r="U147" s="20"/>
      <c r="V147" s="143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42">
        <v>300312</v>
      </c>
      <c r="B148" s="135">
        <v>6504</v>
      </c>
      <c r="C148" s="248" t="s">
        <v>145</v>
      </c>
      <c r="D148" s="248"/>
      <c r="E148" s="148" t="s">
        <v>147</v>
      </c>
      <c r="F148" s="27"/>
      <c r="G148" s="110"/>
      <c r="H148" s="110"/>
      <c r="I148" s="110"/>
      <c r="J148" s="110"/>
      <c r="K148" s="146">
        <f t="shared" si="7"/>
        <v>0</v>
      </c>
      <c r="L148" s="146">
        <f t="shared" si="8"/>
        <v>0</v>
      </c>
      <c r="M148" s="146">
        <v>316.88</v>
      </c>
      <c r="N148" s="15">
        <f>+M148*1000/(75.2*4*16*60)*T148</f>
        <v>6.5841090425531918</v>
      </c>
      <c r="O148" s="146"/>
      <c r="P148" s="146">
        <f t="shared" si="9"/>
        <v>0</v>
      </c>
      <c r="Q148" s="146"/>
      <c r="R148" s="19">
        <f t="shared" si="10"/>
        <v>0</v>
      </c>
      <c r="S148" s="146">
        <f t="shared" si="11"/>
        <v>0</v>
      </c>
      <c r="T148" s="20">
        <v>6</v>
      </c>
      <c r="U148" s="20"/>
      <c r="V148" s="143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42">
        <v>300311</v>
      </c>
      <c r="B149" s="135">
        <v>6504</v>
      </c>
      <c r="C149" s="259" t="s">
        <v>145</v>
      </c>
      <c r="D149" s="260"/>
      <c r="E149" s="148" t="s">
        <v>74</v>
      </c>
      <c r="F149" s="27"/>
      <c r="G149" s="110"/>
      <c r="H149" s="110"/>
      <c r="I149" s="110"/>
      <c r="J149" s="110"/>
      <c r="K149" s="146">
        <f t="shared" si="7"/>
        <v>0</v>
      </c>
      <c r="L149" s="146">
        <f t="shared" si="8"/>
        <v>0</v>
      </c>
      <c r="M149" s="146">
        <v>316.88</v>
      </c>
      <c r="N149" s="15">
        <f>+M149*1000/(75.2*4*16*60)*T149</f>
        <v>6.5841090425531918</v>
      </c>
      <c r="O149" s="146"/>
      <c r="P149" s="146">
        <f t="shared" si="9"/>
        <v>0</v>
      </c>
      <c r="Q149" s="146"/>
      <c r="R149" s="19">
        <f t="shared" si="10"/>
        <v>0</v>
      </c>
      <c r="S149" s="146">
        <f t="shared" si="11"/>
        <v>0</v>
      </c>
      <c r="T149" s="20">
        <v>6</v>
      </c>
      <c r="U149" s="20"/>
      <c r="V149" s="143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42">
        <v>300399</v>
      </c>
      <c r="B150" s="135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46">
        <f t="shared" si="7"/>
        <v>0</v>
      </c>
      <c r="L150" s="146">
        <f t="shared" si="8"/>
        <v>0</v>
      </c>
      <c r="M150" s="146">
        <v>311.2</v>
      </c>
      <c r="N150" s="40">
        <f>+M150*1000/(100*4*16*60)*T150</f>
        <v>4.8624999999999998</v>
      </c>
      <c r="O150" s="146"/>
      <c r="P150" s="146">
        <f t="shared" si="9"/>
        <v>0</v>
      </c>
      <c r="Q150" s="146"/>
      <c r="R150" s="19">
        <f t="shared" si="10"/>
        <v>0</v>
      </c>
      <c r="S150" s="146">
        <f t="shared" si="11"/>
        <v>0</v>
      </c>
      <c r="T150" s="43">
        <v>6</v>
      </c>
      <c r="U150" s="20"/>
      <c r="V150" s="143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42">
        <v>300400</v>
      </c>
      <c r="B151" s="135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46">
        <f t="shared" si="7"/>
        <v>0</v>
      </c>
      <c r="L151" s="146">
        <f t="shared" si="8"/>
        <v>0</v>
      </c>
      <c r="M151" s="146">
        <v>311.2</v>
      </c>
      <c r="N151" s="40">
        <f>+M151*1000/(100*4*16*60)*T151</f>
        <v>4.8624999999999998</v>
      </c>
      <c r="O151" s="146"/>
      <c r="P151" s="146">
        <f t="shared" si="9"/>
        <v>0</v>
      </c>
      <c r="Q151" s="146"/>
      <c r="R151" s="19">
        <f t="shared" si="10"/>
        <v>0</v>
      </c>
      <c r="S151" s="146">
        <f t="shared" si="11"/>
        <v>0</v>
      </c>
      <c r="T151" s="43">
        <v>6</v>
      </c>
      <c r="U151" s="20"/>
      <c r="V151" s="143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42">
        <v>300401</v>
      </c>
      <c r="B152" s="135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46">
        <f t="shared" si="7"/>
        <v>0</v>
      </c>
      <c r="L152" s="146">
        <f t="shared" si="8"/>
        <v>0</v>
      </c>
      <c r="M152" s="146">
        <v>311.2</v>
      </c>
      <c r="N152" s="40">
        <f>+M152*1000/(100*4*16*60)*T152</f>
        <v>4.8624999999999998</v>
      </c>
      <c r="O152" s="146"/>
      <c r="P152" s="146">
        <f t="shared" si="9"/>
        <v>0</v>
      </c>
      <c r="Q152" s="146"/>
      <c r="R152" s="19">
        <f t="shared" si="10"/>
        <v>0</v>
      </c>
      <c r="S152" s="146">
        <f t="shared" si="11"/>
        <v>0</v>
      </c>
      <c r="T152" s="43">
        <v>6</v>
      </c>
      <c r="U152" s="20"/>
      <c r="V152" s="143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42">
        <v>300402</v>
      </c>
      <c r="B153" s="135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46">
        <f t="shared" si="7"/>
        <v>0</v>
      </c>
      <c r="L153" s="146">
        <f t="shared" si="8"/>
        <v>0</v>
      </c>
      <c r="M153" s="146">
        <v>465.3</v>
      </c>
      <c r="N153" s="40">
        <f>+M153*1000/(137*4*16*60)*T153</f>
        <v>5.3067974452554747</v>
      </c>
      <c r="O153" s="146"/>
      <c r="P153" s="146">
        <f t="shared" si="9"/>
        <v>0</v>
      </c>
      <c r="Q153" s="146"/>
      <c r="R153" s="19">
        <f t="shared" si="10"/>
        <v>0</v>
      </c>
      <c r="S153" s="146">
        <f t="shared" si="11"/>
        <v>0</v>
      </c>
      <c r="T153" s="43">
        <v>6</v>
      </c>
      <c r="U153" s="20"/>
      <c r="V153" s="143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42">
        <v>300403</v>
      </c>
      <c r="B154" s="135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46">
        <f t="shared" ref="K154:K190" si="15">G154*M154</f>
        <v>0</v>
      </c>
      <c r="L154" s="146">
        <f t="shared" ref="L154:L190" si="16">I154*M154</f>
        <v>0</v>
      </c>
      <c r="M154" s="146">
        <v>465.3</v>
      </c>
      <c r="N154" s="40">
        <f>+M154*1000/(137*4*16*60)*T154</f>
        <v>5.3067974452554747</v>
      </c>
      <c r="O154" s="146"/>
      <c r="P154" s="146">
        <f t="shared" ref="P154:P190" si="17">N154*I154+O154*U154</f>
        <v>0</v>
      </c>
      <c r="Q154" s="146"/>
      <c r="R154" s="19">
        <f t="shared" ref="R154:R190" si="18">Q154*U154</f>
        <v>0</v>
      </c>
      <c r="S154" s="146">
        <f t="shared" ref="S154:S190" si="19">R154-P154</f>
        <v>0</v>
      </c>
      <c r="T154" s="43">
        <v>6</v>
      </c>
      <c r="U154" s="20"/>
      <c r="V154" s="143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42">
        <v>300404</v>
      </c>
      <c r="B155" s="135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46">
        <f t="shared" si="15"/>
        <v>0</v>
      </c>
      <c r="L155" s="146">
        <f t="shared" si="16"/>
        <v>0</v>
      </c>
      <c r="M155" s="146">
        <v>465.3</v>
      </c>
      <c r="N155" s="40">
        <f>+M155*1000/(137*4*16*60)*T155</f>
        <v>5.3067974452554747</v>
      </c>
      <c r="O155" s="146"/>
      <c r="P155" s="146">
        <f t="shared" si="17"/>
        <v>0</v>
      </c>
      <c r="Q155" s="146"/>
      <c r="R155" s="19">
        <f t="shared" si="18"/>
        <v>0</v>
      </c>
      <c r="S155" s="146">
        <f t="shared" si="19"/>
        <v>0</v>
      </c>
      <c r="T155" s="43">
        <v>6</v>
      </c>
      <c r="U155" s="20"/>
      <c r="V155" s="143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42">
        <v>300405</v>
      </c>
      <c r="B156" s="135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46">
        <f t="shared" si="15"/>
        <v>0</v>
      </c>
      <c r="L156" s="146">
        <f t="shared" si="16"/>
        <v>0</v>
      </c>
      <c r="M156" s="146">
        <v>465.3</v>
      </c>
      <c r="N156" s="40">
        <f>+M156*1000/(137*4*16*60)*T156</f>
        <v>5.3067974452554747</v>
      </c>
      <c r="O156" s="146"/>
      <c r="P156" s="146">
        <f t="shared" si="17"/>
        <v>0</v>
      </c>
      <c r="Q156" s="146"/>
      <c r="R156" s="19">
        <f t="shared" si="18"/>
        <v>0</v>
      </c>
      <c r="S156" s="146">
        <f t="shared" si="19"/>
        <v>0</v>
      </c>
      <c r="T156" s="43">
        <v>6</v>
      </c>
      <c r="U156" s="20"/>
      <c r="V156" s="143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42">
        <v>300372</v>
      </c>
      <c r="B157" s="135">
        <v>18501</v>
      </c>
      <c r="C157" s="259" t="s">
        <v>153</v>
      </c>
      <c r="D157" s="260"/>
      <c r="E157" s="148" t="s">
        <v>47</v>
      </c>
      <c r="F157" s="27"/>
      <c r="G157" s="110"/>
      <c r="H157" s="110"/>
      <c r="I157" s="110"/>
      <c r="J157" s="110"/>
      <c r="K157" s="146">
        <f t="shared" si="15"/>
        <v>0</v>
      </c>
      <c r="L157" s="146">
        <f t="shared" si="16"/>
        <v>0</v>
      </c>
      <c r="M157" s="146">
        <v>420.58</v>
      </c>
      <c r="N157" s="15">
        <f>+M157*1000/(140*4*16*60)*T157</f>
        <v>4.6939732142857142</v>
      </c>
      <c r="O157" s="146"/>
      <c r="P157" s="146">
        <f t="shared" si="17"/>
        <v>0</v>
      </c>
      <c r="Q157" s="146"/>
      <c r="R157" s="19">
        <f t="shared" si="18"/>
        <v>0</v>
      </c>
      <c r="S157" s="146">
        <f t="shared" si="19"/>
        <v>0</v>
      </c>
      <c r="T157" s="20">
        <v>6</v>
      </c>
      <c r="U157" s="20"/>
      <c r="V157" s="143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42">
        <v>300373</v>
      </c>
      <c r="B158" s="135">
        <v>18501</v>
      </c>
      <c r="C158" s="259" t="s">
        <v>153</v>
      </c>
      <c r="D158" s="260"/>
      <c r="E158" s="148" t="s">
        <v>146</v>
      </c>
      <c r="F158" s="27"/>
      <c r="G158" s="110"/>
      <c r="H158" s="110"/>
      <c r="I158" s="110"/>
      <c r="J158" s="110"/>
      <c r="K158" s="146">
        <f t="shared" si="15"/>
        <v>0</v>
      </c>
      <c r="L158" s="146">
        <f t="shared" si="16"/>
        <v>0</v>
      </c>
      <c r="M158" s="146">
        <v>420.58</v>
      </c>
      <c r="N158" s="15">
        <f>+M158*1000/(140*4*16*60)*T158</f>
        <v>4.6939732142857142</v>
      </c>
      <c r="O158" s="146"/>
      <c r="P158" s="146">
        <f t="shared" si="17"/>
        <v>0</v>
      </c>
      <c r="Q158" s="146"/>
      <c r="R158" s="19">
        <f t="shared" si="18"/>
        <v>0</v>
      </c>
      <c r="S158" s="146">
        <f t="shared" si="19"/>
        <v>0</v>
      </c>
      <c r="T158" s="20">
        <v>6</v>
      </c>
      <c r="U158" s="20"/>
      <c r="V158" s="143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42">
        <v>300374</v>
      </c>
      <c r="B159" s="135">
        <v>18501</v>
      </c>
      <c r="C159" s="259" t="s">
        <v>153</v>
      </c>
      <c r="D159" s="260"/>
      <c r="E159" s="148" t="s">
        <v>147</v>
      </c>
      <c r="F159" s="27"/>
      <c r="G159" s="110"/>
      <c r="H159" s="110"/>
      <c r="I159" s="110"/>
      <c r="J159" s="110"/>
      <c r="K159" s="146">
        <f t="shared" si="15"/>
        <v>0</v>
      </c>
      <c r="L159" s="146">
        <f t="shared" si="16"/>
        <v>0</v>
      </c>
      <c r="M159" s="146">
        <v>420.58</v>
      </c>
      <c r="N159" s="15">
        <f>+M159*1000/(140*4*16*60)*T159</f>
        <v>4.6939732142857142</v>
      </c>
      <c r="O159" s="146"/>
      <c r="P159" s="146">
        <f t="shared" si="17"/>
        <v>0</v>
      </c>
      <c r="Q159" s="146"/>
      <c r="R159" s="19">
        <f t="shared" si="18"/>
        <v>0</v>
      </c>
      <c r="S159" s="146">
        <f t="shared" si="19"/>
        <v>0</v>
      </c>
      <c r="T159" s="20">
        <v>6</v>
      </c>
      <c r="U159" s="20"/>
      <c r="V159" s="143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42">
        <v>300375</v>
      </c>
      <c r="B160" s="135">
        <v>18501</v>
      </c>
      <c r="C160" s="259" t="s">
        <v>153</v>
      </c>
      <c r="D160" s="260"/>
      <c r="E160" s="148" t="s">
        <v>74</v>
      </c>
      <c r="F160" s="27"/>
      <c r="G160" s="110"/>
      <c r="H160" s="110"/>
      <c r="I160" s="110"/>
      <c r="J160" s="110"/>
      <c r="K160" s="146">
        <f t="shared" si="15"/>
        <v>0</v>
      </c>
      <c r="L160" s="146">
        <f t="shared" si="16"/>
        <v>0</v>
      </c>
      <c r="M160" s="146">
        <v>420.58</v>
      </c>
      <c r="N160" s="15">
        <f>+M160*1000/(140*4*16*60)*T160</f>
        <v>4.6939732142857142</v>
      </c>
      <c r="O160" s="146"/>
      <c r="P160" s="146">
        <f t="shared" si="17"/>
        <v>0</v>
      </c>
      <c r="Q160" s="146"/>
      <c r="R160" s="19">
        <f t="shared" si="18"/>
        <v>0</v>
      </c>
      <c r="S160" s="146">
        <f t="shared" si="19"/>
        <v>0</v>
      </c>
      <c r="T160" s="20">
        <v>6</v>
      </c>
      <c r="U160" s="20"/>
      <c r="V160" s="143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42">
        <v>300341</v>
      </c>
      <c r="B161" s="135">
        <v>18501</v>
      </c>
      <c r="C161" s="266" t="s">
        <v>154</v>
      </c>
      <c r="D161" s="267"/>
      <c r="E161" s="148" t="s">
        <v>39</v>
      </c>
      <c r="F161" s="27"/>
      <c r="G161" s="110"/>
      <c r="H161" s="110"/>
      <c r="I161" s="110"/>
      <c r="J161" s="110"/>
      <c r="K161" s="146">
        <f t="shared" si="15"/>
        <v>0</v>
      </c>
      <c r="L161" s="146">
        <f t="shared" si="16"/>
        <v>0</v>
      </c>
      <c r="M161" s="146">
        <v>439.3</v>
      </c>
      <c r="N161" s="15">
        <f t="shared" ref="N161:N167" si="20">+M161*1000/(169.7*4*13*60)*T161</f>
        <v>4.1485351223123761</v>
      </c>
      <c r="O161" s="146"/>
      <c r="P161" s="146">
        <f t="shared" si="17"/>
        <v>0</v>
      </c>
      <c r="Q161" s="146"/>
      <c r="R161" s="19">
        <f t="shared" si="18"/>
        <v>0</v>
      </c>
      <c r="S161" s="146">
        <f t="shared" si="19"/>
        <v>0</v>
      </c>
      <c r="T161" s="20">
        <v>5</v>
      </c>
      <c r="U161" s="20"/>
      <c r="V161" s="143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42">
        <v>300342</v>
      </c>
      <c r="B162" s="135">
        <v>18501</v>
      </c>
      <c r="C162" s="266" t="s">
        <v>154</v>
      </c>
      <c r="D162" s="267"/>
      <c r="E162" s="148" t="s">
        <v>80</v>
      </c>
      <c r="F162" s="27"/>
      <c r="G162" s="110"/>
      <c r="H162" s="110"/>
      <c r="I162" s="110"/>
      <c r="J162" s="110"/>
      <c r="K162" s="146">
        <f t="shared" si="15"/>
        <v>0</v>
      </c>
      <c r="L162" s="146">
        <f t="shared" si="16"/>
        <v>0</v>
      </c>
      <c r="M162" s="146">
        <v>439.3</v>
      </c>
      <c r="N162" s="15">
        <f t="shared" si="20"/>
        <v>4.1485351223123761</v>
      </c>
      <c r="O162" s="146"/>
      <c r="P162" s="146">
        <f t="shared" si="17"/>
        <v>0</v>
      </c>
      <c r="Q162" s="146"/>
      <c r="R162" s="19">
        <f t="shared" si="18"/>
        <v>0</v>
      </c>
      <c r="S162" s="146">
        <f t="shared" si="19"/>
        <v>0</v>
      </c>
      <c r="T162" s="20">
        <v>5</v>
      </c>
      <c r="U162" s="20"/>
      <c r="V162" s="143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42">
        <v>300343</v>
      </c>
      <c r="B163" s="135">
        <v>18501</v>
      </c>
      <c r="C163" s="266" t="s">
        <v>154</v>
      </c>
      <c r="D163" s="267"/>
      <c r="E163" s="148" t="s">
        <v>35</v>
      </c>
      <c r="F163" s="27"/>
      <c r="G163" s="110"/>
      <c r="H163" s="110"/>
      <c r="I163" s="110"/>
      <c r="J163" s="110"/>
      <c r="K163" s="146">
        <f t="shared" si="15"/>
        <v>0</v>
      </c>
      <c r="L163" s="146">
        <f t="shared" si="16"/>
        <v>0</v>
      </c>
      <c r="M163" s="146">
        <v>455.4</v>
      </c>
      <c r="N163" s="15">
        <f t="shared" si="20"/>
        <v>4.3005756765332483</v>
      </c>
      <c r="O163" s="146"/>
      <c r="P163" s="146">
        <f t="shared" si="17"/>
        <v>0</v>
      </c>
      <c r="Q163" s="146"/>
      <c r="R163" s="19">
        <f t="shared" si="18"/>
        <v>0</v>
      </c>
      <c r="S163" s="146">
        <f t="shared" si="19"/>
        <v>0</v>
      </c>
      <c r="T163" s="20">
        <v>5</v>
      </c>
      <c r="U163" s="20"/>
      <c r="V163" s="143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42">
        <v>300344</v>
      </c>
      <c r="B164" s="135">
        <v>18501</v>
      </c>
      <c r="C164" s="266" t="s">
        <v>154</v>
      </c>
      <c r="D164" s="267"/>
      <c r="E164" s="148" t="s">
        <v>40</v>
      </c>
      <c r="F164" s="27"/>
      <c r="G164" s="110"/>
      <c r="H164" s="110"/>
      <c r="I164" s="110"/>
      <c r="J164" s="110"/>
      <c r="K164" s="146">
        <f t="shared" si="15"/>
        <v>0</v>
      </c>
      <c r="L164" s="146">
        <f t="shared" si="16"/>
        <v>0</v>
      </c>
      <c r="M164" s="146">
        <v>455.4</v>
      </c>
      <c r="N164" s="15">
        <f t="shared" si="20"/>
        <v>4.3005756765332483</v>
      </c>
      <c r="O164" s="146"/>
      <c r="P164" s="146">
        <f t="shared" si="17"/>
        <v>0</v>
      </c>
      <c r="Q164" s="146"/>
      <c r="R164" s="19">
        <f t="shared" si="18"/>
        <v>0</v>
      </c>
      <c r="S164" s="146">
        <f t="shared" si="19"/>
        <v>0</v>
      </c>
      <c r="T164" s="20">
        <v>5</v>
      </c>
      <c r="U164" s="20"/>
      <c r="V164" s="143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42">
        <v>300396</v>
      </c>
      <c r="B165" s="135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46">
        <f t="shared" si="15"/>
        <v>0</v>
      </c>
      <c r="L165" s="146">
        <f t="shared" si="16"/>
        <v>0</v>
      </c>
      <c r="M165" s="40">
        <v>417.1</v>
      </c>
      <c r="N165" s="15">
        <f t="shared" si="20"/>
        <v>3.9388891407158937</v>
      </c>
      <c r="O165" s="146"/>
      <c r="P165" s="146">
        <f t="shared" si="17"/>
        <v>0</v>
      </c>
      <c r="Q165" s="146"/>
      <c r="R165" s="19">
        <f t="shared" si="18"/>
        <v>0</v>
      </c>
      <c r="S165" s="146">
        <f t="shared" si="19"/>
        <v>0</v>
      </c>
      <c r="T165" s="20">
        <v>5</v>
      </c>
      <c r="U165" s="20"/>
      <c r="V165" s="143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42">
        <v>300397</v>
      </c>
      <c r="B166" s="135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46">
        <f t="shared" si="15"/>
        <v>0</v>
      </c>
      <c r="L166" s="146">
        <f t="shared" si="16"/>
        <v>0</v>
      </c>
      <c r="M166" s="40">
        <v>417.1</v>
      </c>
      <c r="N166" s="15">
        <f t="shared" si="20"/>
        <v>3.9388891407158937</v>
      </c>
      <c r="O166" s="146"/>
      <c r="P166" s="146">
        <f t="shared" si="17"/>
        <v>0</v>
      </c>
      <c r="Q166" s="146"/>
      <c r="R166" s="19">
        <f t="shared" si="18"/>
        <v>0</v>
      </c>
      <c r="S166" s="146">
        <f t="shared" si="19"/>
        <v>0</v>
      </c>
      <c r="T166" s="20">
        <v>5</v>
      </c>
      <c r="U166" s="20"/>
      <c r="V166" s="143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42">
        <v>300398</v>
      </c>
      <c r="B167" s="135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46">
        <f t="shared" si="15"/>
        <v>0</v>
      </c>
      <c r="L167" s="146">
        <f t="shared" si="16"/>
        <v>0</v>
      </c>
      <c r="M167" s="40">
        <v>417.1</v>
      </c>
      <c r="N167" s="15">
        <f t="shared" si="20"/>
        <v>3.9388891407158937</v>
      </c>
      <c r="O167" s="146"/>
      <c r="P167" s="146">
        <f t="shared" si="17"/>
        <v>0</v>
      </c>
      <c r="Q167" s="146"/>
      <c r="R167" s="19">
        <f t="shared" si="18"/>
        <v>0</v>
      </c>
      <c r="S167" s="146">
        <f t="shared" si="19"/>
        <v>0</v>
      </c>
      <c r="T167" s="20">
        <v>5</v>
      </c>
      <c r="U167" s="20"/>
      <c r="V167" s="143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42">
        <v>300271</v>
      </c>
      <c r="B168" s="135">
        <v>18501</v>
      </c>
      <c r="C168" s="248" t="s">
        <v>156</v>
      </c>
      <c r="D168" s="248"/>
      <c r="E168" s="148" t="s">
        <v>142</v>
      </c>
      <c r="F168" s="27"/>
      <c r="G168" s="110"/>
      <c r="H168" s="110"/>
      <c r="I168" s="110"/>
      <c r="J168" s="110"/>
      <c r="K168" s="146">
        <f t="shared" si="15"/>
        <v>0</v>
      </c>
      <c r="L168" s="146">
        <f t="shared" si="16"/>
        <v>0</v>
      </c>
      <c r="M168" s="146">
        <v>580.1</v>
      </c>
      <c r="N168" s="146">
        <f>+M168*1000/(202*4*13*60)*T168</f>
        <v>3.6817720233561819</v>
      </c>
      <c r="O168" s="146"/>
      <c r="P168" s="146">
        <f t="shared" si="17"/>
        <v>0</v>
      </c>
      <c r="Q168" s="146"/>
      <c r="R168" s="19">
        <f t="shared" si="18"/>
        <v>0</v>
      </c>
      <c r="S168" s="146">
        <f t="shared" si="19"/>
        <v>0</v>
      </c>
      <c r="T168" s="20">
        <v>4</v>
      </c>
      <c r="U168" s="20"/>
      <c r="V168" s="143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42">
        <v>300009</v>
      </c>
      <c r="B169" s="135">
        <v>18501</v>
      </c>
      <c r="C169" s="248" t="s">
        <v>157</v>
      </c>
      <c r="D169" s="248" t="s">
        <v>158</v>
      </c>
      <c r="E169" s="148" t="s">
        <v>135</v>
      </c>
      <c r="F169" s="27"/>
      <c r="G169" s="110"/>
      <c r="H169" s="110"/>
      <c r="I169" s="110"/>
      <c r="J169" s="110"/>
      <c r="K169" s="146">
        <f t="shared" si="15"/>
        <v>0</v>
      </c>
      <c r="L169" s="146">
        <f t="shared" si="16"/>
        <v>0</v>
      </c>
      <c r="M169" s="15">
        <v>520.79999999999995</v>
      </c>
      <c r="N169" s="146">
        <f>+M169*1000/(188*4*13*60)*T169</f>
        <v>5.3273322422258591</v>
      </c>
      <c r="O169" s="146"/>
      <c r="P169" s="146">
        <f t="shared" si="17"/>
        <v>0</v>
      </c>
      <c r="Q169" s="146"/>
      <c r="R169" s="19">
        <f t="shared" si="18"/>
        <v>0</v>
      </c>
      <c r="S169" s="146">
        <f t="shared" si="19"/>
        <v>0</v>
      </c>
      <c r="T169" s="20">
        <v>6</v>
      </c>
      <c r="U169" s="20"/>
      <c r="V169" s="143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42">
        <v>300010</v>
      </c>
      <c r="B170" s="135">
        <v>18501</v>
      </c>
      <c r="C170" s="248" t="s">
        <v>157</v>
      </c>
      <c r="D170" s="248" t="s">
        <v>158</v>
      </c>
      <c r="E170" s="148" t="s">
        <v>80</v>
      </c>
      <c r="F170" s="27"/>
      <c r="G170" s="110"/>
      <c r="H170" s="110"/>
      <c r="I170" s="110"/>
      <c r="J170" s="113"/>
      <c r="K170" s="146">
        <f t="shared" si="15"/>
        <v>0</v>
      </c>
      <c r="L170" s="146">
        <f t="shared" si="16"/>
        <v>0</v>
      </c>
      <c r="M170" s="15">
        <v>530.9</v>
      </c>
      <c r="N170" s="146">
        <f>+M170*1000/(188*4*13*60)*T170</f>
        <v>4.5255387343153304</v>
      </c>
      <c r="O170" s="146"/>
      <c r="P170" s="146">
        <f t="shared" si="17"/>
        <v>0</v>
      </c>
      <c r="Q170" s="146"/>
      <c r="R170" s="19">
        <f t="shared" si="18"/>
        <v>0</v>
      </c>
      <c r="S170" s="146">
        <f t="shared" si="19"/>
        <v>0</v>
      </c>
      <c r="T170" s="20">
        <v>5</v>
      </c>
      <c r="U170" s="20"/>
      <c r="V170" s="143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42">
        <v>300305</v>
      </c>
      <c r="B171" s="135">
        <v>18501</v>
      </c>
      <c r="C171" s="248" t="s">
        <v>159</v>
      </c>
      <c r="D171" s="248" t="s">
        <v>160</v>
      </c>
      <c r="E171" s="148" t="s">
        <v>57</v>
      </c>
      <c r="F171" s="27"/>
      <c r="G171" s="110"/>
      <c r="H171" s="110"/>
      <c r="I171" s="110"/>
      <c r="J171" s="113"/>
      <c r="K171" s="146">
        <f t="shared" si="15"/>
        <v>0</v>
      </c>
      <c r="L171" s="146">
        <f t="shared" si="16"/>
        <v>0</v>
      </c>
      <c r="M171" s="146">
        <v>530.20000000000005</v>
      </c>
      <c r="N171" s="146">
        <f t="shared" ref="N171:N176" si="21">+M171*1000/(202*4*13*60)*T171</f>
        <v>4.2063340949479562</v>
      </c>
      <c r="O171" s="146"/>
      <c r="P171" s="146">
        <f t="shared" si="17"/>
        <v>0</v>
      </c>
      <c r="Q171" s="146"/>
      <c r="R171" s="19">
        <f t="shared" si="18"/>
        <v>0</v>
      </c>
      <c r="S171" s="146">
        <f t="shared" si="19"/>
        <v>0</v>
      </c>
      <c r="T171" s="20">
        <v>5</v>
      </c>
      <c r="U171" s="20"/>
      <c r="V171" s="143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42">
        <v>300306</v>
      </c>
      <c r="B172" s="135">
        <v>18501</v>
      </c>
      <c r="C172" s="248" t="s">
        <v>159</v>
      </c>
      <c r="D172" s="248" t="s">
        <v>160</v>
      </c>
      <c r="E172" s="148" t="s">
        <v>117</v>
      </c>
      <c r="F172" s="27"/>
      <c r="G172" s="110"/>
      <c r="H172" s="110"/>
      <c r="I172" s="110"/>
      <c r="J172" s="110"/>
      <c r="K172" s="146">
        <f t="shared" si="15"/>
        <v>0</v>
      </c>
      <c r="L172" s="146">
        <f t="shared" si="16"/>
        <v>0</v>
      </c>
      <c r="M172" s="146">
        <v>538.79999999999995</v>
      </c>
      <c r="N172" s="146">
        <f t="shared" si="21"/>
        <v>4.2745620715917747</v>
      </c>
      <c r="O172" s="146"/>
      <c r="P172" s="146">
        <f t="shared" si="17"/>
        <v>0</v>
      </c>
      <c r="Q172" s="146"/>
      <c r="R172" s="19">
        <f t="shared" si="18"/>
        <v>0</v>
      </c>
      <c r="S172" s="146">
        <f t="shared" si="19"/>
        <v>0</v>
      </c>
      <c r="T172" s="20">
        <v>5</v>
      </c>
      <c r="U172" s="20"/>
      <c r="V172" s="143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42">
        <v>300307</v>
      </c>
      <c r="B173" s="135">
        <v>18501</v>
      </c>
      <c r="C173" s="248" t="s">
        <v>159</v>
      </c>
      <c r="D173" s="248" t="s">
        <v>160</v>
      </c>
      <c r="E173" s="148" t="s">
        <v>133</v>
      </c>
      <c r="F173" s="27"/>
      <c r="G173" s="110"/>
      <c r="H173" s="110"/>
      <c r="I173" s="110"/>
      <c r="J173" s="110"/>
      <c r="K173" s="146">
        <f t="shared" si="15"/>
        <v>0</v>
      </c>
      <c r="L173" s="146">
        <f t="shared" si="16"/>
        <v>0</v>
      </c>
      <c r="M173" s="146">
        <v>569</v>
      </c>
      <c r="N173" s="146">
        <f t="shared" si="21"/>
        <v>4.5141533384107637</v>
      </c>
      <c r="O173" s="146"/>
      <c r="P173" s="146">
        <f t="shared" si="17"/>
        <v>0</v>
      </c>
      <c r="Q173" s="146"/>
      <c r="R173" s="19">
        <f t="shared" si="18"/>
        <v>0</v>
      </c>
      <c r="S173" s="146">
        <f t="shared" si="19"/>
        <v>0</v>
      </c>
      <c r="T173" s="20">
        <v>5</v>
      </c>
      <c r="U173" s="20"/>
      <c r="V173" s="143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42">
        <v>300308</v>
      </c>
      <c r="B174" s="135">
        <v>18501</v>
      </c>
      <c r="C174" s="248" t="s">
        <v>159</v>
      </c>
      <c r="D174" s="248" t="s">
        <v>160</v>
      </c>
      <c r="E174" s="148" t="s">
        <v>132</v>
      </c>
      <c r="F174" s="27"/>
      <c r="G174" s="110"/>
      <c r="H174" s="110"/>
      <c r="I174" s="110"/>
      <c r="J174" s="110"/>
      <c r="K174" s="146">
        <f t="shared" si="15"/>
        <v>0</v>
      </c>
      <c r="L174" s="146">
        <f t="shared" si="16"/>
        <v>0</v>
      </c>
      <c r="M174" s="146">
        <v>523.6</v>
      </c>
      <c r="N174" s="146">
        <f t="shared" si="21"/>
        <v>4.1539730896166542</v>
      </c>
      <c r="O174" s="146"/>
      <c r="P174" s="146">
        <f t="shared" si="17"/>
        <v>0</v>
      </c>
      <c r="Q174" s="146"/>
      <c r="R174" s="19">
        <f t="shared" si="18"/>
        <v>0</v>
      </c>
      <c r="S174" s="146">
        <f t="shared" si="19"/>
        <v>0</v>
      </c>
      <c r="T174" s="20">
        <v>5</v>
      </c>
      <c r="U174" s="20"/>
      <c r="V174" s="143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42">
        <v>300182</v>
      </c>
      <c r="B175" s="135">
        <v>18501</v>
      </c>
      <c r="C175" s="248" t="s">
        <v>161</v>
      </c>
      <c r="D175" s="248" t="s">
        <v>160</v>
      </c>
      <c r="E175" s="148" t="s">
        <v>80</v>
      </c>
      <c r="F175" s="27"/>
      <c r="G175" s="110"/>
      <c r="H175" s="110"/>
      <c r="I175" s="110"/>
      <c r="J175" s="110"/>
      <c r="K175" s="146">
        <f t="shared" si="15"/>
        <v>0</v>
      </c>
      <c r="L175" s="146">
        <f t="shared" si="16"/>
        <v>0</v>
      </c>
      <c r="M175" s="15">
        <v>649.1</v>
      </c>
      <c r="N175" s="146">
        <f t="shared" si="21"/>
        <v>5.1496255394770252</v>
      </c>
      <c r="O175" s="146"/>
      <c r="P175" s="146">
        <f t="shared" si="17"/>
        <v>0</v>
      </c>
      <c r="Q175" s="146"/>
      <c r="R175" s="19">
        <f t="shared" si="18"/>
        <v>0</v>
      </c>
      <c r="S175" s="146">
        <f t="shared" si="19"/>
        <v>0</v>
      </c>
      <c r="T175" s="20">
        <v>5</v>
      </c>
      <c r="U175" s="20"/>
      <c r="V175" s="143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42">
        <v>300185</v>
      </c>
      <c r="B176" s="135">
        <v>18501</v>
      </c>
      <c r="C176" s="248" t="s">
        <v>161</v>
      </c>
      <c r="D176" s="248" t="s">
        <v>160</v>
      </c>
      <c r="E176" s="148" t="s">
        <v>135</v>
      </c>
      <c r="F176" s="27"/>
      <c r="G176" s="110"/>
      <c r="H176" s="110"/>
      <c r="I176" s="110"/>
      <c r="J176" s="110"/>
      <c r="K176" s="146">
        <f t="shared" si="15"/>
        <v>0</v>
      </c>
      <c r="L176" s="146">
        <f t="shared" si="16"/>
        <v>0</v>
      </c>
      <c r="M176" s="15">
        <v>638</v>
      </c>
      <c r="N176" s="146">
        <f t="shared" si="21"/>
        <v>6.0738766184310737</v>
      </c>
      <c r="O176" s="146"/>
      <c r="P176" s="146">
        <f t="shared" si="17"/>
        <v>0</v>
      </c>
      <c r="Q176" s="146"/>
      <c r="R176" s="19">
        <f t="shared" si="18"/>
        <v>0</v>
      </c>
      <c r="S176" s="146">
        <f t="shared" si="19"/>
        <v>0</v>
      </c>
      <c r="T176" s="20">
        <v>6</v>
      </c>
      <c r="U176" s="20"/>
      <c r="V176" s="143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42">
        <v>300272</v>
      </c>
      <c r="B177" s="135">
        <v>18502</v>
      </c>
      <c r="C177" s="248" t="s">
        <v>162</v>
      </c>
      <c r="D177" s="248"/>
      <c r="E177" s="148" t="s">
        <v>42</v>
      </c>
      <c r="F177" s="27"/>
      <c r="G177" s="110"/>
      <c r="H177" s="110"/>
      <c r="I177" s="110"/>
      <c r="J177" s="110"/>
      <c r="K177" s="146">
        <f t="shared" si="15"/>
        <v>0</v>
      </c>
      <c r="L177" s="146">
        <f t="shared" si="16"/>
        <v>0</v>
      </c>
      <c r="M177" s="146">
        <v>523.9</v>
      </c>
      <c r="N177" s="146">
        <f>+M177*1000/(128*4*13*60)*T177</f>
        <v>5.247395833333333</v>
      </c>
      <c r="O177" s="146"/>
      <c r="P177" s="146">
        <f t="shared" si="17"/>
        <v>0</v>
      </c>
      <c r="Q177" s="146"/>
      <c r="R177" s="19">
        <f t="shared" si="18"/>
        <v>0</v>
      </c>
      <c r="S177" s="146">
        <f t="shared" si="19"/>
        <v>0</v>
      </c>
      <c r="T177" s="20">
        <v>4</v>
      </c>
      <c r="U177" s="20"/>
      <c r="V177" s="143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42">
        <v>300273</v>
      </c>
      <c r="B178" s="135">
        <v>18502</v>
      </c>
      <c r="C178" s="248" t="s">
        <v>162</v>
      </c>
      <c r="D178" s="248"/>
      <c r="E178" s="148" t="s">
        <v>163</v>
      </c>
      <c r="F178" s="27"/>
      <c r="G178" s="110"/>
      <c r="H178" s="110"/>
      <c r="I178" s="110"/>
      <c r="J178" s="110"/>
      <c r="K178" s="146">
        <f t="shared" si="15"/>
        <v>0</v>
      </c>
      <c r="L178" s="146">
        <f t="shared" si="16"/>
        <v>0</v>
      </c>
      <c r="M178" s="146">
        <v>523.9</v>
      </c>
      <c r="N178" s="146">
        <f>+M178*1000/(128*4*13*60)*T178</f>
        <v>6.5592447916666661</v>
      </c>
      <c r="O178" s="146"/>
      <c r="P178" s="146">
        <f t="shared" si="17"/>
        <v>0</v>
      </c>
      <c r="Q178" s="146"/>
      <c r="R178" s="19">
        <f t="shared" si="18"/>
        <v>0</v>
      </c>
      <c r="S178" s="146">
        <f t="shared" si="19"/>
        <v>0</v>
      </c>
      <c r="T178" s="20">
        <v>5</v>
      </c>
      <c r="U178" s="20"/>
      <c r="V178" s="143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42">
        <v>300274</v>
      </c>
      <c r="B179" s="135">
        <v>18502</v>
      </c>
      <c r="C179" s="248" t="s">
        <v>162</v>
      </c>
      <c r="D179" s="248"/>
      <c r="E179" s="148" t="s">
        <v>146</v>
      </c>
      <c r="F179" s="27"/>
      <c r="G179" s="110"/>
      <c r="H179" s="110"/>
      <c r="I179" s="110"/>
      <c r="J179" s="110"/>
      <c r="K179" s="146">
        <f t="shared" si="15"/>
        <v>0</v>
      </c>
      <c r="L179" s="146">
        <f t="shared" si="16"/>
        <v>0</v>
      </c>
      <c r="M179" s="146">
        <v>523.9</v>
      </c>
      <c r="N179" s="146">
        <f>+M179*1000/(128*4*13*60)*T179</f>
        <v>5.247395833333333</v>
      </c>
      <c r="O179" s="146"/>
      <c r="P179" s="146">
        <f t="shared" si="17"/>
        <v>0</v>
      </c>
      <c r="Q179" s="146"/>
      <c r="R179" s="19">
        <f t="shared" si="18"/>
        <v>0</v>
      </c>
      <c r="S179" s="146">
        <f t="shared" si="19"/>
        <v>0</v>
      </c>
      <c r="T179" s="20">
        <v>4</v>
      </c>
      <c r="U179" s="20"/>
      <c r="V179" s="143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42">
        <v>300275</v>
      </c>
      <c r="B180" s="135">
        <v>18502</v>
      </c>
      <c r="C180" s="248" t="s">
        <v>162</v>
      </c>
      <c r="D180" s="248"/>
      <c r="E180" s="148" t="s">
        <v>164</v>
      </c>
      <c r="F180" s="27"/>
      <c r="G180" s="110"/>
      <c r="H180" s="110"/>
      <c r="I180" s="110"/>
      <c r="J180" s="110"/>
      <c r="K180" s="146">
        <f t="shared" si="15"/>
        <v>0</v>
      </c>
      <c r="L180" s="146">
        <f t="shared" si="16"/>
        <v>0</v>
      </c>
      <c r="M180" s="146">
        <v>523.9</v>
      </c>
      <c r="N180" s="146">
        <f>+M180*1000/(128*4*13*60)*T180</f>
        <v>5.247395833333333</v>
      </c>
      <c r="O180" s="146"/>
      <c r="P180" s="146">
        <f t="shared" si="17"/>
        <v>0</v>
      </c>
      <c r="Q180" s="146"/>
      <c r="R180" s="19">
        <f t="shared" si="18"/>
        <v>0</v>
      </c>
      <c r="S180" s="146">
        <f t="shared" si="19"/>
        <v>0</v>
      </c>
      <c r="T180" s="20">
        <v>4</v>
      </c>
      <c r="U180" s="20"/>
      <c r="V180" s="143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42">
        <v>300285</v>
      </c>
      <c r="B181" s="135">
        <v>13001</v>
      </c>
      <c r="C181" s="248" t="s">
        <v>165</v>
      </c>
      <c r="D181" s="248"/>
      <c r="E181" s="148" t="s">
        <v>37</v>
      </c>
      <c r="F181" s="27"/>
      <c r="G181" s="110"/>
      <c r="H181" s="110"/>
      <c r="I181" s="110"/>
      <c r="J181" s="110"/>
      <c r="K181" s="146">
        <f t="shared" si="15"/>
        <v>0</v>
      </c>
      <c r="L181" s="146">
        <f t="shared" si="16"/>
        <v>0</v>
      </c>
      <c r="M181" s="146">
        <v>438.7</v>
      </c>
      <c r="N181" s="146">
        <f t="shared" ref="N181:N186" si="22">+M181*1000/(90*4*18*60)*T181</f>
        <v>5.6417181069958842</v>
      </c>
      <c r="O181" s="146"/>
      <c r="P181" s="146">
        <f t="shared" si="17"/>
        <v>0</v>
      </c>
      <c r="Q181" s="146"/>
      <c r="R181" s="19">
        <f t="shared" si="18"/>
        <v>0</v>
      </c>
      <c r="S181" s="146">
        <f t="shared" si="19"/>
        <v>0</v>
      </c>
      <c r="T181" s="20">
        <v>5</v>
      </c>
      <c r="U181" s="20"/>
      <c r="V181" s="143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42">
        <v>300287</v>
      </c>
      <c r="B182" s="135">
        <v>13001</v>
      </c>
      <c r="C182" s="248" t="s">
        <v>165</v>
      </c>
      <c r="D182" s="248"/>
      <c r="E182" s="148" t="s">
        <v>57</v>
      </c>
      <c r="F182" s="27"/>
      <c r="G182" s="110"/>
      <c r="H182" s="110"/>
      <c r="I182" s="110"/>
      <c r="J182" s="110"/>
      <c r="K182" s="146">
        <f t="shared" si="15"/>
        <v>0</v>
      </c>
      <c r="L182" s="146">
        <f t="shared" si="16"/>
        <v>0</v>
      </c>
      <c r="M182" s="146">
        <v>438.7</v>
      </c>
      <c r="N182" s="146">
        <f t="shared" si="22"/>
        <v>5.6417181069958842</v>
      </c>
      <c r="O182" s="146"/>
      <c r="P182" s="146">
        <f t="shared" si="17"/>
        <v>0</v>
      </c>
      <c r="Q182" s="146"/>
      <c r="R182" s="19">
        <f t="shared" si="18"/>
        <v>0</v>
      </c>
      <c r="S182" s="146">
        <f t="shared" si="19"/>
        <v>0</v>
      </c>
      <c r="T182" s="20">
        <v>5</v>
      </c>
      <c r="U182" s="20"/>
      <c r="V182" s="143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42">
        <v>300284</v>
      </c>
      <c r="B183" s="135">
        <v>13001</v>
      </c>
      <c r="C183" s="248" t="s">
        <v>165</v>
      </c>
      <c r="D183" s="248"/>
      <c r="E183" s="148" t="s">
        <v>41</v>
      </c>
      <c r="F183" s="27"/>
      <c r="G183" s="110"/>
      <c r="H183" s="110"/>
      <c r="I183" s="110"/>
      <c r="J183" s="110"/>
      <c r="K183" s="146">
        <f t="shared" si="15"/>
        <v>0</v>
      </c>
      <c r="L183" s="146">
        <f t="shared" si="16"/>
        <v>0</v>
      </c>
      <c r="M183" s="146">
        <v>438.7</v>
      </c>
      <c r="N183" s="146">
        <f t="shared" si="22"/>
        <v>5.6417181069958842</v>
      </c>
      <c r="O183" s="146"/>
      <c r="P183" s="146">
        <f t="shared" si="17"/>
        <v>0</v>
      </c>
      <c r="Q183" s="146"/>
      <c r="R183" s="19">
        <f t="shared" si="18"/>
        <v>0</v>
      </c>
      <c r="S183" s="146">
        <f t="shared" si="19"/>
        <v>0</v>
      </c>
      <c r="T183" s="20">
        <v>5</v>
      </c>
      <c r="U183" s="20"/>
      <c r="V183" s="143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42">
        <v>300283</v>
      </c>
      <c r="B184" s="135">
        <v>13001</v>
      </c>
      <c r="C184" s="248" t="s">
        <v>165</v>
      </c>
      <c r="D184" s="248"/>
      <c r="E184" s="148" t="s">
        <v>35</v>
      </c>
      <c r="F184" s="27"/>
      <c r="G184" s="110"/>
      <c r="H184" s="110"/>
      <c r="I184" s="110"/>
      <c r="J184" s="67"/>
      <c r="K184" s="136">
        <f t="shared" si="15"/>
        <v>0</v>
      </c>
      <c r="L184" s="136">
        <f t="shared" si="16"/>
        <v>0</v>
      </c>
      <c r="M184" s="146">
        <v>438.7</v>
      </c>
      <c r="N184" s="146">
        <f t="shared" si="22"/>
        <v>5.6417181069958842</v>
      </c>
      <c r="O184" s="136"/>
      <c r="P184" s="146">
        <f t="shared" si="17"/>
        <v>0</v>
      </c>
      <c r="Q184" s="146"/>
      <c r="R184" s="19">
        <f t="shared" si="18"/>
        <v>0</v>
      </c>
      <c r="S184" s="146">
        <f t="shared" si="19"/>
        <v>0</v>
      </c>
      <c r="T184" s="20">
        <v>5</v>
      </c>
      <c r="U184" s="20"/>
      <c r="V184" s="143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42">
        <v>300289</v>
      </c>
      <c r="B185" s="135">
        <v>13001</v>
      </c>
      <c r="C185" s="248" t="s">
        <v>165</v>
      </c>
      <c r="D185" s="248"/>
      <c r="E185" s="148" t="s">
        <v>66</v>
      </c>
      <c r="F185" s="27"/>
      <c r="G185" s="67"/>
      <c r="H185" s="67"/>
      <c r="I185" s="67"/>
      <c r="J185" s="114"/>
      <c r="K185" s="136">
        <f t="shared" si="15"/>
        <v>0</v>
      </c>
      <c r="L185" s="136">
        <f t="shared" si="16"/>
        <v>0</v>
      </c>
      <c r="M185" s="146">
        <v>438.7</v>
      </c>
      <c r="N185" s="146">
        <f t="shared" si="22"/>
        <v>5.6417181069958842</v>
      </c>
      <c r="O185" s="136"/>
      <c r="P185" s="146">
        <f t="shared" si="17"/>
        <v>0</v>
      </c>
      <c r="Q185" s="146"/>
      <c r="R185" s="19">
        <f t="shared" si="18"/>
        <v>0</v>
      </c>
      <c r="S185" s="146">
        <f t="shared" si="19"/>
        <v>0</v>
      </c>
      <c r="T185" s="20">
        <v>5</v>
      </c>
      <c r="U185" s="20"/>
      <c r="V185" s="143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42">
        <v>300288</v>
      </c>
      <c r="B186" s="135">
        <v>13001</v>
      </c>
      <c r="C186" s="248" t="s">
        <v>165</v>
      </c>
      <c r="D186" s="248"/>
      <c r="E186" s="148" t="s">
        <v>166</v>
      </c>
      <c r="F186" s="27"/>
      <c r="G186" s="146"/>
      <c r="H186" s="146"/>
      <c r="I186" s="110"/>
      <c r="J186" s="110"/>
      <c r="K186" s="146">
        <f t="shared" si="15"/>
        <v>0</v>
      </c>
      <c r="L186" s="146">
        <f t="shared" si="16"/>
        <v>0</v>
      </c>
      <c r="M186" s="146">
        <v>438.7</v>
      </c>
      <c r="N186" s="146">
        <f t="shared" si="22"/>
        <v>5.6417181069958842</v>
      </c>
      <c r="O186" s="146"/>
      <c r="P186" s="146">
        <f t="shared" si="17"/>
        <v>0</v>
      </c>
      <c r="Q186" s="146"/>
      <c r="R186" s="19">
        <f t="shared" si="18"/>
        <v>0</v>
      </c>
      <c r="S186" s="146">
        <f t="shared" si="19"/>
        <v>0</v>
      </c>
      <c r="T186" s="20">
        <v>5</v>
      </c>
      <c r="U186" s="20"/>
      <c r="V186" s="143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39">
        <v>300355</v>
      </c>
      <c r="B187" s="135" t="s">
        <v>167</v>
      </c>
      <c r="C187" s="259" t="s">
        <v>168</v>
      </c>
      <c r="D187" s="260"/>
      <c r="E187" s="33" t="s">
        <v>35</v>
      </c>
      <c r="F187" s="27"/>
      <c r="G187" s="146"/>
      <c r="H187" s="146"/>
      <c r="I187" s="110"/>
      <c r="J187" s="110"/>
      <c r="K187" s="136">
        <f t="shared" si="15"/>
        <v>0</v>
      </c>
      <c r="L187" s="146">
        <f t="shared" si="16"/>
        <v>0</v>
      </c>
      <c r="M187" s="146">
        <v>438</v>
      </c>
      <c r="N187" s="15">
        <f>+M187*1000/(110*4*18*60)*T187</f>
        <v>4.6085858585858581</v>
      </c>
      <c r="O187" s="146"/>
      <c r="P187" s="146">
        <f t="shared" si="17"/>
        <v>0</v>
      </c>
      <c r="Q187" s="146"/>
      <c r="R187" s="19">
        <f t="shared" si="18"/>
        <v>0</v>
      </c>
      <c r="S187" s="146">
        <f t="shared" si="19"/>
        <v>0</v>
      </c>
      <c r="T187" s="20">
        <v>5</v>
      </c>
      <c r="U187" s="20"/>
      <c r="V187" s="143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39">
        <v>300356</v>
      </c>
      <c r="B188" s="135" t="s">
        <v>169</v>
      </c>
      <c r="C188" s="259" t="s">
        <v>168</v>
      </c>
      <c r="D188" s="260"/>
      <c r="E188" s="150" t="s">
        <v>41</v>
      </c>
      <c r="F188" s="27"/>
      <c r="G188" s="146"/>
      <c r="H188" s="146"/>
      <c r="I188" s="110"/>
      <c r="J188" s="110"/>
      <c r="K188" s="136">
        <f t="shared" si="15"/>
        <v>0</v>
      </c>
      <c r="L188" s="146">
        <f t="shared" si="16"/>
        <v>0</v>
      </c>
      <c r="M188" s="146">
        <v>438</v>
      </c>
      <c r="N188" s="15">
        <f>+M188*1000/(110*4*18*60)*T188</f>
        <v>4.6085858585858581</v>
      </c>
      <c r="O188" s="146"/>
      <c r="P188" s="146">
        <f t="shared" si="17"/>
        <v>0</v>
      </c>
      <c r="Q188" s="146"/>
      <c r="R188" s="19">
        <f t="shared" si="18"/>
        <v>0</v>
      </c>
      <c r="S188" s="146">
        <f t="shared" si="19"/>
        <v>0</v>
      </c>
      <c r="T188" s="20">
        <v>5</v>
      </c>
      <c r="U188" s="20"/>
      <c r="V188" s="143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39">
        <v>300357</v>
      </c>
      <c r="B189" s="135" t="s">
        <v>170</v>
      </c>
      <c r="C189" s="259" t="s">
        <v>168</v>
      </c>
      <c r="D189" s="260"/>
      <c r="E189" s="150" t="s">
        <v>37</v>
      </c>
      <c r="F189" s="27"/>
      <c r="G189" s="146"/>
      <c r="H189" s="146"/>
      <c r="I189" s="110"/>
      <c r="J189" s="110"/>
      <c r="K189" s="136">
        <f t="shared" si="15"/>
        <v>0</v>
      </c>
      <c r="L189" s="146">
        <f t="shared" si="16"/>
        <v>0</v>
      </c>
      <c r="M189" s="146">
        <v>438</v>
      </c>
      <c r="N189" s="15">
        <f>+M189*1000/(110*4*18*60)*T189</f>
        <v>4.6085858585858581</v>
      </c>
      <c r="O189" s="146"/>
      <c r="P189" s="146">
        <f t="shared" si="17"/>
        <v>0</v>
      </c>
      <c r="Q189" s="146"/>
      <c r="R189" s="19">
        <f t="shared" si="18"/>
        <v>0</v>
      </c>
      <c r="S189" s="146">
        <f t="shared" si="19"/>
        <v>0</v>
      </c>
      <c r="T189" s="20">
        <v>5</v>
      </c>
      <c r="U189" s="20"/>
      <c r="V189" s="143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39">
        <v>300358</v>
      </c>
      <c r="B190" s="135" t="s">
        <v>171</v>
      </c>
      <c r="C190" s="259" t="s">
        <v>168</v>
      </c>
      <c r="D190" s="260"/>
      <c r="E190" s="150" t="s">
        <v>66</v>
      </c>
      <c r="F190" s="27"/>
      <c r="G190" s="146"/>
      <c r="H190" s="146"/>
      <c r="I190" s="110"/>
      <c r="J190" s="110"/>
      <c r="K190" s="136">
        <f t="shared" si="15"/>
        <v>0</v>
      </c>
      <c r="L190" s="146">
        <f t="shared" si="16"/>
        <v>0</v>
      </c>
      <c r="M190" s="146">
        <v>438</v>
      </c>
      <c r="N190" s="15">
        <f>+M190*1000/(110*4*18*60)*T190</f>
        <v>4.6085858585858581</v>
      </c>
      <c r="O190" s="146"/>
      <c r="P190" s="146">
        <f t="shared" si="17"/>
        <v>0</v>
      </c>
      <c r="Q190" s="146"/>
      <c r="R190" s="19">
        <f t="shared" si="18"/>
        <v>0</v>
      </c>
      <c r="S190" s="146">
        <f t="shared" si="19"/>
        <v>0</v>
      </c>
      <c r="T190" s="20">
        <v>5</v>
      </c>
      <c r="U190" s="20"/>
      <c r="V190" s="143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42">
        <v>300438</v>
      </c>
      <c r="B191" s="135" t="s">
        <v>87</v>
      </c>
      <c r="C191" s="248" t="s">
        <v>312</v>
      </c>
      <c r="D191" s="248" t="s">
        <v>89</v>
      </c>
      <c r="E191" s="148" t="s">
        <v>35</v>
      </c>
      <c r="F191" s="13"/>
      <c r="G191" s="110"/>
      <c r="H191" s="110"/>
      <c r="I191" s="110"/>
      <c r="J191" s="110"/>
      <c r="K191" s="146">
        <f>G191*M191</f>
        <v>0</v>
      </c>
      <c r="L191" s="146">
        <f>I191*M191</f>
        <v>0</v>
      </c>
      <c r="M191" s="146">
        <v>336.6</v>
      </c>
      <c r="N191" s="146">
        <f>+M191*1000/(45*10*18*60)*T191</f>
        <v>1.3851851851851851</v>
      </c>
      <c r="O191" s="146"/>
      <c r="P191" s="146">
        <f>N191*I191+O191*U191</f>
        <v>0</v>
      </c>
      <c r="Q191" s="146"/>
      <c r="R191" s="19">
        <f>Q191*U191</f>
        <v>0</v>
      </c>
      <c r="S191" s="146">
        <f>R191-P191</f>
        <v>0</v>
      </c>
      <c r="T191" s="20">
        <v>2</v>
      </c>
      <c r="U191" s="20"/>
      <c r="V191" s="143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42">
        <v>300439</v>
      </c>
      <c r="B192" s="135" t="s">
        <v>87</v>
      </c>
      <c r="C192" s="248" t="s">
        <v>312</v>
      </c>
      <c r="D192" s="248" t="s">
        <v>89</v>
      </c>
      <c r="E192" s="148" t="s">
        <v>66</v>
      </c>
      <c r="F192" s="13"/>
      <c r="G192" s="110"/>
      <c r="H192" s="110"/>
      <c r="I192" s="110"/>
      <c r="J192" s="110"/>
      <c r="K192" s="146">
        <f>G192*M192</f>
        <v>0</v>
      </c>
      <c r="L192" s="146">
        <f>I192*M192</f>
        <v>0</v>
      </c>
      <c r="M192" s="146">
        <v>336.6</v>
      </c>
      <c r="N192" s="146">
        <f>+M192*1000/(45*10*18*60)*T192</f>
        <v>1.3851851851851851</v>
      </c>
      <c r="O192" s="146"/>
      <c r="P192" s="146">
        <f>N192*I192+O192*U192</f>
        <v>0</v>
      </c>
      <c r="Q192" s="146"/>
      <c r="R192" s="19">
        <f>Q192*U192</f>
        <v>0</v>
      </c>
      <c r="S192" s="146">
        <f>R192-P192</f>
        <v>0</v>
      </c>
      <c r="T192" s="20">
        <v>2</v>
      </c>
      <c r="U192" s="20"/>
      <c r="V192" s="143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42">
        <v>300440</v>
      </c>
      <c r="B193" s="135" t="s">
        <v>87</v>
      </c>
      <c r="C193" s="248" t="s">
        <v>312</v>
      </c>
      <c r="D193" s="248" t="s">
        <v>89</v>
      </c>
      <c r="E193" s="148" t="s">
        <v>41</v>
      </c>
      <c r="F193" s="13"/>
      <c r="G193" s="110"/>
      <c r="H193" s="110"/>
      <c r="I193" s="110"/>
      <c r="J193" s="110"/>
      <c r="K193" s="146">
        <f>G193*M193</f>
        <v>0</v>
      </c>
      <c r="L193" s="146">
        <f>I193*M193</f>
        <v>0</v>
      </c>
      <c r="M193" s="146">
        <v>336.6</v>
      </c>
      <c r="N193" s="146">
        <f>+M193*1000/(45*10*18*60)*T193</f>
        <v>1.3851851851851851</v>
      </c>
      <c r="O193" s="146"/>
      <c r="P193" s="146">
        <f>N193*I193+O193*U193</f>
        <v>0</v>
      </c>
      <c r="Q193" s="146"/>
      <c r="R193" s="19">
        <f>Q193*U193</f>
        <v>0</v>
      </c>
      <c r="S193" s="146">
        <f>R193-P193</f>
        <v>0</v>
      </c>
      <c r="T193" s="20">
        <v>2</v>
      </c>
      <c r="U193" s="20"/>
      <c r="V193" s="143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42">
        <v>300441</v>
      </c>
      <c r="B194" s="135" t="s">
        <v>87</v>
      </c>
      <c r="C194" s="248" t="s">
        <v>312</v>
      </c>
      <c r="D194" s="248" t="s">
        <v>89</v>
      </c>
      <c r="E194" s="148" t="s">
        <v>37</v>
      </c>
      <c r="F194" s="13"/>
      <c r="G194" s="110"/>
      <c r="H194" s="110"/>
      <c r="I194" s="110"/>
      <c r="J194" s="110"/>
      <c r="K194" s="146">
        <f>G194*M194</f>
        <v>0</v>
      </c>
      <c r="L194" s="146">
        <f>I194*M194</f>
        <v>0</v>
      </c>
      <c r="M194" s="146">
        <v>336.6</v>
      </c>
      <c r="N194" s="146">
        <f>+M194*1000/(45*10*18*60)*T194</f>
        <v>1.3851851851851851</v>
      </c>
      <c r="O194" s="146"/>
      <c r="P194" s="146">
        <f>N194*I194+O194*U194</f>
        <v>0</v>
      </c>
      <c r="Q194" s="146"/>
      <c r="R194" s="19">
        <f>Q194*U194</f>
        <v>0</v>
      </c>
      <c r="S194" s="146">
        <f>R194-P194</f>
        <v>0</v>
      </c>
      <c r="T194" s="20">
        <v>2</v>
      </c>
      <c r="U194" s="20"/>
      <c r="V194" s="143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39">
        <v>300406</v>
      </c>
      <c r="B195" s="135" t="s">
        <v>171</v>
      </c>
      <c r="C195" s="259" t="s">
        <v>172</v>
      </c>
      <c r="D195" s="260"/>
      <c r="E195" s="150" t="s">
        <v>149</v>
      </c>
      <c r="F195" s="27"/>
      <c r="G195" s="67"/>
      <c r="H195" s="67"/>
      <c r="I195" s="110"/>
      <c r="J195" s="110"/>
      <c r="K195" s="136">
        <f t="shared" ref="K195:K198" si="23">G195*M195</f>
        <v>0</v>
      </c>
      <c r="L195" s="146">
        <f t="shared" ref="L195:L198" si="24">I195*M195</f>
        <v>0</v>
      </c>
      <c r="M195" s="146">
        <v>628.29999999999995</v>
      </c>
      <c r="N195" s="15">
        <f>+M195*1000/(132*4*18*60)*T195</f>
        <v>5.5090838945005611</v>
      </c>
      <c r="O195" s="146"/>
      <c r="P195" s="146">
        <f t="shared" ref="P195:P198" si="25">N195*I195+O195*U195</f>
        <v>0</v>
      </c>
      <c r="Q195" s="146"/>
      <c r="R195" s="19">
        <f t="shared" ref="R195:R198" si="26">Q195*U195</f>
        <v>0</v>
      </c>
      <c r="S195" s="146">
        <f t="shared" ref="S195:S198" si="27">R195-P195</f>
        <v>0</v>
      </c>
      <c r="T195" s="20">
        <v>5</v>
      </c>
      <c r="U195" s="20"/>
      <c r="V195" s="143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39">
        <v>300407</v>
      </c>
      <c r="B196" s="135" t="s">
        <v>171</v>
      </c>
      <c r="C196" s="259" t="s">
        <v>172</v>
      </c>
      <c r="D196" s="260"/>
      <c r="E196" s="150" t="s">
        <v>173</v>
      </c>
      <c r="F196" s="27"/>
      <c r="G196" s="67"/>
      <c r="H196" s="67"/>
      <c r="I196" s="110"/>
      <c r="J196" s="110"/>
      <c r="K196" s="136">
        <f t="shared" si="23"/>
        <v>0</v>
      </c>
      <c r="L196" s="146">
        <f t="shared" si="24"/>
        <v>0</v>
      </c>
      <c r="M196" s="146">
        <v>628.29999999999995</v>
      </c>
      <c r="N196" s="15">
        <f>+M196*1000/(132*4*18*60)*T196</f>
        <v>5.5090838945005611</v>
      </c>
      <c r="O196" s="146"/>
      <c r="P196" s="146">
        <f t="shared" si="25"/>
        <v>0</v>
      </c>
      <c r="Q196" s="146"/>
      <c r="R196" s="19">
        <f t="shared" si="26"/>
        <v>0</v>
      </c>
      <c r="S196" s="146">
        <f t="shared" si="27"/>
        <v>0</v>
      </c>
      <c r="T196" s="20">
        <v>5</v>
      </c>
      <c r="U196" s="20"/>
      <c r="V196" s="143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39">
        <v>300408</v>
      </c>
      <c r="B197" s="135" t="s">
        <v>171</v>
      </c>
      <c r="C197" s="259" t="s">
        <v>172</v>
      </c>
      <c r="D197" s="260"/>
      <c r="E197" s="150" t="s">
        <v>41</v>
      </c>
      <c r="F197" s="27"/>
      <c r="G197" s="67"/>
      <c r="H197" s="67"/>
      <c r="I197" s="110"/>
      <c r="J197" s="110"/>
      <c r="K197" s="136">
        <f t="shared" si="23"/>
        <v>0</v>
      </c>
      <c r="L197" s="146">
        <f t="shared" si="24"/>
        <v>0</v>
      </c>
      <c r="M197" s="146">
        <v>628.29999999999995</v>
      </c>
      <c r="N197" s="15">
        <f>+M197*1000/(132*4*18*60)*T197</f>
        <v>5.5090838945005611</v>
      </c>
      <c r="O197" s="146"/>
      <c r="P197" s="146">
        <f t="shared" si="25"/>
        <v>0</v>
      </c>
      <c r="Q197" s="146"/>
      <c r="R197" s="19">
        <f t="shared" si="26"/>
        <v>0</v>
      </c>
      <c r="S197" s="146">
        <f t="shared" si="27"/>
        <v>0</v>
      </c>
      <c r="T197" s="20">
        <v>5</v>
      </c>
      <c r="U197" s="20"/>
      <c r="V197" s="143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39">
        <v>300409</v>
      </c>
      <c r="B198" s="135" t="s">
        <v>171</v>
      </c>
      <c r="C198" s="259" t="s">
        <v>172</v>
      </c>
      <c r="D198" s="260"/>
      <c r="E198" s="150" t="s">
        <v>174</v>
      </c>
      <c r="F198" s="27"/>
      <c r="G198" s="67"/>
      <c r="H198" s="67"/>
      <c r="I198" s="110"/>
      <c r="J198" s="110"/>
      <c r="K198" s="136">
        <f t="shared" si="23"/>
        <v>0</v>
      </c>
      <c r="L198" s="146">
        <f t="shared" si="24"/>
        <v>0</v>
      </c>
      <c r="M198" s="146">
        <v>628.29999999999995</v>
      </c>
      <c r="N198" s="15">
        <f>+M198*1000/(132*4*18*60)*T198</f>
        <v>5.5090838945005611</v>
      </c>
      <c r="O198" s="146"/>
      <c r="P198" s="146">
        <f t="shared" si="25"/>
        <v>0</v>
      </c>
      <c r="Q198" s="146"/>
      <c r="R198" s="19">
        <f t="shared" si="26"/>
        <v>0</v>
      </c>
      <c r="S198" s="146">
        <f t="shared" si="27"/>
        <v>0</v>
      </c>
      <c r="T198" s="20">
        <v>5</v>
      </c>
      <c r="U198" s="20"/>
      <c r="V198" s="143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46">
        <f t="array" ref="G199">SUM(IF(ISERROR(G6:G198),“”,G6:G198))</f>
        <v>18.25</v>
      </c>
      <c r="H199" s="146">
        <f t="array" ref="H199">SUM(IF(ISERROR(H6:H198),“”,H6:H198))</f>
        <v>0</v>
      </c>
      <c r="I199" s="146">
        <f t="array" ref="I199">SUM(IF(ISERROR(I6:I198),“”,I6:I198))</f>
        <v>18.25</v>
      </c>
      <c r="J199" s="146">
        <f t="array" ref="J199">SUM(IF(ISERROR(J6:J198),“”,J6:J198))</f>
        <v>450</v>
      </c>
      <c r="K199" s="146">
        <f t="array" ref="K199">SUM(IF(ISERROR(K6:K198),“”,K6:K198))</f>
        <v>7863.9249999999993</v>
      </c>
      <c r="L199" s="56">
        <f>SUM(L6:L198)</f>
        <v>7863.9249999999993</v>
      </c>
      <c r="M199" s="146"/>
      <c r="N199" s="146"/>
      <c r="O199" s="146">
        <f>SUM(O6:O190)</f>
        <v>0</v>
      </c>
      <c r="P199" s="56">
        <f>SUM((P6:P190),(W204:X209))</f>
        <v>188.1815134099617</v>
      </c>
      <c r="Q199" s="146"/>
      <c r="R199" s="56">
        <f>SUM((R6:R190),(Y204:Z209))</f>
        <v>253</v>
      </c>
      <c r="S199" s="146">
        <f t="array" ref="S199">SUM(IF(ISERROR(S6:S198),“”,S6:S198))</f>
        <v>9.8184865900383045</v>
      </c>
      <c r="T199" s="146"/>
      <c r="U199" s="146"/>
      <c r="V199" s="143">
        <f>IF(ISERROR(L199/K199),"",L199/K199)</f>
        <v>1</v>
      </c>
      <c r="W199" s="146">
        <f t="array" ref="W199">SUM(IF(ISERROR(W6:W198),“”,W6:W198))</f>
        <v>0</v>
      </c>
      <c r="X199" s="146">
        <f t="array" ref="X199">SUM(IF(ISERROR(X6:X198),“”,X6:X198))</f>
        <v>0</v>
      </c>
      <c r="Y199" s="146">
        <f t="array" ref="Y199">SUM(IF(ISERROR(Y6:Y198),“”,Y6:Y198))</f>
        <v>0</v>
      </c>
      <c r="Z199" s="146">
        <f t="array" ref="Z199">SUM(IF(ISERROR(Z6:Z198),“”,Z6:Z198))</f>
        <v>0</v>
      </c>
      <c r="AA199" s="146">
        <f t="array" ref="AA199">SUM(IF(ISERROR(AA6:AA198),“”,AA6:AA198))</f>
        <v>0</v>
      </c>
      <c r="AB199" s="146">
        <f t="array" ref="AB199">SUM(IF(ISERROR(AB6:AB198),“”,AB6:AB198))</f>
        <v>0</v>
      </c>
      <c r="AC199" s="146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0.74380044826071812</v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1686</v>
      </c>
      <c r="F203" s="279"/>
      <c r="G203" s="279">
        <v>1686</v>
      </c>
      <c r="H203" s="279"/>
      <c r="I203" s="279">
        <f>G203-E203</f>
        <v>0</v>
      </c>
      <c r="J203" s="279"/>
      <c r="K203" s="281">
        <f t="array" ref="K203">IF(ISERROR(I203/E203),"",I203/E203)</f>
        <v>0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8</v>
      </c>
      <c r="T203" s="284"/>
      <c r="U203" s="284">
        <v>9</v>
      </c>
      <c r="V203" s="284"/>
      <c r="W203" s="283">
        <f t="shared" ref="W203:W210" si="28">S203*11</f>
        <v>88</v>
      </c>
      <c r="X203" s="283"/>
      <c r="Y203" s="283">
        <f t="shared" ref="Y203:Y210" si="29">U203*11</f>
        <v>99</v>
      </c>
      <c r="Z203" s="283"/>
      <c r="AA203" s="283">
        <f t="shared" ref="AA203:AA210" si="30">Y203-W203</f>
        <v>11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2</v>
      </c>
      <c r="T204" s="284"/>
      <c r="U204" s="284">
        <v>3</v>
      </c>
      <c r="V204" s="284"/>
      <c r="W204" s="283">
        <f t="shared" si="28"/>
        <v>22</v>
      </c>
      <c r="X204" s="283"/>
      <c r="Y204" s="283">
        <f t="shared" si="29"/>
        <v>33</v>
      </c>
      <c r="Z204" s="283"/>
      <c r="AA204" s="283">
        <f t="shared" si="30"/>
        <v>11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8"/>
        <v>8.25</v>
      </c>
      <c r="X205" s="283"/>
      <c r="Y205" s="283">
        <f t="shared" si="29"/>
        <v>0</v>
      </c>
      <c r="Z205" s="283"/>
      <c r="AA205" s="283">
        <f t="shared" si="30"/>
        <v>-8.25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44">
        <v>5</v>
      </c>
      <c r="G206" s="285">
        <v>149028</v>
      </c>
      <c r="H206" s="286"/>
      <c r="I206" s="325">
        <v>148956</v>
      </c>
      <c r="J206" s="326"/>
      <c r="K206" s="289">
        <f>G206-I206</f>
        <v>72</v>
      </c>
      <c r="L206" s="289"/>
      <c r="M206" s="290">
        <f t="array" ref="M206">IF(ISERROR(K206/L199),"",K206/(L199/1000))</f>
        <v>9.1557333011187172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0</v>
      </c>
      <c r="V206" s="284"/>
      <c r="W206" s="283">
        <f t="shared" si="28"/>
        <v>8.25</v>
      </c>
      <c r="X206" s="283"/>
      <c r="Y206" s="283">
        <f t="shared" si="29"/>
        <v>0</v>
      </c>
      <c r="Z206" s="283"/>
      <c r="AA206" s="283">
        <f t="shared" si="30"/>
        <v>-8.25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44">
        <v>105</v>
      </c>
      <c r="G207" s="285">
        <f>28535.9*120+44821.9*60</f>
        <v>6113622</v>
      </c>
      <c r="H207" s="286"/>
      <c r="I207" s="325">
        <v>6112548</v>
      </c>
      <c r="J207" s="326"/>
      <c r="K207" s="289">
        <f>G207-I207</f>
        <v>1074</v>
      </c>
      <c r="L207" s="289"/>
      <c r="M207" s="290">
        <f t="array" ref="M207">IF(ISERROR(K207/L199),"",K207/(L199/1000))</f>
        <v>136.57302174168754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0</v>
      </c>
      <c r="V207" s="284"/>
      <c r="W207" s="283">
        <f t="shared" si="28"/>
        <v>16.5</v>
      </c>
      <c r="X207" s="283"/>
      <c r="Y207" s="283">
        <f t="shared" si="29"/>
        <v>0</v>
      </c>
      <c r="Z207" s="283"/>
      <c r="AA207" s="283">
        <f t="shared" si="30"/>
        <v>-16.5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44">
        <v>0.55000000000000004</v>
      </c>
      <c r="G208" s="285">
        <f>+I208+10</f>
        <v>27777</v>
      </c>
      <c r="H208" s="286"/>
      <c r="I208" s="285">
        <v>27767</v>
      </c>
      <c r="J208" s="286"/>
      <c r="K208" s="289">
        <f>G208-I208</f>
        <v>10</v>
      </c>
      <c r="L208" s="289"/>
      <c r="M208" s="293">
        <f t="array" ref="M208">IF(ISERROR(K208/L199),"",K208/(L199/1000))</f>
        <v>1.2716296251553774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1.44+1.6/2</f>
        <v>2.2400000000000002</v>
      </c>
      <c r="L209" s="292"/>
      <c r="M209" s="294">
        <f t="array" ref="M209">IF(ISERROR((K209+K210)/L199),"",((K209+K210)*1000)/(L199/1000))</f>
        <v>284.84503603480454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10</v>
      </c>
      <c r="V209" s="284"/>
      <c r="W209" s="283">
        <f t="shared" si="28"/>
        <v>33</v>
      </c>
      <c r="X209" s="283"/>
      <c r="Y209" s="283">
        <f t="shared" si="29"/>
        <v>110</v>
      </c>
      <c r="Z209" s="283"/>
      <c r="AA209" s="283">
        <f t="shared" si="30"/>
        <v>77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17</v>
      </c>
      <c r="T210" s="284"/>
      <c r="U210" s="284">
        <f>SUM(U203:V209)</f>
        <v>23</v>
      </c>
      <c r="V210" s="284"/>
      <c r="W210" s="283">
        <f t="shared" si="28"/>
        <v>187</v>
      </c>
      <c r="X210" s="283"/>
      <c r="Y210" s="283">
        <f t="shared" si="29"/>
        <v>253</v>
      </c>
      <c r="Z210" s="283"/>
      <c r="AA210" s="283">
        <f t="shared" si="30"/>
        <v>66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4.4642857142857135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31.08270750988142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35" t="s">
        <v>25</v>
      </c>
      <c r="S214" s="249"/>
      <c r="T214" s="251"/>
      <c r="U214" s="251"/>
      <c r="V214" s="253"/>
      <c r="W214" s="135" t="s">
        <v>26</v>
      </c>
      <c r="X214" s="18" t="s">
        <v>27</v>
      </c>
      <c r="Y214" s="18" t="s">
        <v>28</v>
      </c>
      <c r="Z214" s="135" t="s">
        <v>29</v>
      </c>
      <c r="AA214" s="18" t="s">
        <v>30</v>
      </c>
      <c r="AB214" s="18" t="s">
        <v>31</v>
      </c>
      <c r="AC214" s="135" t="s">
        <v>32</v>
      </c>
    </row>
    <row r="215" spans="1:29" ht="21.95" hidden="1" customHeight="1">
      <c r="A215" s="142">
        <v>300320</v>
      </c>
      <c r="B215" s="135" t="s">
        <v>33</v>
      </c>
      <c r="C215" s="261" t="s">
        <v>34</v>
      </c>
      <c r="D215" s="261"/>
      <c r="E215" s="148" t="s">
        <v>35</v>
      </c>
      <c r="F215" s="13"/>
      <c r="G215" s="146"/>
      <c r="H215" s="146"/>
      <c r="I215" s="146"/>
      <c r="J215" s="146"/>
      <c r="K215" s="146">
        <f t="shared" ref="K215:K285" si="31">G215*M215</f>
        <v>0</v>
      </c>
      <c r="L215" s="146">
        <f t="shared" ref="L215:L285" si="32">I215*M215</f>
        <v>0</v>
      </c>
      <c r="M215" s="146">
        <v>633.6</v>
      </c>
      <c r="N215" s="146">
        <f t="shared" ref="N215:N222" si="33">+M215*1000/(28.3*10*40*60)*T215</f>
        <v>4.6643109540636036</v>
      </c>
      <c r="O215" s="146"/>
      <c r="P215" s="146">
        <f t="shared" ref="P215:P285" si="34">N215*I215+O215*U215</f>
        <v>0</v>
      </c>
      <c r="Q215" s="146"/>
      <c r="R215" s="19">
        <f t="shared" ref="R215:R285" si="35">Q215*U215</f>
        <v>0</v>
      </c>
      <c r="S215" s="146">
        <f t="shared" ref="S215:S285" si="36">R215-P215</f>
        <v>0</v>
      </c>
      <c r="T215" s="20">
        <v>5</v>
      </c>
      <c r="U215" s="20"/>
      <c r="V215" s="143" t="str">
        <f t="array" ref="V215">IF(ISERROR(L215/K215),"",L215/K215)</f>
        <v/>
      </c>
      <c r="W215" s="20"/>
      <c r="X215" s="135"/>
      <c r="Y215" s="135"/>
      <c r="Z215" s="147"/>
      <c r="AA215" s="20"/>
      <c r="AB215" s="20"/>
      <c r="AC215" s="20"/>
    </row>
    <row r="216" spans="1:29" s="2" customFormat="1" ht="21.95" hidden="1" customHeight="1">
      <c r="A216" s="142">
        <v>300318</v>
      </c>
      <c r="B216" s="145" t="s">
        <v>33</v>
      </c>
      <c r="C216" s="314" t="s">
        <v>34</v>
      </c>
      <c r="D216" s="314"/>
      <c r="E216" s="48" t="s">
        <v>36</v>
      </c>
      <c r="F216" s="147"/>
      <c r="G216" s="146"/>
      <c r="H216" s="146"/>
      <c r="I216" s="146"/>
      <c r="J216" s="146"/>
      <c r="K216" s="146">
        <f t="shared" si="31"/>
        <v>0</v>
      </c>
      <c r="L216" s="146">
        <f t="shared" si="32"/>
        <v>0</v>
      </c>
      <c r="M216" s="146">
        <v>633.6</v>
      </c>
      <c r="N216" s="146">
        <f t="shared" si="33"/>
        <v>3.7314487632508833</v>
      </c>
      <c r="O216" s="146"/>
      <c r="P216" s="146">
        <f t="shared" si="34"/>
        <v>0</v>
      </c>
      <c r="Q216" s="146"/>
      <c r="R216" s="19">
        <f t="shared" si="35"/>
        <v>0</v>
      </c>
      <c r="S216" s="146">
        <f t="shared" si="36"/>
        <v>0</v>
      </c>
      <c r="T216" s="20">
        <v>4</v>
      </c>
      <c r="U216" s="20"/>
      <c r="V216" s="143" t="str">
        <f t="array" ref="V216">IF(ISERROR(L216/K216),"",L216/K216)</f>
        <v/>
      </c>
      <c r="W216" s="20"/>
      <c r="X216" s="135"/>
      <c r="Y216" s="135"/>
      <c r="Z216" s="147"/>
      <c r="AA216" s="20"/>
      <c r="AB216" s="20"/>
      <c r="AC216" s="20"/>
    </row>
    <row r="217" spans="1:29" s="2" customFormat="1" ht="21.95" hidden="1" customHeight="1">
      <c r="A217" s="142">
        <v>300319</v>
      </c>
      <c r="B217" s="145" t="s">
        <v>33</v>
      </c>
      <c r="C217" s="314" t="s">
        <v>34</v>
      </c>
      <c r="D217" s="314"/>
      <c r="E217" s="48" t="s">
        <v>37</v>
      </c>
      <c r="F217" s="147"/>
      <c r="G217" s="146"/>
      <c r="H217" s="146"/>
      <c r="I217" s="146"/>
      <c r="J217" s="146"/>
      <c r="K217" s="146">
        <f t="shared" si="31"/>
        <v>0</v>
      </c>
      <c r="L217" s="146">
        <f t="shared" si="32"/>
        <v>0</v>
      </c>
      <c r="M217" s="146">
        <v>633.6</v>
      </c>
      <c r="N217" s="146">
        <f t="shared" si="33"/>
        <v>3.7314487632508833</v>
      </c>
      <c r="O217" s="146"/>
      <c r="P217" s="146">
        <f t="shared" si="34"/>
        <v>0</v>
      </c>
      <c r="Q217" s="146"/>
      <c r="R217" s="19">
        <f t="shared" si="35"/>
        <v>0</v>
      </c>
      <c r="S217" s="146">
        <f t="shared" si="36"/>
        <v>0</v>
      </c>
      <c r="T217" s="20">
        <v>4</v>
      </c>
      <c r="U217" s="20"/>
      <c r="V217" s="143" t="str">
        <f t="array" ref="V217">IF(ISERROR(L217/K217),"",L217/K217)</f>
        <v/>
      </c>
      <c r="W217" s="20"/>
      <c r="X217" s="135"/>
      <c r="Y217" s="135"/>
      <c r="Z217" s="147"/>
      <c r="AA217" s="20"/>
      <c r="AB217" s="20"/>
      <c r="AC217" s="20"/>
    </row>
    <row r="218" spans="1:29" s="2" customFormat="1" ht="21.95" hidden="1" customHeight="1">
      <c r="A218" s="142">
        <v>300316</v>
      </c>
      <c r="B218" s="145" t="s">
        <v>33</v>
      </c>
      <c r="C218" s="314" t="s">
        <v>34</v>
      </c>
      <c r="D218" s="314"/>
      <c r="E218" s="48" t="s">
        <v>38</v>
      </c>
      <c r="F218" s="147"/>
      <c r="G218" s="146"/>
      <c r="H218" s="146"/>
      <c r="I218" s="146"/>
      <c r="J218" s="146"/>
      <c r="K218" s="146">
        <f t="shared" si="31"/>
        <v>0</v>
      </c>
      <c r="L218" s="146">
        <f t="shared" si="32"/>
        <v>0</v>
      </c>
      <c r="M218" s="146">
        <v>616</v>
      </c>
      <c r="N218" s="146">
        <f t="shared" si="33"/>
        <v>3.6277974087161367</v>
      </c>
      <c r="O218" s="146"/>
      <c r="P218" s="146">
        <f t="shared" si="34"/>
        <v>0</v>
      </c>
      <c r="Q218" s="146"/>
      <c r="R218" s="19">
        <f t="shared" si="35"/>
        <v>0</v>
      </c>
      <c r="S218" s="146">
        <f t="shared" si="36"/>
        <v>0</v>
      </c>
      <c r="T218" s="20">
        <v>4</v>
      </c>
      <c r="U218" s="20"/>
      <c r="V218" s="143" t="str">
        <f t="array" ref="V218">IF(ISERROR(L218/K218),"",L218/K218)</f>
        <v/>
      </c>
      <c r="W218" s="20"/>
      <c r="X218" s="135"/>
      <c r="Y218" s="135"/>
      <c r="Z218" s="147"/>
      <c r="AA218" s="20"/>
      <c r="AB218" s="20"/>
      <c r="AC218" s="20"/>
    </row>
    <row r="219" spans="1:29" s="2" customFormat="1" ht="21.95" hidden="1" customHeight="1">
      <c r="A219" s="142">
        <v>300317</v>
      </c>
      <c r="B219" s="145" t="s">
        <v>33</v>
      </c>
      <c r="C219" s="314" t="s">
        <v>34</v>
      </c>
      <c r="D219" s="314"/>
      <c r="E219" s="48" t="s">
        <v>39</v>
      </c>
      <c r="F219" s="147"/>
      <c r="G219" s="146"/>
      <c r="H219" s="146"/>
      <c r="I219" s="146"/>
      <c r="J219" s="146"/>
      <c r="K219" s="146">
        <f t="shared" si="31"/>
        <v>0</v>
      </c>
      <c r="L219" s="146">
        <f t="shared" si="32"/>
        <v>0</v>
      </c>
      <c r="M219" s="146">
        <v>616</v>
      </c>
      <c r="N219" s="146">
        <f t="shared" si="33"/>
        <v>3.6277974087161367</v>
      </c>
      <c r="O219" s="146"/>
      <c r="P219" s="146">
        <f t="shared" si="34"/>
        <v>0</v>
      </c>
      <c r="Q219" s="146"/>
      <c r="R219" s="19">
        <f t="shared" si="35"/>
        <v>0</v>
      </c>
      <c r="S219" s="146">
        <f t="shared" si="36"/>
        <v>0</v>
      </c>
      <c r="T219" s="20">
        <v>4</v>
      </c>
      <c r="U219" s="20"/>
      <c r="V219" s="143" t="str">
        <f t="array" ref="V219">IF(ISERROR(L219/K219),"",L219/K219)</f>
        <v/>
      </c>
      <c r="W219" s="20"/>
      <c r="X219" s="135"/>
      <c r="Y219" s="135"/>
      <c r="Z219" s="147"/>
      <c r="AA219" s="20"/>
      <c r="AB219" s="20"/>
      <c r="AC219" s="20"/>
    </row>
    <row r="220" spans="1:29" s="2" customFormat="1" ht="21.95" hidden="1" customHeight="1">
      <c r="A220" s="142">
        <v>300315</v>
      </c>
      <c r="B220" s="145" t="s">
        <v>33</v>
      </c>
      <c r="C220" s="314" t="s">
        <v>34</v>
      </c>
      <c r="D220" s="314"/>
      <c r="E220" s="48" t="s">
        <v>40</v>
      </c>
      <c r="F220" s="147"/>
      <c r="G220" s="146"/>
      <c r="H220" s="146"/>
      <c r="I220" s="146"/>
      <c r="J220" s="146"/>
      <c r="K220" s="146">
        <f t="shared" si="31"/>
        <v>0</v>
      </c>
      <c r="L220" s="146">
        <f t="shared" si="32"/>
        <v>0</v>
      </c>
      <c r="M220" s="146">
        <v>616</v>
      </c>
      <c r="N220" s="146">
        <f t="shared" si="33"/>
        <v>3.6277974087161367</v>
      </c>
      <c r="O220" s="146"/>
      <c r="P220" s="146">
        <f t="shared" si="34"/>
        <v>0</v>
      </c>
      <c r="Q220" s="146"/>
      <c r="R220" s="19">
        <f t="shared" si="35"/>
        <v>0</v>
      </c>
      <c r="S220" s="146">
        <f t="shared" si="36"/>
        <v>0</v>
      </c>
      <c r="T220" s="20">
        <v>4</v>
      </c>
      <c r="U220" s="20"/>
      <c r="V220" s="143" t="str">
        <f t="array" ref="V220">IF(ISERROR(L220/K220),"",L220/K220)</f>
        <v/>
      </c>
      <c r="W220" s="20"/>
      <c r="X220" s="135"/>
      <c r="Y220" s="135"/>
      <c r="Z220" s="147"/>
      <c r="AA220" s="20"/>
      <c r="AB220" s="20"/>
      <c r="AC220" s="20"/>
    </row>
    <row r="221" spans="1:29" s="2" customFormat="1" ht="21.95" hidden="1" customHeight="1">
      <c r="A221" s="142">
        <v>300314</v>
      </c>
      <c r="B221" s="145" t="s">
        <v>33</v>
      </c>
      <c r="C221" s="314" t="s">
        <v>34</v>
      </c>
      <c r="D221" s="314"/>
      <c r="E221" s="48" t="s">
        <v>41</v>
      </c>
      <c r="F221" s="147"/>
      <c r="G221" s="146"/>
      <c r="H221" s="146"/>
      <c r="I221" s="146"/>
      <c r="J221" s="146"/>
      <c r="K221" s="146">
        <f t="shared" si="31"/>
        <v>0</v>
      </c>
      <c r="L221" s="146">
        <f t="shared" si="32"/>
        <v>0</v>
      </c>
      <c r="M221" s="146">
        <v>616</v>
      </c>
      <c r="N221" s="146">
        <f t="shared" si="33"/>
        <v>3.6277974087161367</v>
      </c>
      <c r="O221" s="146"/>
      <c r="P221" s="146">
        <f t="shared" si="34"/>
        <v>0</v>
      </c>
      <c r="Q221" s="146"/>
      <c r="R221" s="19">
        <f t="shared" si="35"/>
        <v>0</v>
      </c>
      <c r="S221" s="146">
        <f t="shared" si="36"/>
        <v>0</v>
      </c>
      <c r="T221" s="20">
        <v>4</v>
      </c>
      <c r="U221" s="20"/>
      <c r="V221" s="143" t="str">
        <f t="array" ref="V221">IF(ISERROR(L221/K221),"",L221/K221)</f>
        <v/>
      </c>
      <c r="W221" s="20"/>
      <c r="X221" s="135"/>
      <c r="Y221" s="135"/>
      <c r="Z221" s="147"/>
      <c r="AA221" s="20"/>
      <c r="AB221" s="20"/>
      <c r="AC221" s="20"/>
    </row>
    <row r="222" spans="1:29" s="2" customFormat="1" ht="21.95" hidden="1" customHeight="1">
      <c r="A222" s="142">
        <v>300313</v>
      </c>
      <c r="B222" s="145" t="s">
        <v>33</v>
      </c>
      <c r="C222" s="314" t="s">
        <v>34</v>
      </c>
      <c r="D222" s="314"/>
      <c r="E222" s="48" t="s">
        <v>42</v>
      </c>
      <c r="F222" s="147"/>
      <c r="G222" s="146"/>
      <c r="H222" s="146"/>
      <c r="I222" s="146"/>
      <c r="J222" s="146"/>
      <c r="K222" s="146">
        <f t="shared" si="31"/>
        <v>0</v>
      </c>
      <c r="L222" s="146">
        <f t="shared" si="32"/>
        <v>0</v>
      </c>
      <c r="M222" s="146">
        <v>616</v>
      </c>
      <c r="N222" s="146">
        <f t="shared" si="33"/>
        <v>3.6277974087161367</v>
      </c>
      <c r="O222" s="146"/>
      <c r="P222" s="146">
        <f t="shared" si="34"/>
        <v>0</v>
      </c>
      <c r="Q222" s="146"/>
      <c r="R222" s="19">
        <f t="shared" si="35"/>
        <v>0</v>
      </c>
      <c r="S222" s="146">
        <f t="shared" si="36"/>
        <v>0</v>
      </c>
      <c r="T222" s="20">
        <v>4</v>
      </c>
      <c r="U222" s="20"/>
      <c r="V222" s="143" t="str">
        <f t="array" ref="V222">IF(ISERROR(L222/K222),"",L222/K222)</f>
        <v/>
      </c>
      <c r="W222" s="20"/>
      <c r="X222" s="135"/>
      <c r="Y222" s="135"/>
      <c r="Z222" s="147"/>
      <c r="AA222" s="20"/>
      <c r="AB222" s="20"/>
      <c r="AC222" s="20"/>
    </row>
    <row r="223" spans="1:29" ht="21.95" hidden="1" customHeight="1">
      <c r="A223" s="142"/>
      <c r="B223" s="135" t="s">
        <v>43</v>
      </c>
      <c r="C223" s="259" t="s">
        <v>313</v>
      </c>
      <c r="D223" s="260"/>
      <c r="E223" s="148" t="s">
        <v>314</v>
      </c>
      <c r="F223" s="13"/>
      <c r="G223" s="110"/>
      <c r="H223" s="110"/>
      <c r="I223" s="110"/>
      <c r="J223" s="110"/>
      <c r="K223" s="146">
        <f t="shared" si="31"/>
        <v>0</v>
      </c>
      <c r="L223" s="146">
        <f t="shared" si="32"/>
        <v>0</v>
      </c>
      <c r="M223" s="146">
        <v>213.4</v>
      </c>
      <c r="N223" s="146">
        <f>+M223*1000/(15.4*10*17*60)*T223</f>
        <v>4.0756302521008401</v>
      </c>
      <c r="O223" s="146"/>
      <c r="P223" s="146">
        <f t="shared" si="34"/>
        <v>0</v>
      </c>
      <c r="Q223" s="146"/>
      <c r="R223" s="19">
        <f t="shared" si="35"/>
        <v>0</v>
      </c>
      <c r="S223" s="146">
        <f t="shared" si="36"/>
        <v>0</v>
      </c>
      <c r="T223" s="20">
        <v>3</v>
      </c>
      <c r="U223" s="20"/>
      <c r="V223" s="143"/>
      <c r="W223" s="20"/>
      <c r="X223" s="135"/>
      <c r="Y223" s="135"/>
      <c r="Z223" s="147"/>
      <c r="AA223" s="20"/>
      <c r="AB223" s="20"/>
      <c r="AC223" s="20"/>
    </row>
    <row r="224" spans="1:29" ht="21.95" hidden="1" customHeight="1">
      <c r="A224" s="142"/>
      <c r="B224" s="135" t="s">
        <v>43</v>
      </c>
      <c r="C224" s="259" t="s">
        <v>313</v>
      </c>
      <c r="D224" s="260"/>
      <c r="E224" s="148" t="s">
        <v>315</v>
      </c>
      <c r="F224" s="13"/>
      <c r="G224" s="110"/>
      <c r="H224" s="110"/>
      <c r="I224" s="110"/>
      <c r="J224" s="110"/>
      <c r="K224" s="146">
        <f t="shared" si="31"/>
        <v>0</v>
      </c>
      <c r="L224" s="146">
        <f t="shared" si="32"/>
        <v>0</v>
      </c>
      <c r="M224" s="146">
        <v>213.4</v>
      </c>
      <c r="N224" s="146">
        <f>+M224*1000/(15.4*10*17*60)*T224</f>
        <v>4.0756302521008401</v>
      </c>
      <c r="O224" s="146"/>
      <c r="P224" s="146">
        <f t="shared" si="34"/>
        <v>0</v>
      </c>
      <c r="Q224" s="146"/>
      <c r="R224" s="19">
        <f t="shared" si="35"/>
        <v>0</v>
      </c>
      <c r="S224" s="146">
        <f t="shared" si="36"/>
        <v>0</v>
      </c>
      <c r="T224" s="20">
        <v>3</v>
      </c>
      <c r="U224" s="20"/>
      <c r="V224" s="143"/>
      <c r="W224" s="20"/>
      <c r="X224" s="135"/>
      <c r="Y224" s="135"/>
      <c r="Z224" s="147"/>
      <c r="AA224" s="20"/>
      <c r="AB224" s="20"/>
      <c r="AC224" s="20"/>
    </row>
    <row r="225" spans="1:29" s="2" customFormat="1" ht="21.95" hidden="1" customHeight="1">
      <c r="A225" s="135">
        <v>300202</v>
      </c>
      <c r="B225" s="135" t="s">
        <v>52</v>
      </c>
      <c r="C225" s="259" t="s">
        <v>44</v>
      </c>
      <c r="D225" s="260"/>
      <c r="E225" s="135" t="s">
        <v>35</v>
      </c>
      <c r="F225" s="147"/>
      <c r="G225" s="146"/>
      <c r="H225" s="146"/>
      <c r="I225" s="146"/>
      <c r="J225" s="146"/>
      <c r="K225" s="146">
        <f t="shared" si="31"/>
        <v>0</v>
      </c>
      <c r="L225" s="146">
        <f t="shared" si="32"/>
        <v>0</v>
      </c>
      <c r="M225" s="146">
        <v>212.4</v>
      </c>
      <c r="N225" s="146">
        <f>+M225*1000/(15.4*10*17*60)*T225</f>
        <v>8.1130634071810537</v>
      </c>
      <c r="O225" s="146"/>
      <c r="P225" s="146">
        <f t="shared" si="34"/>
        <v>0</v>
      </c>
      <c r="Q225" s="146"/>
      <c r="R225" s="19">
        <f t="shared" si="35"/>
        <v>0</v>
      </c>
      <c r="S225" s="146">
        <f t="shared" si="36"/>
        <v>0</v>
      </c>
      <c r="T225" s="20">
        <v>6</v>
      </c>
      <c r="U225" s="20"/>
      <c r="V225" s="143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35">
        <v>300203</v>
      </c>
      <c r="B226" s="135" t="s">
        <v>43</v>
      </c>
      <c r="C226" s="259" t="s">
        <v>44</v>
      </c>
      <c r="D226" s="260"/>
      <c r="E226" s="135" t="s">
        <v>41</v>
      </c>
      <c r="F226" s="147"/>
      <c r="G226" s="146"/>
      <c r="H226" s="146"/>
      <c r="I226" s="146"/>
      <c r="J226" s="146"/>
      <c r="K226" s="146">
        <f t="shared" si="31"/>
        <v>0</v>
      </c>
      <c r="L226" s="146">
        <f t="shared" si="32"/>
        <v>0</v>
      </c>
      <c r="M226" s="146">
        <v>212.4</v>
      </c>
      <c r="N226" s="146">
        <f>+M226*1000/(15.4*10*17*60)*T226</f>
        <v>4.0565317035905268</v>
      </c>
      <c r="O226" s="146"/>
      <c r="P226" s="146">
        <f t="shared" si="34"/>
        <v>0</v>
      </c>
      <c r="Q226" s="146"/>
      <c r="R226" s="19">
        <f t="shared" si="35"/>
        <v>0</v>
      </c>
      <c r="S226" s="146">
        <f t="shared" si="36"/>
        <v>0</v>
      </c>
      <c r="T226" s="20">
        <v>3</v>
      </c>
      <c r="U226" s="20"/>
      <c r="V226" s="143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35">
        <v>300204</v>
      </c>
      <c r="B227" s="135" t="s">
        <v>43</v>
      </c>
      <c r="C227" s="259" t="s">
        <v>44</v>
      </c>
      <c r="D227" s="260"/>
      <c r="E227" s="135" t="s">
        <v>37</v>
      </c>
      <c r="F227" s="147"/>
      <c r="G227" s="146"/>
      <c r="H227" s="146"/>
      <c r="I227" s="146"/>
      <c r="J227" s="146"/>
      <c r="K227" s="146">
        <f t="shared" si="31"/>
        <v>0</v>
      </c>
      <c r="L227" s="146">
        <f t="shared" si="32"/>
        <v>0</v>
      </c>
      <c r="M227" s="146">
        <v>212.4</v>
      </c>
      <c r="N227" s="146">
        <f>+M227*1000/(15.4*10*17*60)*T227</f>
        <v>4.0565317035905268</v>
      </c>
      <c r="O227" s="146"/>
      <c r="P227" s="146">
        <f t="shared" si="34"/>
        <v>0</v>
      </c>
      <c r="Q227" s="146"/>
      <c r="R227" s="19">
        <f t="shared" si="35"/>
        <v>0</v>
      </c>
      <c r="S227" s="146">
        <f t="shared" si="36"/>
        <v>0</v>
      </c>
      <c r="T227" s="20">
        <v>3</v>
      </c>
      <c r="U227" s="20"/>
      <c r="V227" s="143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42">
        <v>300269</v>
      </c>
      <c r="B228" s="135" t="s">
        <v>43</v>
      </c>
      <c r="C228" s="248" t="s">
        <v>45</v>
      </c>
      <c r="D228" s="248"/>
      <c r="E228" s="148"/>
      <c r="F228" s="147"/>
      <c r="G228" s="146"/>
      <c r="H228" s="146"/>
      <c r="I228" s="146"/>
      <c r="J228" s="146"/>
      <c r="K228" s="146">
        <f t="shared" si="31"/>
        <v>0</v>
      </c>
      <c r="L228" s="146">
        <f t="shared" si="32"/>
        <v>0</v>
      </c>
      <c r="M228" s="146">
        <v>209.4</v>
      </c>
      <c r="N228" s="146">
        <f>+M228*1000/(19.4*10*16*60)*T228</f>
        <v>3.3730670103092786</v>
      </c>
      <c r="O228" s="146"/>
      <c r="P228" s="146">
        <f t="shared" si="34"/>
        <v>0</v>
      </c>
      <c r="Q228" s="146"/>
      <c r="R228" s="19">
        <f t="shared" si="35"/>
        <v>0</v>
      </c>
      <c r="S228" s="146">
        <f t="shared" si="36"/>
        <v>0</v>
      </c>
      <c r="T228" s="20">
        <v>3</v>
      </c>
      <c r="U228" s="20"/>
      <c r="V228" s="143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42"/>
      <c r="B229" s="135"/>
      <c r="C229" s="248" t="s">
        <v>46</v>
      </c>
      <c r="D229" s="248"/>
      <c r="E229" s="148" t="s">
        <v>47</v>
      </c>
      <c r="F229" s="147"/>
      <c r="G229" s="146"/>
      <c r="H229" s="146"/>
      <c r="I229" s="146"/>
      <c r="J229" s="146"/>
      <c r="K229" s="146">
        <f t="shared" si="31"/>
        <v>0</v>
      </c>
      <c r="L229" s="146">
        <f t="shared" si="32"/>
        <v>0</v>
      </c>
      <c r="M229" s="146">
        <v>209.9</v>
      </c>
      <c r="N229" s="146">
        <f>+M229*1000/(19*10*16*60)*T229</f>
        <v>3.4523026315789478</v>
      </c>
      <c r="O229" s="146"/>
      <c r="P229" s="146">
        <f t="shared" si="34"/>
        <v>0</v>
      </c>
      <c r="Q229" s="146"/>
      <c r="R229" s="19">
        <f t="shared" si="35"/>
        <v>0</v>
      </c>
      <c r="S229" s="146">
        <f t="shared" si="36"/>
        <v>0</v>
      </c>
      <c r="T229" s="20">
        <v>3</v>
      </c>
      <c r="U229" s="20"/>
      <c r="V229" s="143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42">
        <v>300350</v>
      </c>
      <c r="B230" s="135" t="s">
        <v>43</v>
      </c>
      <c r="C230" s="248" t="s">
        <v>48</v>
      </c>
      <c r="D230" s="248"/>
      <c r="E230" s="148" t="s">
        <v>49</v>
      </c>
      <c r="F230" s="147"/>
      <c r="G230" s="146"/>
      <c r="H230" s="146"/>
      <c r="I230" s="146"/>
      <c r="J230" s="146"/>
      <c r="K230" s="146">
        <f t="shared" si="31"/>
        <v>0</v>
      </c>
      <c r="L230" s="146">
        <f t="shared" si="32"/>
        <v>0</v>
      </c>
      <c r="M230" s="146">
        <v>209.9</v>
      </c>
      <c r="N230" s="146">
        <f>+M230*1000/(19*10*16*60)*T230</f>
        <v>2.3015350877192984</v>
      </c>
      <c r="O230" s="146"/>
      <c r="P230" s="146">
        <f t="shared" si="34"/>
        <v>0</v>
      </c>
      <c r="Q230" s="146"/>
      <c r="R230" s="19">
        <f t="shared" si="35"/>
        <v>0</v>
      </c>
      <c r="S230" s="146">
        <f t="shared" si="36"/>
        <v>0</v>
      </c>
      <c r="T230" s="20">
        <v>2</v>
      </c>
      <c r="U230" s="20"/>
      <c r="V230" s="143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42">
        <v>300113</v>
      </c>
      <c r="B231" s="135" t="s">
        <v>43</v>
      </c>
      <c r="C231" s="248" t="s">
        <v>50</v>
      </c>
      <c r="D231" s="248"/>
      <c r="E231" s="148" t="s">
        <v>40</v>
      </c>
      <c r="F231" s="147"/>
      <c r="G231" s="146"/>
      <c r="H231" s="146"/>
      <c r="I231" s="146"/>
      <c r="J231" s="146"/>
      <c r="K231" s="146">
        <f t="shared" si="31"/>
        <v>0</v>
      </c>
      <c r="L231" s="146">
        <f t="shared" si="32"/>
        <v>0</v>
      </c>
      <c r="M231" s="146">
        <v>210</v>
      </c>
      <c r="N231" s="146">
        <f>M231*1000/(19.2*10*17*60)*T231</f>
        <v>2.1446078431372548</v>
      </c>
      <c r="O231" s="146"/>
      <c r="P231" s="146">
        <f t="shared" si="34"/>
        <v>0</v>
      </c>
      <c r="Q231" s="146"/>
      <c r="R231" s="19">
        <f t="shared" si="35"/>
        <v>0</v>
      </c>
      <c r="S231" s="146">
        <f t="shared" si="36"/>
        <v>0</v>
      </c>
      <c r="T231" s="20">
        <v>2</v>
      </c>
      <c r="U231" s="20"/>
      <c r="V231" s="143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42">
        <v>300114</v>
      </c>
      <c r="B232" s="135" t="s">
        <v>43</v>
      </c>
      <c r="C232" s="248" t="s">
        <v>50</v>
      </c>
      <c r="D232" s="248"/>
      <c r="E232" s="148" t="s">
        <v>42</v>
      </c>
      <c r="F232" s="147"/>
      <c r="G232" s="146"/>
      <c r="H232" s="146"/>
      <c r="I232" s="146"/>
      <c r="J232" s="146"/>
      <c r="K232" s="146">
        <f t="shared" si="31"/>
        <v>0</v>
      </c>
      <c r="L232" s="146">
        <f t="shared" si="32"/>
        <v>0</v>
      </c>
      <c r="M232" s="146">
        <v>210</v>
      </c>
      <c r="N232" s="146">
        <f>M232*1000/(19.2*10*17*60)*T232</f>
        <v>2.1446078431372548</v>
      </c>
      <c r="O232" s="146"/>
      <c r="P232" s="146">
        <f t="shared" si="34"/>
        <v>0</v>
      </c>
      <c r="Q232" s="146"/>
      <c r="R232" s="19">
        <f t="shared" si="35"/>
        <v>0</v>
      </c>
      <c r="S232" s="146">
        <f t="shared" si="36"/>
        <v>0</v>
      </c>
      <c r="T232" s="20">
        <v>2</v>
      </c>
      <c r="U232" s="20"/>
      <c r="V232" s="143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42">
        <v>300115</v>
      </c>
      <c r="B233" s="135" t="s">
        <v>43</v>
      </c>
      <c r="C233" s="248" t="s">
        <v>50</v>
      </c>
      <c r="D233" s="248"/>
      <c r="E233" s="148" t="s">
        <v>41</v>
      </c>
      <c r="F233" s="147"/>
      <c r="G233" s="146"/>
      <c r="H233" s="146"/>
      <c r="I233" s="146"/>
      <c r="J233" s="146"/>
      <c r="K233" s="146">
        <f t="shared" si="31"/>
        <v>0</v>
      </c>
      <c r="L233" s="146">
        <f t="shared" si="32"/>
        <v>0</v>
      </c>
      <c r="M233" s="146">
        <v>210</v>
      </c>
      <c r="N233" s="146">
        <f>M233*1000/(19.2*10*17*60)*T233</f>
        <v>2.1446078431372548</v>
      </c>
      <c r="O233" s="146"/>
      <c r="P233" s="146">
        <f t="shared" si="34"/>
        <v>0</v>
      </c>
      <c r="Q233" s="146"/>
      <c r="R233" s="19">
        <f t="shared" si="35"/>
        <v>0</v>
      </c>
      <c r="S233" s="146">
        <f t="shared" si="36"/>
        <v>0</v>
      </c>
      <c r="T233" s="20">
        <v>2</v>
      </c>
      <c r="U233" s="20"/>
      <c r="V233" s="143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42">
        <v>300011</v>
      </c>
      <c r="B234" s="135" t="s">
        <v>43</v>
      </c>
      <c r="C234" s="248" t="s">
        <v>51</v>
      </c>
      <c r="D234" s="248"/>
      <c r="E234" s="148" t="s">
        <v>40</v>
      </c>
      <c r="F234" s="147"/>
      <c r="G234" s="146"/>
      <c r="H234" s="146"/>
      <c r="I234" s="146"/>
      <c r="J234" s="146"/>
      <c r="K234" s="146">
        <f t="shared" si="31"/>
        <v>0</v>
      </c>
      <c r="L234" s="146">
        <f t="shared" si="32"/>
        <v>0</v>
      </c>
      <c r="M234" s="146">
        <v>524.6</v>
      </c>
      <c r="N234" s="146">
        <f>+M234*1000/(25.4*20*15*60)*T234</f>
        <v>3.4422572178477688</v>
      </c>
      <c r="O234" s="146"/>
      <c r="P234" s="146">
        <f t="shared" si="34"/>
        <v>0</v>
      </c>
      <c r="Q234" s="146"/>
      <c r="R234" s="19">
        <f t="shared" si="35"/>
        <v>0</v>
      </c>
      <c r="S234" s="146">
        <f t="shared" si="36"/>
        <v>0</v>
      </c>
      <c r="T234" s="20">
        <v>3</v>
      </c>
      <c r="U234" s="20"/>
      <c r="V234" s="143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42">
        <v>300012</v>
      </c>
      <c r="B235" s="135" t="s">
        <v>43</v>
      </c>
      <c r="C235" s="248" t="s">
        <v>51</v>
      </c>
      <c r="D235" s="248"/>
      <c r="E235" s="148" t="s">
        <v>41</v>
      </c>
      <c r="F235" s="147"/>
      <c r="G235" s="146"/>
      <c r="H235" s="146"/>
      <c r="I235" s="146"/>
      <c r="J235" s="146"/>
      <c r="K235" s="146">
        <f t="shared" si="31"/>
        <v>0</v>
      </c>
      <c r="L235" s="146">
        <f t="shared" si="32"/>
        <v>0</v>
      </c>
      <c r="M235" s="146">
        <v>524.6</v>
      </c>
      <c r="N235" s="146">
        <f>+M235*1000/(25.4*20*15*60)*T235</f>
        <v>3.4422572178477688</v>
      </c>
      <c r="O235" s="146"/>
      <c r="P235" s="146">
        <f t="shared" si="34"/>
        <v>0</v>
      </c>
      <c r="Q235" s="146"/>
      <c r="R235" s="19">
        <f t="shared" si="35"/>
        <v>0</v>
      </c>
      <c r="S235" s="146">
        <f t="shared" si="36"/>
        <v>0</v>
      </c>
      <c r="T235" s="20">
        <v>3</v>
      </c>
      <c r="U235" s="20"/>
      <c r="V235" s="143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42">
        <v>300013</v>
      </c>
      <c r="B236" s="135" t="s">
        <v>221</v>
      </c>
      <c r="C236" s="248" t="s">
        <v>51</v>
      </c>
      <c r="D236" s="248"/>
      <c r="E236" s="148" t="s">
        <v>42</v>
      </c>
      <c r="F236" s="147"/>
      <c r="G236" s="146"/>
      <c r="H236" s="146"/>
      <c r="I236" s="146"/>
      <c r="J236" s="146"/>
      <c r="K236" s="146">
        <f t="shared" si="31"/>
        <v>0</v>
      </c>
      <c r="L236" s="146">
        <f t="shared" si="32"/>
        <v>0</v>
      </c>
      <c r="M236" s="146">
        <v>524.6</v>
      </c>
      <c r="N236" s="146">
        <f>+M236*1000/(25.4*20*15*60)*T236</f>
        <v>3.4422572178477688</v>
      </c>
      <c r="O236" s="146"/>
      <c r="P236" s="146">
        <f t="shared" si="34"/>
        <v>0</v>
      </c>
      <c r="Q236" s="146"/>
      <c r="R236" s="19">
        <f t="shared" si="35"/>
        <v>0</v>
      </c>
      <c r="S236" s="146">
        <f t="shared" si="36"/>
        <v>0</v>
      </c>
      <c r="T236" s="20">
        <v>3</v>
      </c>
      <c r="U236" s="20"/>
      <c r="V236" s="143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42">
        <v>300016</v>
      </c>
      <c r="B237" s="135" t="s">
        <v>43</v>
      </c>
      <c r="C237" s="248" t="s">
        <v>51</v>
      </c>
      <c r="D237" s="248"/>
      <c r="E237" s="148" t="s">
        <v>38</v>
      </c>
      <c r="F237" s="147"/>
      <c r="G237" s="146"/>
      <c r="H237" s="146"/>
      <c r="I237" s="146"/>
      <c r="J237" s="146"/>
      <c r="K237" s="146">
        <f t="shared" si="31"/>
        <v>0</v>
      </c>
      <c r="L237" s="146">
        <f t="shared" si="32"/>
        <v>0</v>
      </c>
      <c r="M237" s="146">
        <v>524.6</v>
      </c>
      <c r="N237" s="146">
        <f>+M237*1000/(25.4*20*15*60)*T237</f>
        <v>3.4422572178477688</v>
      </c>
      <c r="O237" s="146"/>
      <c r="P237" s="146">
        <f t="shared" si="34"/>
        <v>0</v>
      </c>
      <c r="Q237" s="146"/>
      <c r="R237" s="19">
        <f t="shared" si="35"/>
        <v>0</v>
      </c>
      <c r="S237" s="146">
        <f t="shared" si="36"/>
        <v>0</v>
      </c>
      <c r="T237" s="20">
        <v>3</v>
      </c>
      <c r="U237" s="20"/>
      <c r="V237" s="143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38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42">
        <v>300276</v>
      </c>
      <c r="B239" s="135" t="s">
        <v>43</v>
      </c>
      <c r="C239" s="248" t="s">
        <v>53</v>
      </c>
      <c r="D239" s="248"/>
      <c r="E239" s="148" t="s">
        <v>41</v>
      </c>
      <c r="F239" s="13"/>
      <c r="G239" s="110"/>
      <c r="H239" s="110"/>
      <c r="I239" s="110"/>
      <c r="J239" s="110"/>
      <c r="K239" s="146">
        <f t="shared" si="31"/>
        <v>0</v>
      </c>
      <c r="L239" s="146">
        <f t="shared" si="32"/>
        <v>0</v>
      </c>
      <c r="M239" s="15">
        <v>266</v>
      </c>
      <c r="N239" s="146">
        <f>+M239*1000/(29.8*10*13*60)*T239</f>
        <v>3.4331440371708828</v>
      </c>
      <c r="O239" s="146"/>
      <c r="P239" s="146">
        <f t="shared" si="34"/>
        <v>0</v>
      </c>
      <c r="Q239" s="146"/>
      <c r="R239" s="19">
        <f t="shared" si="35"/>
        <v>0</v>
      </c>
      <c r="S239" s="146">
        <f t="shared" si="36"/>
        <v>0</v>
      </c>
      <c r="T239" s="20">
        <v>3</v>
      </c>
      <c r="U239" s="20"/>
      <c r="V239" s="143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42">
        <v>300277</v>
      </c>
      <c r="B240" s="135" t="s">
        <v>43</v>
      </c>
      <c r="C240" s="248" t="s">
        <v>53</v>
      </c>
      <c r="D240" s="248"/>
      <c r="E240" s="148" t="s">
        <v>39</v>
      </c>
      <c r="F240" s="13"/>
      <c r="G240" s="110"/>
      <c r="H240" s="110"/>
      <c r="I240" s="110"/>
      <c r="J240" s="110"/>
      <c r="K240" s="146">
        <f t="shared" si="31"/>
        <v>0</v>
      </c>
      <c r="L240" s="146">
        <f t="shared" si="32"/>
        <v>0</v>
      </c>
      <c r="M240" s="15">
        <v>266</v>
      </c>
      <c r="N240" s="146">
        <f>+M240*1000/(29.8*10*13*60)*T240</f>
        <v>3.4331440371708828</v>
      </c>
      <c r="O240" s="146"/>
      <c r="P240" s="146">
        <f t="shared" si="34"/>
        <v>0</v>
      </c>
      <c r="Q240" s="146"/>
      <c r="R240" s="19">
        <f t="shared" si="35"/>
        <v>0</v>
      </c>
      <c r="S240" s="146">
        <f t="shared" si="36"/>
        <v>0</v>
      </c>
      <c r="T240" s="20">
        <v>3</v>
      </c>
      <c r="U240" s="20"/>
      <c r="V240" s="143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42">
        <v>300278</v>
      </c>
      <c r="B241" s="135" t="s">
        <v>43</v>
      </c>
      <c r="C241" s="248" t="s">
        <v>53</v>
      </c>
      <c r="D241" s="248"/>
      <c r="E241" s="148" t="s">
        <v>54</v>
      </c>
      <c r="F241" s="13"/>
      <c r="G241" s="110"/>
      <c r="H241" s="110"/>
      <c r="I241" s="110"/>
      <c r="J241" s="110"/>
      <c r="K241" s="146">
        <f t="shared" si="31"/>
        <v>0</v>
      </c>
      <c r="L241" s="146">
        <f t="shared" si="32"/>
        <v>0</v>
      </c>
      <c r="M241" s="15">
        <v>266</v>
      </c>
      <c r="N241" s="146">
        <f>+M241*1000/(29.8*10*13*60)*T241</f>
        <v>3.4331440371708828</v>
      </c>
      <c r="O241" s="146"/>
      <c r="P241" s="146">
        <f t="shared" si="34"/>
        <v>0</v>
      </c>
      <c r="Q241" s="146"/>
      <c r="R241" s="19">
        <f t="shared" si="35"/>
        <v>0</v>
      </c>
      <c r="S241" s="146">
        <f t="shared" si="36"/>
        <v>0</v>
      </c>
      <c r="T241" s="20">
        <v>3</v>
      </c>
      <c r="U241" s="20"/>
      <c r="V241" s="143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42">
        <v>300027</v>
      </c>
      <c r="B242" s="135" t="s">
        <v>55</v>
      </c>
      <c r="C242" s="248" t="s">
        <v>56</v>
      </c>
      <c r="D242" s="248"/>
      <c r="E242" s="148" t="s">
        <v>54</v>
      </c>
      <c r="F242" s="147"/>
      <c r="G242" s="146"/>
      <c r="H242" s="146"/>
      <c r="I242" s="146"/>
      <c r="J242" s="146"/>
      <c r="K242" s="146">
        <f t="shared" si="31"/>
        <v>0</v>
      </c>
      <c r="L242" s="146">
        <f t="shared" si="32"/>
        <v>0</v>
      </c>
      <c r="M242" s="146">
        <v>550.4</v>
      </c>
      <c r="N242" s="146">
        <f>+M242*1000/(31*20*15*60)*T242</f>
        <v>2.9591397849462364</v>
      </c>
      <c r="O242" s="146"/>
      <c r="P242" s="146">
        <f t="shared" si="34"/>
        <v>0</v>
      </c>
      <c r="Q242" s="146"/>
      <c r="R242" s="19">
        <f t="shared" si="35"/>
        <v>0</v>
      </c>
      <c r="S242" s="146">
        <f t="shared" si="36"/>
        <v>0</v>
      </c>
      <c r="T242" s="20">
        <v>3</v>
      </c>
      <c r="U242" s="20"/>
      <c r="V242" s="143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42">
        <v>300028</v>
      </c>
      <c r="B243" s="135" t="s">
        <v>55</v>
      </c>
      <c r="C243" s="248" t="s">
        <v>56</v>
      </c>
      <c r="D243" s="248"/>
      <c r="E243" s="148" t="s">
        <v>35</v>
      </c>
      <c r="F243" s="147"/>
      <c r="G243" s="146"/>
      <c r="H243" s="146"/>
      <c r="I243" s="146"/>
      <c r="J243" s="146"/>
      <c r="K243" s="146">
        <f t="shared" si="31"/>
        <v>0</v>
      </c>
      <c r="L243" s="146">
        <f t="shared" si="32"/>
        <v>0</v>
      </c>
      <c r="M243" s="146">
        <v>550.4</v>
      </c>
      <c r="N243" s="146">
        <f>+M243*1000/(31*20*15*60)*T243</f>
        <v>2.9591397849462364</v>
      </c>
      <c r="O243" s="146"/>
      <c r="P243" s="146">
        <f t="shared" si="34"/>
        <v>0</v>
      </c>
      <c r="Q243" s="146"/>
      <c r="R243" s="19">
        <f t="shared" si="35"/>
        <v>0</v>
      </c>
      <c r="S243" s="146">
        <f t="shared" si="36"/>
        <v>0</v>
      </c>
      <c r="T243" s="20">
        <v>3</v>
      </c>
      <c r="U243" s="20"/>
      <c r="V243" s="143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42">
        <v>300029</v>
      </c>
      <c r="B244" s="135" t="s">
        <v>55</v>
      </c>
      <c r="C244" s="248" t="s">
        <v>56</v>
      </c>
      <c r="D244" s="248"/>
      <c r="E244" s="148" t="s">
        <v>57</v>
      </c>
      <c r="F244" s="147"/>
      <c r="G244" s="146"/>
      <c r="H244" s="146"/>
      <c r="I244" s="146"/>
      <c r="J244" s="146"/>
      <c r="K244" s="146">
        <f t="shared" si="31"/>
        <v>0</v>
      </c>
      <c r="L244" s="146">
        <f t="shared" si="32"/>
        <v>0</v>
      </c>
      <c r="M244" s="146">
        <v>550.4</v>
      </c>
      <c r="N244" s="146">
        <f>+M244*1000/(31*20*15*60)*T244</f>
        <v>2.9591397849462364</v>
      </c>
      <c r="O244" s="146"/>
      <c r="P244" s="146">
        <f t="shared" si="34"/>
        <v>0</v>
      </c>
      <c r="Q244" s="146"/>
      <c r="R244" s="19">
        <f t="shared" si="35"/>
        <v>0</v>
      </c>
      <c r="S244" s="146">
        <f t="shared" si="36"/>
        <v>0</v>
      </c>
      <c r="T244" s="20">
        <v>3</v>
      </c>
      <c r="U244" s="20"/>
      <c r="V244" s="143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42">
        <v>300026</v>
      </c>
      <c r="B245" s="135" t="s">
        <v>55</v>
      </c>
      <c r="C245" s="248" t="s">
        <v>56</v>
      </c>
      <c r="D245" s="248"/>
      <c r="E245" s="148" t="s">
        <v>37</v>
      </c>
      <c r="F245" s="147"/>
      <c r="G245" s="146"/>
      <c r="H245" s="146"/>
      <c r="I245" s="146"/>
      <c r="J245" s="146"/>
      <c r="K245" s="146">
        <f t="shared" si="31"/>
        <v>0</v>
      </c>
      <c r="L245" s="146">
        <f t="shared" si="32"/>
        <v>0</v>
      </c>
      <c r="M245" s="146">
        <v>550.4</v>
      </c>
      <c r="N245" s="146">
        <f>+M245*1000/(31*20*15*60)*T245</f>
        <v>2.9591397849462364</v>
      </c>
      <c r="O245" s="146"/>
      <c r="P245" s="146">
        <f t="shared" si="34"/>
        <v>0</v>
      </c>
      <c r="Q245" s="146"/>
      <c r="R245" s="19">
        <f t="shared" si="35"/>
        <v>0</v>
      </c>
      <c r="S245" s="146">
        <f t="shared" si="36"/>
        <v>0</v>
      </c>
      <c r="T245" s="20">
        <v>3</v>
      </c>
      <c r="U245" s="20"/>
      <c r="V245" s="143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42">
        <v>300032</v>
      </c>
      <c r="B246" s="135">
        <v>3002</v>
      </c>
      <c r="C246" s="248" t="s">
        <v>58</v>
      </c>
      <c r="D246" s="248" t="s">
        <v>59</v>
      </c>
      <c r="E246" s="148" t="s">
        <v>35</v>
      </c>
      <c r="F246" s="147"/>
      <c r="G246" s="146">
        <v>10.199999999999999</v>
      </c>
      <c r="H246" s="146"/>
      <c r="I246" s="146">
        <f>11-J246/250</f>
        <v>10.199999999999999</v>
      </c>
      <c r="J246" s="146">
        <v>200</v>
      </c>
      <c r="K246" s="146">
        <f t="shared" si="31"/>
        <v>2914.14</v>
      </c>
      <c r="L246" s="146">
        <f t="shared" si="32"/>
        <v>2914.14</v>
      </c>
      <c r="M246" s="146">
        <v>285.7</v>
      </c>
      <c r="N246" s="146">
        <f>+M246*1000/(31*10*13*60)*T246</f>
        <v>7.0893300248138953</v>
      </c>
      <c r="O246" s="146"/>
      <c r="P246" s="146">
        <f t="shared" si="34"/>
        <v>72.311166253101732</v>
      </c>
      <c r="Q246" s="146">
        <v>10.5</v>
      </c>
      <c r="R246" s="19">
        <f t="shared" si="35"/>
        <v>63</v>
      </c>
      <c r="S246" s="146">
        <f t="shared" si="36"/>
        <v>-9.3111662531017316</v>
      </c>
      <c r="T246" s="20">
        <v>6</v>
      </c>
      <c r="U246" s="20">
        <v>6</v>
      </c>
      <c r="V246" s="143">
        <f t="array" ref="V246">IF(ISERROR(L246/K246),"",L246/K246)</f>
        <v>1</v>
      </c>
      <c r="W246" s="20"/>
      <c r="X246" s="20">
        <f>15/60*6</f>
        <v>1.5</v>
      </c>
      <c r="Y246" s="20"/>
      <c r="Z246" s="20"/>
      <c r="AA246" s="20">
        <v>2</v>
      </c>
      <c r="AB246" s="20"/>
      <c r="AC246" s="20"/>
    </row>
    <row r="247" spans="1:29" ht="21.95" hidden="1" customHeight="1">
      <c r="A247" s="142">
        <v>300413</v>
      </c>
      <c r="B247" s="135">
        <v>3002</v>
      </c>
      <c r="C247" s="259" t="s">
        <v>304</v>
      </c>
      <c r="D247" s="260"/>
      <c r="E247" s="148" t="s">
        <v>302</v>
      </c>
      <c r="F247" s="13"/>
      <c r="G247" s="110"/>
      <c r="H247" s="110"/>
      <c r="I247" s="110"/>
      <c r="J247" s="110"/>
      <c r="K247" s="146">
        <f t="shared" si="31"/>
        <v>0</v>
      </c>
      <c r="L247" s="146">
        <f t="shared" si="32"/>
        <v>0</v>
      </c>
      <c r="M247" s="146">
        <v>528.79999999999995</v>
      </c>
      <c r="N247" s="146">
        <f>+M247*1000/(31*10*13*60)*T247</f>
        <v>6.5607940446650126</v>
      </c>
      <c r="O247" s="146"/>
      <c r="P247" s="146">
        <f t="shared" si="34"/>
        <v>0</v>
      </c>
      <c r="Q247" s="146"/>
      <c r="R247" s="19">
        <f t="shared" si="35"/>
        <v>0</v>
      </c>
      <c r="S247" s="146">
        <f t="shared" si="36"/>
        <v>0</v>
      </c>
      <c r="T247" s="20">
        <v>3</v>
      </c>
      <c r="U247" s="20"/>
      <c r="V247" s="143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42">
        <v>300414</v>
      </c>
      <c r="B248" s="135">
        <v>3002</v>
      </c>
      <c r="C248" s="259" t="s">
        <v>304</v>
      </c>
      <c r="D248" s="260"/>
      <c r="E248" s="148" t="s">
        <v>299</v>
      </c>
      <c r="F248" s="13"/>
      <c r="G248" s="110"/>
      <c r="H248" s="110"/>
      <c r="I248" s="110"/>
      <c r="J248" s="110"/>
      <c r="K248" s="146">
        <f t="shared" si="31"/>
        <v>0</v>
      </c>
      <c r="L248" s="146">
        <f t="shared" si="32"/>
        <v>0</v>
      </c>
      <c r="M248" s="146">
        <v>528.79999999999995</v>
      </c>
      <c r="N248" s="146">
        <f>+M248*1000/(31*10*13*60)*T248</f>
        <v>6.5607940446650126</v>
      </c>
      <c r="O248" s="146"/>
      <c r="P248" s="146">
        <f t="shared" si="34"/>
        <v>0</v>
      </c>
      <c r="Q248" s="146"/>
      <c r="R248" s="19">
        <f t="shared" si="35"/>
        <v>0</v>
      </c>
      <c r="S248" s="146">
        <f t="shared" si="36"/>
        <v>0</v>
      </c>
      <c r="T248" s="20">
        <v>3</v>
      </c>
      <c r="U248" s="20"/>
      <c r="V248" s="143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42">
        <v>300415</v>
      </c>
      <c r="B249" s="135">
        <v>3002</v>
      </c>
      <c r="C249" s="259" t="s">
        <v>304</v>
      </c>
      <c r="D249" s="260"/>
      <c r="E249" s="148" t="s">
        <v>303</v>
      </c>
      <c r="F249" s="13"/>
      <c r="G249" s="110"/>
      <c r="H249" s="110"/>
      <c r="I249" s="110"/>
      <c r="J249" s="110"/>
      <c r="K249" s="146">
        <f t="shared" si="31"/>
        <v>0</v>
      </c>
      <c r="L249" s="146">
        <f t="shared" si="32"/>
        <v>0</v>
      </c>
      <c r="M249" s="146">
        <v>528.79999999999995</v>
      </c>
      <c r="N249" s="146">
        <f>+M249*1000/(31*10*13*60)*T249</f>
        <v>6.5607940446650126</v>
      </c>
      <c r="O249" s="146"/>
      <c r="P249" s="146">
        <f t="shared" si="34"/>
        <v>0</v>
      </c>
      <c r="Q249" s="146"/>
      <c r="R249" s="19">
        <f t="shared" si="35"/>
        <v>0</v>
      </c>
      <c r="S249" s="146">
        <f t="shared" si="36"/>
        <v>0</v>
      </c>
      <c r="T249" s="20">
        <v>3</v>
      </c>
      <c r="U249" s="20"/>
      <c r="V249" s="143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42">
        <v>300035</v>
      </c>
      <c r="B250" s="135" t="s">
        <v>60</v>
      </c>
      <c r="C250" s="248" t="s">
        <v>61</v>
      </c>
      <c r="D250" s="248" t="s">
        <v>62</v>
      </c>
      <c r="E250" s="148" t="s">
        <v>35</v>
      </c>
      <c r="F250" s="147"/>
      <c r="G250" s="146"/>
      <c r="H250" s="146"/>
      <c r="I250" s="146"/>
      <c r="J250" s="146"/>
      <c r="K250" s="146">
        <f t="shared" si="31"/>
        <v>0</v>
      </c>
      <c r="L250" s="146">
        <f t="shared" si="32"/>
        <v>0</v>
      </c>
      <c r="M250" s="146">
        <v>366.93</v>
      </c>
      <c r="N250" s="146">
        <f>+M250*1000/(35.8*10*13*60)*T250</f>
        <v>2.6280618822518265</v>
      </c>
      <c r="O250" s="146"/>
      <c r="P250" s="146">
        <f t="shared" si="34"/>
        <v>0</v>
      </c>
      <c r="Q250" s="146"/>
      <c r="R250" s="19">
        <f t="shared" si="35"/>
        <v>0</v>
      </c>
      <c r="S250" s="146">
        <f t="shared" si="36"/>
        <v>0</v>
      </c>
      <c r="T250" s="20">
        <v>2</v>
      </c>
      <c r="U250" s="20"/>
      <c r="V250" s="143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42">
        <v>300036</v>
      </c>
      <c r="B251" s="135" t="s">
        <v>60</v>
      </c>
      <c r="C251" s="248" t="s">
        <v>61</v>
      </c>
      <c r="D251" s="248" t="s">
        <v>62</v>
      </c>
      <c r="E251" s="148" t="s">
        <v>63</v>
      </c>
      <c r="F251" s="147"/>
      <c r="G251" s="146"/>
      <c r="H251" s="146"/>
      <c r="I251" s="146"/>
      <c r="J251" s="146"/>
      <c r="K251" s="146">
        <f t="shared" si="31"/>
        <v>0</v>
      </c>
      <c r="L251" s="146">
        <f t="shared" si="32"/>
        <v>0</v>
      </c>
      <c r="M251" s="146">
        <v>366.93</v>
      </c>
      <c r="N251" s="146">
        <f>+M251*1000/(35.8*10*13*60)*T251</f>
        <v>2.6280618822518265</v>
      </c>
      <c r="O251" s="146"/>
      <c r="P251" s="146">
        <f t="shared" si="34"/>
        <v>0</v>
      </c>
      <c r="Q251" s="146"/>
      <c r="R251" s="19">
        <f t="shared" si="35"/>
        <v>0</v>
      </c>
      <c r="S251" s="146">
        <f t="shared" si="36"/>
        <v>0</v>
      </c>
      <c r="T251" s="20">
        <v>2</v>
      </c>
      <c r="U251" s="20"/>
      <c r="V251" s="143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42">
        <v>300037</v>
      </c>
      <c r="B252" s="135" t="s">
        <v>60</v>
      </c>
      <c r="C252" s="248" t="s">
        <v>61</v>
      </c>
      <c r="D252" s="248" t="s">
        <v>62</v>
      </c>
      <c r="E252" s="148" t="s">
        <v>37</v>
      </c>
      <c r="F252" s="147"/>
      <c r="G252" s="146"/>
      <c r="H252" s="146"/>
      <c r="I252" s="146"/>
      <c r="J252" s="146"/>
      <c r="K252" s="146">
        <f t="shared" si="31"/>
        <v>0</v>
      </c>
      <c r="L252" s="146">
        <f t="shared" si="32"/>
        <v>0</v>
      </c>
      <c r="M252" s="146">
        <v>366.93</v>
      </c>
      <c r="N252" s="146">
        <f>+M252*1000/(35.8*10*13*60)*T252</f>
        <v>2.6280618822518265</v>
      </c>
      <c r="O252" s="146"/>
      <c r="P252" s="146">
        <f t="shared" si="34"/>
        <v>0</v>
      </c>
      <c r="Q252" s="146"/>
      <c r="R252" s="19">
        <f t="shared" si="35"/>
        <v>0</v>
      </c>
      <c r="S252" s="146">
        <f t="shared" si="36"/>
        <v>0</v>
      </c>
      <c r="T252" s="20">
        <v>2</v>
      </c>
      <c r="U252" s="20"/>
      <c r="V252" s="143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42">
        <v>300038</v>
      </c>
      <c r="B253" s="135" t="s">
        <v>60</v>
      </c>
      <c r="C253" s="248" t="s">
        <v>64</v>
      </c>
      <c r="D253" s="248" t="s">
        <v>65</v>
      </c>
      <c r="E253" s="148" t="s">
        <v>35</v>
      </c>
      <c r="F253" s="147"/>
      <c r="G253" s="146"/>
      <c r="H253" s="146"/>
      <c r="I253" s="146"/>
      <c r="J253" s="146"/>
      <c r="K253" s="146">
        <f t="shared" si="31"/>
        <v>0</v>
      </c>
      <c r="L253" s="146">
        <f t="shared" si="32"/>
        <v>0</v>
      </c>
      <c r="M253" s="146">
        <v>301.14</v>
      </c>
      <c r="N253" s="146">
        <f>+M253*1000/(35.8*10*13*60)*T253</f>
        <v>5.3921357971637294</v>
      </c>
      <c r="O253" s="146"/>
      <c r="P253" s="146">
        <f t="shared" si="34"/>
        <v>0</v>
      </c>
      <c r="Q253" s="146"/>
      <c r="R253" s="19">
        <f t="shared" si="35"/>
        <v>0</v>
      </c>
      <c r="S253" s="146">
        <f t="shared" si="36"/>
        <v>0</v>
      </c>
      <c r="T253" s="20">
        <v>5</v>
      </c>
      <c r="U253" s="20"/>
      <c r="V253" s="143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42">
        <v>300039</v>
      </c>
      <c r="B254" s="135" t="s">
        <v>60</v>
      </c>
      <c r="C254" s="248" t="s">
        <v>64</v>
      </c>
      <c r="D254" s="248" t="s">
        <v>65</v>
      </c>
      <c r="E254" s="148" t="s">
        <v>66</v>
      </c>
      <c r="F254" s="147"/>
      <c r="G254" s="146"/>
      <c r="H254" s="146"/>
      <c r="I254" s="146"/>
      <c r="J254" s="146"/>
      <c r="K254" s="146">
        <f t="shared" si="31"/>
        <v>0</v>
      </c>
      <c r="L254" s="146">
        <f t="shared" si="32"/>
        <v>0</v>
      </c>
      <c r="M254" s="146">
        <v>310.39999999999998</v>
      </c>
      <c r="N254" s="146">
        <f>+M254*1000/(35.8*10*13*60)*T254</f>
        <v>5.557942988110586</v>
      </c>
      <c r="O254" s="146"/>
      <c r="P254" s="146">
        <f t="shared" si="34"/>
        <v>0</v>
      </c>
      <c r="Q254" s="146"/>
      <c r="R254" s="19">
        <f t="shared" si="35"/>
        <v>0</v>
      </c>
      <c r="S254" s="146">
        <f t="shared" si="36"/>
        <v>0</v>
      </c>
      <c r="T254" s="20">
        <v>5</v>
      </c>
      <c r="U254" s="20"/>
      <c r="V254" s="143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42">
        <v>300416</v>
      </c>
      <c r="B255" s="135" t="s">
        <v>67</v>
      </c>
      <c r="C255" s="259" t="s">
        <v>68</v>
      </c>
      <c r="D255" s="260"/>
      <c r="E255" s="148" t="s">
        <v>69</v>
      </c>
      <c r="F255" s="147"/>
      <c r="G255" s="14"/>
      <c r="H255" s="14"/>
      <c r="I255" s="14"/>
      <c r="J255" s="14"/>
      <c r="K255" s="146">
        <f t="shared" si="31"/>
        <v>0</v>
      </c>
      <c r="L255" s="146">
        <f t="shared" si="32"/>
        <v>0</v>
      </c>
      <c r="M255" s="146">
        <v>385.6</v>
      </c>
      <c r="N255" s="146">
        <f>+M255*1000/(25.4*20*15*60)*T255</f>
        <v>2.5301837270341205</v>
      </c>
      <c r="O255" s="146"/>
      <c r="P255" s="146">
        <f t="shared" si="34"/>
        <v>0</v>
      </c>
      <c r="Q255" s="146"/>
      <c r="R255" s="19">
        <f t="shared" si="35"/>
        <v>0</v>
      </c>
      <c r="S255" s="146">
        <f t="shared" si="36"/>
        <v>0</v>
      </c>
      <c r="T255" s="20">
        <v>3</v>
      </c>
      <c r="U255" s="20"/>
      <c r="V255" s="143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42">
        <v>300417</v>
      </c>
      <c r="B256" s="135" t="s">
        <v>67</v>
      </c>
      <c r="C256" s="259" t="s">
        <v>68</v>
      </c>
      <c r="D256" s="260"/>
      <c r="E256" s="148" t="s">
        <v>70</v>
      </c>
      <c r="F256" s="147"/>
      <c r="G256" s="14"/>
      <c r="H256" s="14"/>
      <c r="I256" s="14"/>
      <c r="J256" s="14"/>
      <c r="K256" s="146">
        <f t="shared" si="31"/>
        <v>0</v>
      </c>
      <c r="L256" s="146">
        <f t="shared" si="32"/>
        <v>0</v>
      </c>
      <c r="M256" s="146">
        <v>385.6</v>
      </c>
      <c r="N256" s="146">
        <f>+M256*1000/(25.4*20*15*60)*T256</f>
        <v>2.5301837270341205</v>
      </c>
      <c r="O256" s="146"/>
      <c r="P256" s="146">
        <f t="shared" si="34"/>
        <v>0</v>
      </c>
      <c r="Q256" s="146"/>
      <c r="R256" s="19">
        <f t="shared" si="35"/>
        <v>0</v>
      </c>
      <c r="S256" s="146">
        <f t="shared" si="36"/>
        <v>0</v>
      </c>
      <c r="T256" s="20">
        <v>3</v>
      </c>
      <c r="U256" s="20"/>
      <c r="V256" s="143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42">
        <v>300418</v>
      </c>
      <c r="B257" s="135" t="s">
        <v>67</v>
      </c>
      <c r="C257" s="259" t="s">
        <v>68</v>
      </c>
      <c r="D257" s="260"/>
      <c r="E257" s="148" t="s">
        <v>71</v>
      </c>
      <c r="F257" s="147"/>
      <c r="G257" s="14"/>
      <c r="H257" s="14"/>
      <c r="I257" s="14"/>
      <c r="J257" s="14"/>
      <c r="K257" s="146">
        <f t="shared" si="31"/>
        <v>0</v>
      </c>
      <c r="L257" s="146">
        <f t="shared" si="32"/>
        <v>0</v>
      </c>
      <c r="M257" s="146">
        <v>385.6</v>
      </c>
      <c r="N257" s="146">
        <f>+M257*1000/(25.4*20*15*60)*T257</f>
        <v>2.5301837270341205</v>
      </c>
      <c r="O257" s="146"/>
      <c r="P257" s="146">
        <f t="shared" si="34"/>
        <v>0</v>
      </c>
      <c r="Q257" s="146"/>
      <c r="R257" s="19">
        <f t="shared" si="35"/>
        <v>0</v>
      </c>
      <c r="S257" s="146">
        <f t="shared" si="36"/>
        <v>0</v>
      </c>
      <c r="T257" s="20">
        <v>3</v>
      </c>
      <c r="U257" s="20"/>
      <c r="V257" s="143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42">
        <v>300419</v>
      </c>
      <c r="B258" s="135" t="s">
        <v>67</v>
      </c>
      <c r="C258" s="259" t="s">
        <v>68</v>
      </c>
      <c r="D258" s="260"/>
      <c r="E258" s="148" t="s">
        <v>72</v>
      </c>
      <c r="F258" s="147"/>
      <c r="G258" s="14"/>
      <c r="H258" s="14"/>
      <c r="I258" s="14"/>
      <c r="J258" s="14"/>
      <c r="K258" s="146">
        <f t="shared" si="31"/>
        <v>0</v>
      </c>
      <c r="L258" s="146">
        <f t="shared" si="32"/>
        <v>0</v>
      </c>
      <c r="M258" s="146">
        <v>385.6</v>
      </c>
      <c r="N258" s="146">
        <f>+M258*1000/(25.4*20*15*60)*T258</f>
        <v>2.5301837270341205</v>
      </c>
      <c r="O258" s="146"/>
      <c r="P258" s="146">
        <f t="shared" si="34"/>
        <v>0</v>
      </c>
      <c r="Q258" s="146"/>
      <c r="R258" s="19">
        <f t="shared" si="35"/>
        <v>0</v>
      </c>
      <c r="S258" s="146">
        <f t="shared" si="36"/>
        <v>0</v>
      </c>
      <c r="T258" s="20">
        <v>3</v>
      </c>
      <c r="U258" s="20"/>
      <c r="V258" s="143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42">
        <v>300260</v>
      </c>
      <c r="B259" s="135" t="s">
        <v>67</v>
      </c>
      <c r="C259" s="248" t="s">
        <v>73</v>
      </c>
      <c r="D259" s="248"/>
      <c r="E259" s="148" t="s">
        <v>74</v>
      </c>
      <c r="F259" s="147"/>
      <c r="G259" s="146"/>
      <c r="H259" s="146"/>
      <c r="I259" s="146"/>
      <c r="J259" s="146"/>
      <c r="K259" s="146">
        <f t="shared" si="31"/>
        <v>0</v>
      </c>
      <c r="L259" s="146">
        <f t="shared" si="32"/>
        <v>0</v>
      </c>
      <c r="M259" s="146">
        <v>434.33</v>
      </c>
      <c r="N259" s="146">
        <f>+M259*1000/(42.7*10*15*60)*T259</f>
        <v>2.2603695029924538</v>
      </c>
      <c r="O259" s="146"/>
      <c r="P259" s="146">
        <f t="shared" si="34"/>
        <v>0</v>
      </c>
      <c r="Q259" s="146"/>
      <c r="R259" s="19">
        <f t="shared" si="35"/>
        <v>0</v>
      </c>
      <c r="S259" s="146">
        <f t="shared" si="36"/>
        <v>0</v>
      </c>
      <c r="T259" s="20">
        <v>2</v>
      </c>
      <c r="U259" s="20"/>
      <c r="V259" s="143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42">
        <v>300261</v>
      </c>
      <c r="B260" s="135" t="s">
        <v>67</v>
      </c>
      <c r="C260" s="248" t="s">
        <v>73</v>
      </c>
      <c r="D260" s="248"/>
      <c r="E260" s="148" t="s">
        <v>41</v>
      </c>
      <c r="F260" s="147"/>
      <c r="G260" s="146"/>
      <c r="H260" s="146"/>
      <c r="I260" s="146"/>
      <c r="J260" s="146"/>
      <c r="K260" s="146">
        <f t="shared" si="31"/>
        <v>0</v>
      </c>
      <c r="L260" s="146">
        <f t="shared" si="32"/>
        <v>0</v>
      </c>
      <c r="M260" s="146">
        <v>434.33</v>
      </c>
      <c r="N260" s="146">
        <f>+M260*1000/(42.7*10*15*60)*T260</f>
        <v>2.2603695029924538</v>
      </c>
      <c r="O260" s="146"/>
      <c r="P260" s="146">
        <f t="shared" si="34"/>
        <v>0</v>
      </c>
      <c r="Q260" s="146"/>
      <c r="R260" s="19">
        <f t="shared" si="35"/>
        <v>0</v>
      </c>
      <c r="S260" s="146">
        <f t="shared" si="36"/>
        <v>0</v>
      </c>
      <c r="T260" s="20">
        <v>2</v>
      </c>
      <c r="U260" s="20"/>
      <c r="V260" s="143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42">
        <v>300262</v>
      </c>
      <c r="B261" s="135" t="s">
        <v>67</v>
      </c>
      <c r="C261" s="248" t="s">
        <v>73</v>
      </c>
      <c r="D261" s="248"/>
      <c r="E261" s="148" t="s">
        <v>39</v>
      </c>
      <c r="F261" s="147"/>
      <c r="G261" s="146"/>
      <c r="H261" s="146"/>
      <c r="I261" s="146"/>
      <c r="J261" s="146"/>
      <c r="K261" s="146">
        <f t="shared" si="31"/>
        <v>0</v>
      </c>
      <c r="L261" s="146">
        <f t="shared" si="32"/>
        <v>0</v>
      </c>
      <c r="M261" s="146">
        <v>434.33</v>
      </c>
      <c r="N261" s="146">
        <f>+M261*1000/(42.7*10*15*60)*T261</f>
        <v>2.2603695029924538</v>
      </c>
      <c r="O261" s="146"/>
      <c r="P261" s="146">
        <f t="shared" si="34"/>
        <v>0</v>
      </c>
      <c r="Q261" s="146"/>
      <c r="R261" s="19">
        <f t="shared" si="35"/>
        <v>0</v>
      </c>
      <c r="S261" s="146">
        <f t="shared" si="36"/>
        <v>0</v>
      </c>
      <c r="T261" s="20">
        <v>2</v>
      </c>
      <c r="U261" s="20"/>
      <c r="V261" s="143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42">
        <v>300263</v>
      </c>
      <c r="B262" s="135" t="s">
        <v>67</v>
      </c>
      <c r="C262" s="248" t="s">
        <v>73</v>
      </c>
      <c r="D262" s="248"/>
      <c r="E262" s="148" t="s">
        <v>54</v>
      </c>
      <c r="F262" s="147"/>
      <c r="G262" s="146"/>
      <c r="H262" s="146"/>
      <c r="I262" s="146"/>
      <c r="J262" s="146"/>
      <c r="K262" s="146">
        <f t="shared" si="31"/>
        <v>0</v>
      </c>
      <c r="L262" s="146">
        <f t="shared" si="32"/>
        <v>0</v>
      </c>
      <c r="M262" s="146">
        <v>434.33</v>
      </c>
      <c r="N262" s="146">
        <f>+M262*1000/(42.7*10*15*60)*T262</f>
        <v>2.2603695029924538</v>
      </c>
      <c r="O262" s="146"/>
      <c r="P262" s="146">
        <f t="shared" si="34"/>
        <v>0</v>
      </c>
      <c r="Q262" s="146"/>
      <c r="R262" s="19">
        <f t="shared" si="35"/>
        <v>0</v>
      </c>
      <c r="S262" s="146">
        <f t="shared" si="36"/>
        <v>0</v>
      </c>
      <c r="T262" s="20">
        <v>2</v>
      </c>
      <c r="U262" s="20"/>
      <c r="V262" s="143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42">
        <v>300051</v>
      </c>
      <c r="B263" s="135" t="s">
        <v>67</v>
      </c>
      <c r="C263" s="248" t="s">
        <v>75</v>
      </c>
      <c r="D263" s="248" t="s">
        <v>76</v>
      </c>
      <c r="E263" s="148" t="s">
        <v>40</v>
      </c>
      <c r="F263" s="147"/>
      <c r="G263" s="146"/>
      <c r="H263" s="146"/>
      <c r="I263" s="146"/>
      <c r="J263" s="146"/>
      <c r="K263" s="146">
        <f t="shared" si="31"/>
        <v>0</v>
      </c>
      <c r="L263" s="146">
        <f t="shared" si="32"/>
        <v>0</v>
      </c>
      <c r="M263" s="146">
        <v>545.9</v>
      </c>
      <c r="N263" s="146">
        <f>+M263*1000/(41.5*10*16*60)*T263</f>
        <v>2.7404618473895583</v>
      </c>
      <c r="O263" s="146"/>
      <c r="P263" s="146">
        <f t="shared" si="34"/>
        <v>0</v>
      </c>
      <c r="Q263" s="146"/>
      <c r="R263" s="19">
        <f t="shared" si="35"/>
        <v>0</v>
      </c>
      <c r="S263" s="146">
        <f t="shared" si="36"/>
        <v>0</v>
      </c>
      <c r="T263" s="22">
        <v>2</v>
      </c>
      <c r="U263" s="20"/>
      <c r="V263" s="143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42">
        <v>300052</v>
      </c>
      <c r="B264" s="135" t="s">
        <v>67</v>
      </c>
      <c r="C264" s="248" t="s">
        <v>75</v>
      </c>
      <c r="D264" s="248" t="s">
        <v>76</v>
      </c>
      <c r="E264" s="148" t="s">
        <v>39</v>
      </c>
      <c r="F264" s="147"/>
      <c r="G264" s="146"/>
      <c r="H264" s="146"/>
      <c r="I264" s="146"/>
      <c r="J264" s="146"/>
      <c r="K264" s="146">
        <f t="shared" si="31"/>
        <v>0</v>
      </c>
      <c r="L264" s="146">
        <f t="shared" si="32"/>
        <v>0</v>
      </c>
      <c r="M264" s="146">
        <v>545.9</v>
      </c>
      <c r="N264" s="146">
        <f>+M264*1000/(41.5*10*16*60)*T264</f>
        <v>2.7404618473895583</v>
      </c>
      <c r="O264" s="146"/>
      <c r="P264" s="146">
        <f t="shared" si="34"/>
        <v>0</v>
      </c>
      <c r="Q264" s="146"/>
      <c r="R264" s="19">
        <f t="shared" si="35"/>
        <v>0</v>
      </c>
      <c r="S264" s="146">
        <f t="shared" si="36"/>
        <v>0</v>
      </c>
      <c r="T264" s="20">
        <v>2</v>
      </c>
      <c r="U264" s="20"/>
      <c r="V264" s="143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42">
        <v>300054</v>
      </c>
      <c r="B265" s="135" t="s">
        <v>67</v>
      </c>
      <c r="C265" s="248" t="s">
        <v>75</v>
      </c>
      <c r="D265" s="248" t="s">
        <v>76</v>
      </c>
      <c r="E265" s="148" t="s">
        <v>38</v>
      </c>
      <c r="F265" s="147"/>
      <c r="G265" s="146"/>
      <c r="H265" s="146"/>
      <c r="I265" s="146"/>
      <c r="J265" s="146"/>
      <c r="K265" s="146">
        <f t="shared" si="31"/>
        <v>0</v>
      </c>
      <c r="L265" s="146">
        <f t="shared" si="32"/>
        <v>0</v>
      </c>
      <c r="M265" s="146">
        <v>545.9</v>
      </c>
      <c r="N265" s="146">
        <f>+M265*1000/(41.5*10*16*60)*T265</f>
        <v>2.7404618473895583</v>
      </c>
      <c r="O265" s="146"/>
      <c r="P265" s="146">
        <f t="shared" si="34"/>
        <v>0</v>
      </c>
      <c r="Q265" s="146"/>
      <c r="R265" s="19">
        <f t="shared" si="35"/>
        <v>0</v>
      </c>
      <c r="S265" s="146">
        <f t="shared" si="36"/>
        <v>0</v>
      </c>
      <c r="T265" s="20">
        <v>2</v>
      </c>
      <c r="U265" s="20"/>
      <c r="V265" s="143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38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42">
        <v>300050</v>
      </c>
      <c r="B267" s="135">
        <v>4503</v>
      </c>
      <c r="C267" s="248" t="s">
        <v>77</v>
      </c>
      <c r="D267" s="248" t="s">
        <v>78</v>
      </c>
      <c r="E267" s="148" t="s">
        <v>79</v>
      </c>
      <c r="F267" s="147"/>
      <c r="G267" s="146">
        <v>8.5</v>
      </c>
      <c r="H267" s="146"/>
      <c r="I267" s="146">
        <f>9-J267/350</f>
        <v>8.1428571428571423</v>
      </c>
      <c r="J267" s="146">
        <v>300</v>
      </c>
      <c r="K267" s="146">
        <f t="shared" si="31"/>
        <v>3633.75</v>
      </c>
      <c r="L267" s="146">
        <f t="shared" si="32"/>
        <v>3481.0714285714284</v>
      </c>
      <c r="M267" s="146">
        <v>427.5</v>
      </c>
      <c r="N267" s="146">
        <f>+M267*1000/(45*10*14*60)*T267</f>
        <v>5.6547619047619051</v>
      </c>
      <c r="O267" s="146"/>
      <c r="P267" s="146">
        <f t="shared" si="34"/>
        <v>46.045918367346935</v>
      </c>
      <c r="Q267" s="146">
        <v>10.5</v>
      </c>
      <c r="R267" s="19">
        <f t="shared" si="35"/>
        <v>63</v>
      </c>
      <c r="S267" s="146">
        <f t="shared" si="36"/>
        <v>16.954081632653065</v>
      </c>
      <c r="T267" s="20">
        <v>5</v>
      </c>
      <c r="U267" s="20">
        <v>6</v>
      </c>
      <c r="V267" s="143">
        <f t="array" ref="V267">IF(ISERROR(L267/K267),"",L267/K267)</f>
        <v>0.95798319327731085</v>
      </c>
      <c r="W267" s="20"/>
      <c r="X267" s="20">
        <f>30/60*6</f>
        <v>3</v>
      </c>
      <c r="Y267" s="20"/>
      <c r="Z267" s="20"/>
      <c r="AA267" s="20">
        <v>2</v>
      </c>
      <c r="AB267" s="20"/>
      <c r="AC267" s="20"/>
    </row>
    <row r="268" spans="1:29" s="2" customFormat="1" ht="21.95" hidden="1" customHeight="1">
      <c r="A268" s="142">
        <v>300045</v>
      </c>
      <c r="B268" s="135" t="s">
        <v>67</v>
      </c>
      <c r="C268" s="248" t="s">
        <v>77</v>
      </c>
      <c r="D268" s="248" t="s">
        <v>78</v>
      </c>
      <c r="E268" s="148" t="s">
        <v>35</v>
      </c>
      <c r="F268" s="147"/>
      <c r="G268" s="146"/>
      <c r="H268" s="146"/>
      <c r="I268" s="146"/>
      <c r="J268" s="146"/>
      <c r="K268" s="146">
        <f t="shared" si="31"/>
        <v>0</v>
      </c>
      <c r="L268" s="146">
        <f t="shared" si="32"/>
        <v>0</v>
      </c>
      <c r="M268" s="146">
        <v>406.6</v>
      </c>
      <c r="N268" s="146">
        <f>+M268*1000/(45*10*13*60)*T268</f>
        <v>5.7920227920227916</v>
      </c>
      <c r="O268" s="146"/>
      <c r="P268" s="146">
        <f t="shared" si="34"/>
        <v>0</v>
      </c>
      <c r="Q268" s="146"/>
      <c r="R268" s="19">
        <f t="shared" si="35"/>
        <v>0</v>
      </c>
      <c r="S268" s="146">
        <f t="shared" si="36"/>
        <v>0</v>
      </c>
      <c r="T268" s="20">
        <v>5</v>
      </c>
      <c r="U268" s="20"/>
      <c r="V268" s="143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42">
        <v>300422</v>
      </c>
      <c r="B269" s="135" t="s">
        <v>67</v>
      </c>
      <c r="C269" s="259" t="s">
        <v>301</v>
      </c>
      <c r="D269" s="260"/>
      <c r="E269" s="148" t="s">
        <v>54</v>
      </c>
      <c r="F269" s="147"/>
      <c r="G269" s="110"/>
      <c r="H269" s="110"/>
      <c r="I269" s="110"/>
      <c r="J269" s="110"/>
      <c r="K269" s="146">
        <f t="shared" si="31"/>
        <v>0</v>
      </c>
      <c r="L269" s="146">
        <f t="shared" si="32"/>
        <v>0</v>
      </c>
      <c r="M269" s="146">
        <v>429.8</v>
      </c>
      <c r="N269" s="146">
        <f>+M269*1000/(45*10*13*60)*T269</f>
        <v>3.6735042735042738</v>
      </c>
      <c r="O269" s="146"/>
      <c r="P269" s="146">
        <f t="shared" si="34"/>
        <v>0</v>
      </c>
      <c r="Q269" s="146"/>
      <c r="R269" s="19">
        <f t="shared" si="35"/>
        <v>0</v>
      </c>
      <c r="S269" s="146">
        <f t="shared" si="36"/>
        <v>0</v>
      </c>
      <c r="T269" s="20">
        <v>3</v>
      </c>
      <c r="U269" s="20"/>
      <c r="V269" s="143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42">
        <v>300421</v>
      </c>
      <c r="B270" s="135" t="s">
        <v>67</v>
      </c>
      <c r="C270" s="259" t="s">
        <v>301</v>
      </c>
      <c r="D270" s="260"/>
      <c r="E270" s="148" t="s">
        <v>80</v>
      </c>
      <c r="F270" s="147"/>
      <c r="G270" s="110"/>
      <c r="H270" s="110"/>
      <c r="I270" s="110"/>
      <c r="J270" s="110"/>
      <c r="K270" s="146">
        <f t="shared" si="31"/>
        <v>0</v>
      </c>
      <c r="L270" s="146">
        <f t="shared" si="32"/>
        <v>0</v>
      </c>
      <c r="M270" s="146">
        <v>429.8</v>
      </c>
      <c r="N270" s="146">
        <f>+M270*1000/(45*10*13*60)*T270</f>
        <v>3.6735042735042738</v>
      </c>
      <c r="O270" s="146"/>
      <c r="P270" s="146">
        <f t="shared" si="34"/>
        <v>0</v>
      </c>
      <c r="Q270" s="146"/>
      <c r="R270" s="19">
        <f t="shared" si="35"/>
        <v>0</v>
      </c>
      <c r="S270" s="146">
        <f t="shared" si="36"/>
        <v>0</v>
      </c>
      <c r="T270" s="20">
        <v>3</v>
      </c>
      <c r="U270" s="20"/>
      <c r="V270" s="143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42">
        <v>300149</v>
      </c>
      <c r="B271" s="135" t="s">
        <v>67</v>
      </c>
      <c r="C271" s="248" t="s">
        <v>81</v>
      </c>
      <c r="D271" s="248" t="s">
        <v>82</v>
      </c>
      <c r="E271" s="148" t="s">
        <v>80</v>
      </c>
      <c r="F271" s="147"/>
      <c r="G271" s="146"/>
      <c r="H271" s="146"/>
      <c r="I271" s="146"/>
      <c r="J271" s="146"/>
      <c r="K271" s="146">
        <f t="shared" si="31"/>
        <v>0</v>
      </c>
      <c r="L271" s="146">
        <f t="shared" si="32"/>
        <v>0</v>
      </c>
      <c r="M271" s="146">
        <v>589.1</v>
      </c>
      <c r="N271" s="146">
        <f>+M271*1000/(67.1*10*13*60)*T271</f>
        <v>3.3767052619511633</v>
      </c>
      <c r="O271" s="146"/>
      <c r="P271" s="146">
        <f t="shared" si="34"/>
        <v>0</v>
      </c>
      <c r="Q271" s="146"/>
      <c r="R271" s="19">
        <f t="shared" si="35"/>
        <v>0</v>
      </c>
      <c r="S271" s="146">
        <f t="shared" si="36"/>
        <v>0</v>
      </c>
      <c r="T271" s="20">
        <v>3</v>
      </c>
      <c r="U271" s="20"/>
      <c r="V271" s="143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42">
        <v>300150</v>
      </c>
      <c r="B272" s="135" t="s">
        <v>67</v>
      </c>
      <c r="C272" s="248" t="s">
        <v>81</v>
      </c>
      <c r="D272" s="248" t="s">
        <v>82</v>
      </c>
      <c r="E272" s="148" t="s">
        <v>54</v>
      </c>
      <c r="F272" s="147"/>
      <c r="G272" s="146"/>
      <c r="H272" s="146"/>
      <c r="I272" s="146"/>
      <c r="J272" s="146"/>
      <c r="K272" s="146">
        <f t="shared" si="31"/>
        <v>0</v>
      </c>
      <c r="L272" s="146">
        <f t="shared" si="32"/>
        <v>0</v>
      </c>
      <c r="M272" s="146">
        <v>589.1</v>
      </c>
      <c r="N272" s="146">
        <f>+M272*1000/(67.1*10*13*60)*T272</f>
        <v>3.3767052619511633</v>
      </c>
      <c r="O272" s="146"/>
      <c r="P272" s="146">
        <f t="shared" si="34"/>
        <v>0</v>
      </c>
      <c r="Q272" s="146"/>
      <c r="R272" s="19">
        <f t="shared" si="35"/>
        <v>0</v>
      </c>
      <c r="S272" s="146">
        <f t="shared" si="36"/>
        <v>0</v>
      </c>
      <c r="T272" s="20">
        <v>3</v>
      </c>
      <c r="U272" s="20"/>
      <c r="V272" s="143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42">
        <v>300330</v>
      </c>
      <c r="B273" s="135" t="s">
        <v>67</v>
      </c>
      <c r="C273" s="259" t="s">
        <v>83</v>
      </c>
      <c r="D273" s="260"/>
      <c r="E273" s="148" t="s">
        <v>84</v>
      </c>
      <c r="F273" s="147"/>
      <c r="G273" s="146"/>
      <c r="H273" s="146"/>
      <c r="I273" s="146"/>
      <c r="J273" s="146"/>
      <c r="K273" s="146">
        <f t="shared" si="31"/>
        <v>0</v>
      </c>
      <c r="L273" s="146">
        <f t="shared" si="32"/>
        <v>0</v>
      </c>
      <c r="M273" s="146">
        <v>416.3</v>
      </c>
      <c r="N273" s="146">
        <f t="shared" ref="N273:N278" si="37">+M273*1000/(45*10*18*60)*T273</f>
        <v>1.7131687242798355</v>
      </c>
      <c r="O273" s="146"/>
      <c r="P273" s="146">
        <f t="shared" si="34"/>
        <v>0</v>
      </c>
      <c r="Q273" s="146"/>
      <c r="R273" s="19">
        <f t="shared" si="35"/>
        <v>0</v>
      </c>
      <c r="S273" s="146">
        <f t="shared" si="36"/>
        <v>0</v>
      </c>
      <c r="T273" s="20">
        <v>2</v>
      </c>
      <c r="U273" s="20"/>
      <c r="V273" s="143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42">
        <v>300331</v>
      </c>
      <c r="B274" s="135" t="s">
        <v>67</v>
      </c>
      <c r="C274" s="259" t="s">
        <v>83</v>
      </c>
      <c r="D274" s="260"/>
      <c r="E274" s="148" t="s">
        <v>49</v>
      </c>
      <c r="F274" s="147"/>
      <c r="G274" s="146"/>
      <c r="H274" s="146"/>
      <c r="I274" s="146"/>
      <c r="J274" s="146"/>
      <c r="K274" s="146">
        <f t="shared" si="31"/>
        <v>0</v>
      </c>
      <c r="L274" s="146">
        <f t="shared" si="32"/>
        <v>0</v>
      </c>
      <c r="M274" s="146">
        <v>416.3</v>
      </c>
      <c r="N274" s="146">
        <f t="shared" si="37"/>
        <v>1.7131687242798355</v>
      </c>
      <c r="O274" s="146"/>
      <c r="P274" s="146">
        <f t="shared" si="34"/>
        <v>0</v>
      </c>
      <c r="Q274" s="146"/>
      <c r="R274" s="19">
        <f t="shared" si="35"/>
        <v>0</v>
      </c>
      <c r="S274" s="146">
        <f t="shared" si="36"/>
        <v>0</v>
      </c>
      <c r="T274" s="20">
        <v>2</v>
      </c>
      <c r="U274" s="20"/>
      <c r="V274" s="143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42">
        <v>300332</v>
      </c>
      <c r="B275" s="135" t="s">
        <v>67</v>
      </c>
      <c r="C275" s="259" t="s">
        <v>83</v>
      </c>
      <c r="D275" s="260"/>
      <c r="E275" s="148" t="s">
        <v>85</v>
      </c>
      <c r="F275" s="147"/>
      <c r="G275" s="146"/>
      <c r="H275" s="146"/>
      <c r="I275" s="146"/>
      <c r="J275" s="146"/>
      <c r="K275" s="146">
        <f t="shared" si="31"/>
        <v>0</v>
      </c>
      <c r="L275" s="146">
        <f t="shared" si="32"/>
        <v>0</v>
      </c>
      <c r="M275" s="146">
        <v>416.3</v>
      </c>
      <c r="N275" s="146">
        <f t="shared" si="37"/>
        <v>1.7131687242798355</v>
      </c>
      <c r="O275" s="146"/>
      <c r="P275" s="146">
        <f t="shared" si="34"/>
        <v>0</v>
      </c>
      <c r="Q275" s="146"/>
      <c r="R275" s="19">
        <f t="shared" si="35"/>
        <v>0</v>
      </c>
      <c r="S275" s="146">
        <f t="shared" si="36"/>
        <v>0</v>
      </c>
      <c r="T275" s="20">
        <v>2</v>
      </c>
      <c r="U275" s="20"/>
      <c r="V275" s="143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42">
        <v>300333</v>
      </c>
      <c r="B276" s="135" t="s">
        <v>67</v>
      </c>
      <c r="C276" s="259" t="s">
        <v>86</v>
      </c>
      <c r="D276" s="260"/>
      <c r="E276" s="148" t="s">
        <v>84</v>
      </c>
      <c r="F276" s="147"/>
      <c r="G276" s="146"/>
      <c r="H276" s="146"/>
      <c r="I276" s="146"/>
      <c r="J276" s="146"/>
      <c r="K276" s="146">
        <f t="shared" si="31"/>
        <v>0</v>
      </c>
      <c r="L276" s="146">
        <f t="shared" si="32"/>
        <v>0</v>
      </c>
      <c r="M276" s="146">
        <v>416.3</v>
      </c>
      <c r="N276" s="146">
        <f t="shared" si="37"/>
        <v>1.7131687242798355</v>
      </c>
      <c r="O276" s="146"/>
      <c r="P276" s="146">
        <f t="shared" si="34"/>
        <v>0</v>
      </c>
      <c r="Q276" s="146"/>
      <c r="R276" s="19">
        <f t="shared" si="35"/>
        <v>0</v>
      </c>
      <c r="S276" s="146">
        <f t="shared" si="36"/>
        <v>0</v>
      </c>
      <c r="T276" s="20">
        <v>2</v>
      </c>
      <c r="U276" s="20"/>
      <c r="V276" s="143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42">
        <v>300334</v>
      </c>
      <c r="B277" s="135" t="s">
        <v>67</v>
      </c>
      <c r="C277" s="259" t="s">
        <v>86</v>
      </c>
      <c r="D277" s="260"/>
      <c r="E277" s="148" t="s">
        <v>85</v>
      </c>
      <c r="F277" s="147"/>
      <c r="G277" s="146"/>
      <c r="H277" s="146"/>
      <c r="I277" s="146"/>
      <c r="J277" s="146"/>
      <c r="K277" s="146">
        <f t="shared" si="31"/>
        <v>0</v>
      </c>
      <c r="L277" s="146">
        <f t="shared" si="32"/>
        <v>0</v>
      </c>
      <c r="M277" s="146">
        <v>416.3</v>
      </c>
      <c r="N277" s="146">
        <f t="shared" si="37"/>
        <v>1.7131687242798355</v>
      </c>
      <c r="O277" s="146"/>
      <c r="P277" s="146">
        <f t="shared" si="34"/>
        <v>0</v>
      </c>
      <c r="Q277" s="146"/>
      <c r="R277" s="19">
        <f t="shared" si="35"/>
        <v>0</v>
      </c>
      <c r="S277" s="146">
        <f t="shared" si="36"/>
        <v>0</v>
      </c>
      <c r="T277" s="20">
        <v>2</v>
      </c>
      <c r="U277" s="20"/>
      <c r="V277" s="143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42">
        <v>300335</v>
      </c>
      <c r="B278" s="135" t="s">
        <v>67</v>
      </c>
      <c r="C278" s="259" t="s">
        <v>86</v>
      </c>
      <c r="D278" s="260"/>
      <c r="E278" s="148" t="s">
        <v>49</v>
      </c>
      <c r="F278" s="147"/>
      <c r="G278" s="146"/>
      <c r="H278" s="146"/>
      <c r="I278" s="146"/>
      <c r="J278" s="146"/>
      <c r="K278" s="146">
        <f t="shared" si="31"/>
        <v>0</v>
      </c>
      <c r="L278" s="146">
        <f t="shared" si="32"/>
        <v>0</v>
      </c>
      <c r="M278" s="146">
        <v>416.3</v>
      </c>
      <c r="N278" s="146">
        <f t="shared" si="37"/>
        <v>1.7131687242798355</v>
      </c>
      <c r="O278" s="146"/>
      <c r="P278" s="146">
        <f t="shared" si="34"/>
        <v>0</v>
      </c>
      <c r="Q278" s="146"/>
      <c r="R278" s="19">
        <f t="shared" si="35"/>
        <v>0</v>
      </c>
      <c r="S278" s="146">
        <f t="shared" si="36"/>
        <v>0</v>
      </c>
      <c r="T278" s="20">
        <v>2</v>
      </c>
      <c r="U278" s="20"/>
      <c r="V278" s="143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42">
        <v>300291</v>
      </c>
      <c r="B279" s="135" t="s">
        <v>87</v>
      </c>
      <c r="C279" s="248" t="s">
        <v>88</v>
      </c>
      <c r="D279" s="248" t="s">
        <v>89</v>
      </c>
      <c r="E279" s="148" t="s">
        <v>42</v>
      </c>
      <c r="F279" s="147"/>
      <c r="G279" s="146"/>
      <c r="H279" s="146"/>
      <c r="I279" s="146"/>
      <c r="J279" s="146"/>
      <c r="K279" s="146">
        <f t="shared" si="31"/>
        <v>0</v>
      </c>
      <c r="L279" s="146">
        <f t="shared" si="32"/>
        <v>0</v>
      </c>
      <c r="M279" s="146">
        <v>517.79999999999995</v>
      </c>
      <c r="N279" s="146">
        <f>+M279*1000/(66.6*1*110*60)*T279</f>
        <v>4.7119847119847122</v>
      </c>
      <c r="O279" s="146"/>
      <c r="P279" s="146">
        <f t="shared" si="34"/>
        <v>0</v>
      </c>
      <c r="Q279" s="146"/>
      <c r="R279" s="19">
        <f t="shared" si="35"/>
        <v>0</v>
      </c>
      <c r="S279" s="146">
        <f t="shared" si="36"/>
        <v>0</v>
      </c>
      <c r="T279" s="20">
        <v>4</v>
      </c>
      <c r="U279" s="20"/>
      <c r="V279" s="143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42">
        <v>300292</v>
      </c>
      <c r="B280" s="135" t="s">
        <v>87</v>
      </c>
      <c r="C280" s="248" t="s">
        <v>88</v>
      </c>
      <c r="D280" s="248" t="s">
        <v>89</v>
      </c>
      <c r="E280" s="148" t="s">
        <v>41</v>
      </c>
      <c r="F280" s="147"/>
      <c r="G280" s="146"/>
      <c r="H280" s="146"/>
      <c r="I280" s="146"/>
      <c r="J280" s="146"/>
      <c r="K280" s="146">
        <f t="shared" si="31"/>
        <v>0</v>
      </c>
      <c r="L280" s="146">
        <f t="shared" si="32"/>
        <v>0</v>
      </c>
      <c r="M280" s="146">
        <v>517.79999999999995</v>
      </c>
      <c r="N280" s="146">
        <f>+M280*1000/(66.8*1*110*60)*T280</f>
        <v>4.6978769733260748</v>
      </c>
      <c r="O280" s="146"/>
      <c r="P280" s="146">
        <f t="shared" si="34"/>
        <v>0</v>
      </c>
      <c r="Q280" s="146"/>
      <c r="R280" s="19">
        <f t="shared" si="35"/>
        <v>0</v>
      </c>
      <c r="S280" s="146">
        <f t="shared" si="36"/>
        <v>0</v>
      </c>
      <c r="T280" s="20">
        <v>4</v>
      </c>
      <c r="U280" s="20"/>
      <c r="V280" s="143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42">
        <v>300293</v>
      </c>
      <c r="B281" s="135" t="s">
        <v>87</v>
      </c>
      <c r="C281" s="248" t="s">
        <v>88</v>
      </c>
      <c r="D281" s="248" t="s">
        <v>89</v>
      </c>
      <c r="E281" s="148" t="s">
        <v>57</v>
      </c>
      <c r="F281" s="147"/>
      <c r="G281" s="146"/>
      <c r="H281" s="146"/>
      <c r="I281" s="146"/>
      <c r="J281" s="146"/>
      <c r="K281" s="146">
        <f t="shared" si="31"/>
        <v>0</v>
      </c>
      <c r="L281" s="146">
        <f t="shared" si="32"/>
        <v>0</v>
      </c>
      <c r="M281" s="146">
        <v>517.9</v>
      </c>
      <c r="N281" s="146">
        <f>+M281*1000/(67.1*1*110*60)*T281</f>
        <v>4.6777762724111467</v>
      </c>
      <c r="O281" s="146"/>
      <c r="P281" s="146">
        <f t="shared" si="34"/>
        <v>0</v>
      </c>
      <c r="Q281" s="146"/>
      <c r="R281" s="19">
        <f t="shared" si="35"/>
        <v>0</v>
      </c>
      <c r="S281" s="146">
        <f t="shared" si="36"/>
        <v>0</v>
      </c>
      <c r="T281" s="20">
        <v>4</v>
      </c>
      <c r="U281" s="20"/>
      <c r="V281" s="143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42">
        <v>300290</v>
      </c>
      <c r="B282" s="135" t="s">
        <v>87</v>
      </c>
      <c r="C282" s="248" t="s">
        <v>88</v>
      </c>
      <c r="D282" s="248" t="s">
        <v>89</v>
      </c>
      <c r="E282" s="148" t="s">
        <v>35</v>
      </c>
      <c r="F282" s="147"/>
      <c r="G282" s="146"/>
      <c r="H282" s="146"/>
      <c r="I282" s="146"/>
      <c r="J282" s="146"/>
      <c r="K282" s="146">
        <f t="shared" si="31"/>
        <v>0</v>
      </c>
      <c r="L282" s="146">
        <f t="shared" si="32"/>
        <v>0</v>
      </c>
      <c r="M282" s="146">
        <v>520</v>
      </c>
      <c r="N282" s="146">
        <f>+M282*1000/(67.5*1*110*60)*T282</f>
        <v>4.6689113355780023</v>
      </c>
      <c r="O282" s="146"/>
      <c r="P282" s="146">
        <f t="shared" si="34"/>
        <v>0</v>
      </c>
      <c r="Q282" s="146"/>
      <c r="R282" s="19">
        <f t="shared" si="35"/>
        <v>0</v>
      </c>
      <c r="S282" s="146">
        <f t="shared" si="36"/>
        <v>0</v>
      </c>
      <c r="T282" s="20">
        <v>4</v>
      </c>
      <c r="U282" s="20"/>
      <c r="V282" s="143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42">
        <v>300389</v>
      </c>
      <c r="B283" s="135" t="s">
        <v>87</v>
      </c>
      <c r="C283" s="259" t="s">
        <v>90</v>
      </c>
      <c r="D283" s="260"/>
      <c r="E283" s="148" t="s">
        <v>35</v>
      </c>
      <c r="F283" s="147"/>
      <c r="G283" s="146"/>
      <c r="H283" s="146"/>
      <c r="I283" s="146"/>
      <c r="J283" s="146"/>
      <c r="K283" s="146">
        <f t="shared" si="31"/>
        <v>0</v>
      </c>
      <c r="L283" s="146">
        <f t="shared" si="32"/>
        <v>0</v>
      </c>
      <c r="M283" s="146">
        <v>429.4</v>
      </c>
      <c r="N283" s="146">
        <f>+M283*1000/(47*1*110*60)*T283</f>
        <v>5.5370728562217923</v>
      </c>
      <c r="O283" s="146"/>
      <c r="P283" s="146">
        <f t="shared" si="34"/>
        <v>0</v>
      </c>
      <c r="Q283" s="146"/>
      <c r="R283" s="19">
        <f t="shared" si="35"/>
        <v>0</v>
      </c>
      <c r="S283" s="146">
        <f t="shared" si="36"/>
        <v>0</v>
      </c>
      <c r="T283" s="20">
        <v>4</v>
      </c>
      <c r="U283" s="20"/>
      <c r="V283" s="143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42">
        <v>300058</v>
      </c>
      <c r="B284" s="135" t="s">
        <v>87</v>
      </c>
      <c r="C284" s="248" t="s">
        <v>91</v>
      </c>
      <c r="D284" s="248" t="s">
        <v>89</v>
      </c>
      <c r="E284" s="148" t="s">
        <v>42</v>
      </c>
      <c r="F284" s="147"/>
      <c r="G284" s="146"/>
      <c r="H284" s="146"/>
      <c r="I284" s="146"/>
      <c r="J284" s="146"/>
      <c r="K284" s="146">
        <f t="shared" si="31"/>
        <v>0</v>
      </c>
      <c r="L284" s="146">
        <f t="shared" si="32"/>
        <v>0</v>
      </c>
      <c r="M284" s="146">
        <v>419.2</v>
      </c>
      <c r="N284" s="146">
        <f>+M284*1000/(51.5*1*110*60)*T284</f>
        <v>4.9332156516622536</v>
      </c>
      <c r="O284" s="146"/>
      <c r="P284" s="146">
        <f t="shared" si="34"/>
        <v>0</v>
      </c>
      <c r="Q284" s="146"/>
      <c r="R284" s="19">
        <f t="shared" si="35"/>
        <v>0</v>
      </c>
      <c r="S284" s="146">
        <f t="shared" si="36"/>
        <v>0</v>
      </c>
      <c r="T284" s="20">
        <v>4</v>
      </c>
      <c r="U284" s="20"/>
      <c r="V284" s="143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42">
        <v>300061</v>
      </c>
      <c r="B285" s="135" t="s">
        <v>87</v>
      </c>
      <c r="C285" s="248" t="s">
        <v>93</v>
      </c>
      <c r="D285" s="248" t="s">
        <v>94</v>
      </c>
      <c r="E285" s="148" t="s">
        <v>41</v>
      </c>
      <c r="F285" s="147"/>
      <c r="G285" s="146"/>
      <c r="H285" s="146"/>
      <c r="I285" s="146"/>
      <c r="J285" s="146"/>
      <c r="K285" s="146">
        <f t="shared" si="31"/>
        <v>0</v>
      </c>
      <c r="L285" s="146">
        <f t="shared" si="32"/>
        <v>0</v>
      </c>
      <c r="M285" s="146">
        <v>418.4</v>
      </c>
      <c r="N285" s="146">
        <f>+M285*1000/(51*1*110*60)*T285</f>
        <v>4.9720736779560308</v>
      </c>
      <c r="O285" s="146"/>
      <c r="P285" s="146">
        <f t="shared" si="34"/>
        <v>0</v>
      </c>
      <c r="Q285" s="146"/>
      <c r="R285" s="19">
        <f t="shared" si="35"/>
        <v>0</v>
      </c>
      <c r="S285" s="146">
        <f t="shared" si="36"/>
        <v>0</v>
      </c>
      <c r="T285" s="20">
        <v>4</v>
      </c>
      <c r="U285" s="20"/>
      <c r="V285" s="143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42">
        <v>300064</v>
      </c>
      <c r="B286" s="135">
        <v>5002</v>
      </c>
      <c r="C286" s="248" t="s">
        <v>95</v>
      </c>
      <c r="D286" s="248" t="s">
        <v>96</v>
      </c>
      <c r="E286" s="148" t="s">
        <v>35</v>
      </c>
      <c r="F286" s="147"/>
      <c r="G286" s="146"/>
      <c r="H286" s="146"/>
      <c r="I286" s="146"/>
      <c r="J286" s="146"/>
      <c r="K286" s="146">
        <f t="shared" ref="K286:K362" si="38">G286*M286</f>
        <v>0</v>
      </c>
      <c r="L286" s="146">
        <f t="shared" ref="L286:L362" si="39">I286*M286</f>
        <v>0</v>
      </c>
      <c r="M286" s="146">
        <v>419.2</v>
      </c>
      <c r="N286" s="146">
        <f>+M286*1000/(51.9*1*110*60)*T286</f>
        <v>4.8951947217843168</v>
      </c>
      <c r="O286" s="146"/>
      <c r="P286" s="146">
        <f t="shared" ref="P286:P362" si="40">N286*I286+O286*U286</f>
        <v>0</v>
      </c>
      <c r="Q286" s="146"/>
      <c r="R286" s="19">
        <f t="shared" ref="R286:R362" si="41">Q286*U286</f>
        <v>0</v>
      </c>
      <c r="S286" s="146">
        <f t="shared" ref="S286:S362" si="42">R286-P286</f>
        <v>0</v>
      </c>
      <c r="T286" s="20">
        <v>4</v>
      </c>
      <c r="U286" s="20"/>
      <c r="V286" s="143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42">
        <v>300060</v>
      </c>
      <c r="B287" s="135" t="s">
        <v>87</v>
      </c>
      <c r="C287" s="248" t="s">
        <v>93</v>
      </c>
      <c r="D287" s="248" t="s">
        <v>97</v>
      </c>
      <c r="E287" s="148" t="s">
        <v>57</v>
      </c>
      <c r="F287" s="147"/>
      <c r="G287" s="146"/>
      <c r="H287" s="146"/>
      <c r="I287" s="146"/>
      <c r="J287" s="146"/>
      <c r="K287" s="146">
        <f t="shared" si="38"/>
        <v>0</v>
      </c>
      <c r="L287" s="146">
        <f t="shared" si="39"/>
        <v>0</v>
      </c>
      <c r="M287" s="146">
        <v>416.9</v>
      </c>
      <c r="N287" s="146">
        <f>+M287*1000/(51*1*110*60)*T287</f>
        <v>4.9542483660130721</v>
      </c>
      <c r="O287" s="146"/>
      <c r="P287" s="146">
        <f t="shared" si="40"/>
        <v>0</v>
      </c>
      <c r="Q287" s="146"/>
      <c r="R287" s="19">
        <f t="shared" si="41"/>
        <v>0</v>
      </c>
      <c r="S287" s="146">
        <f t="shared" si="42"/>
        <v>0</v>
      </c>
      <c r="T287" s="20">
        <v>4</v>
      </c>
      <c r="U287" s="20"/>
      <c r="V287" s="143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42">
        <v>300068</v>
      </c>
      <c r="B288" s="135" t="s">
        <v>87</v>
      </c>
      <c r="C288" s="248" t="s">
        <v>98</v>
      </c>
      <c r="D288" s="248" t="s">
        <v>99</v>
      </c>
      <c r="E288" s="148" t="s">
        <v>37</v>
      </c>
      <c r="F288" s="147"/>
      <c r="G288" s="146"/>
      <c r="H288" s="146"/>
      <c r="I288" s="146"/>
      <c r="J288" s="146"/>
      <c r="K288" s="146">
        <f t="shared" si="38"/>
        <v>0</v>
      </c>
      <c r="L288" s="146">
        <f t="shared" si="39"/>
        <v>0</v>
      </c>
      <c r="M288" s="146">
        <v>438.4</v>
      </c>
      <c r="N288" s="146">
        <f>+M288*1000/(50*1*120*60)*T288</f>
        <v>4.8711111111111114</v>
      </c>
      <c r="O288" s="146"/>
      <c r="P288" s="146">
        <f t="shared" si="40"/>
        <v>0</v>
      </c>
      <c r="Q288" s="146"/>
      <c r="R288" s="19">
        <f t="shared" si="41"/>
        <v>0</v>
      </c>
      <c r="S288" s="146">
        <f t="shared" si="42"/>
        <v>0</v>
      </c>
      <c r="T288" s="20">
        <v>4</v>
      </c>
      <c r="U288" s="20"/>
      <c r="V288" s="143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42">
        <v>300065</v>
      </c>
      <c r="B289" s="135" t="s">
        <v>87</v>
      </c>
      <c r="C289" s="248" t="s">
        <v>98</v>
      </c>
      <c r="D289" s="248" t="s">
        <v>99</v>
      </c>
      <c r="E289" s="148" t="s">
        <v>35</v>
      </c>
      <c r="F289" s="147"/>
      <c r="G289" s="146"/>
      <c r="H289" s="146"/>
      <c r="I289" s="146"/>
      <c r="J289" s="146"/>
      <c r="K289" s="146">
        <f t="shared" si="38"/>
        <v>0</v>
      </c>
      <c r="L289" s="146">
        <f t="shared" si="39"/>
        <v>0</v>
      </c>
      <c r="M289" s="146">
        <v>438.8</v>
      </c>
      <c r="N289" s="146">
        <f>+M289*1000/(50*1*120*60)*T289</f>
        <v>4.8755555555555556</v>
      </c>
      <c r="O289" s="146"/>
      <c r="P289" s="146">
        <f t="shared" si="40"/>
        <v>0</v>
      </c>
      <c r="Q289" s="146"/>
      <c r="R289" s="19">
        <f t="shared" si="41"/>
        <v>0</v>
      </c>
      <c r="S289" s="146">
        <f t="shared" si="42"/>
        <v>0</v>
      </c>
      <c r="T289" s="20">
        <v>4</v>
      </c>
      <c r="U289" s="142"/>
      <c r="V289" s="143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42">
        <v>300066</v>
      </c>
      <c r="B290" s="135" t="s">
        <v>87</v>
      </c>
      <c r="C290" s="248" t="s">
        <v>98</v>
      </c>
      <c r="D290" s="248" t="s">
        <v>99</v>
      </c>
      <c r="E290" s="148" t="s">
        <v>66</v>
      </c>
      <c r="F290" s="147"/>
      <c r="G290" s="146"/>
      <c r="H290" s="146"/>
      <c r="I290" s="146"/>
      <c r="J290" s="146"/>
      <c r="K290" s="146">
        <f t="shared" si="38"/>
        <v>0</v>
      </c>
      <c r="L290" s="146">
        <f t="shared" si="39"/>
        <v>0</v>
      </c>
      <c r="M290" s="146">
        <v>438.4</v>
      </c>
      <c r="N290" s="146">
        <f>+M290*1000/(50*1*120*60)*T290</f>
        <v>4.8711111111111114</v>
      </c>
      <c r="O290" s="146"/>
      <c r="P290" s="146">
        <f t="shared" si="40"/>
        <v>0</v>
      </c>
      <c r="Q290" s="146"/>
      <c r="R290" s="19">
        <f t="shared" si="41"/>
        <v>0</v>
      </c>
      <c r="S290" s="146">
        <f t="shared" si="42"/>
        <v>0</v>
      </c>
      <c r="T290" s="20">
        <v>4</v>
      </c>
      <c r="U290" s="142"/>
      <c r="V290" s="143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42">
        <v>300067</v>
      </c>
      <c r="B291" s="135" t="s">
        <v>87</v>
      </c>
      <c r="C291" s="248" t="s">
        <v>98</v>
      </c>
      <c r="D291" s="248" t="s">
        <v>99</v>
      </c>
      <c r="E291" s="148" t="s">
        <v>41</v>
      </c>
      <c r="F291" s="147"/>
      <c r="G291" s="146"/>
      <c r="H291" s="146"/>
      <c r="I291" s="146"/>
      <c r="J291" s="146"/>
      <c r="K291" s="146">
        <f t="shared" si="38"/>
        <v>0</v>
      </c>
      <c r="L291" s="146">
        <f t="shared" si="39"/>
        <v>0</v>
      </c>
      <c r="M291" s="146">
        <v>438.8</v>
      </c>
      <c r="N291" s="146">
        <f>+M291*1000/(50*1*120*60)*T291</f>
        <v>4.8755555555555556</v>
      </c>
      <c r="O291" s="146"/>
      <c r="P291" s="146">
        <f t="shared" si="40"/>
        <v>0</v>
      </c>
      <c r="Q291" s="146"/>
      <c r="R291" s="19">
        <f t="shared" si="41"/>
        <v>0</v>
      </c>
      <c r="S291" s="146">
        <f t="shared" si="42"/>
        <v>0</v>
      </c>
      <c r="T291" s="20">
        <v>4</v>
      </c>
      <c r="U291" s="20"/>
      <c r="V291" s="143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38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42">
        <v>300384</v>
      </c>
      <c r="B293" s="135" t="s">
        <v>87</v>
      </c>
      <c r="C293" s="248" t="s">
        <v>100</v>
      </c>
      <c r="D293" s="248" t="s">
        <v>101</v>
      </c>
      <c r="E293" s="148" t="s">
        <v>35</v>
      </c>
      <c r="F293" s="147"/>
      <c r="G293" s="146"/>
      <c r="H293" s="146"/>
      <c r="I293" s="146"/>
      <c r="J293" s="146"/>
      <c r="K293" s="146">
        <f t="shared" si="38"/>
        <v>0</v>
      </c>
      <c r="L293" s="146">
        <f t="shared" si="39"/>
        <v>0</v>
      </c>
      <c r="M293" s="146">
        <v>415.5</v>
      </c>
      <c r="N293" s="146">
        <f>+M293*1000/(51*1*110*60)*T293</f>
        <v>8.6408199643493759</v>
      </c>
      <c r="O293" s="146"/>
      <c r="P293" s="146">
        <f t="shared" si="40"/>
        <v>0</v>
      </c>
      <c r="Q293" s="146"/>
      <c r="R293" s="19">
        <f t="shared" si="41"/>
        <v>0</v>
      </c>
      <c r="S293" s="146">
        <f t="shared" si="42"/>
        <v>0</v>
      </c>
      <c r="T293" s="20">
        <v>7</v>
      </c>
      <c r="U293" s="20"/>
      <c r="V293" s="143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42">
        <v>300383</v>
      </c>
      <c r="B294" s="135" t="s">
        <v>87</v>
      </c>
      <c r="C294" s="248" t="s">
        <v>100</v>
      </c>
      <c r="D294" s="248" t="s">
        <v>102</v>
      </c>
      <c r="E294" s="148" t="s">
        <v>41</v>
      </c>
      <c r="F294" s="147"/>
      <c r="G294" s="146"/>
      <c r="H294" s="146"/>
      <c r="I294" s="146"/>
      <c r="J294" s="146"/>
      <c r="K294" s="146">
        <f t="shared" si="38"/>
        <v>0</v>
      </c>
      <c r="L294" s="146">
        <f t="shared" si="39"/>
        <v>0</v>
      </c>
      <c r="M294" s="146">
        <v>415.5</v>
      </c>
      <c r="N294" s="146">
        <f>+M294*1000/(51*1*110*60)*T294</f>
        <v>8.6408199643493759</v>
      </c>
      <c r="O294" s="146"/>
      <c r="P294" s="146">
        <f t="shared" si="40"/>
        <v>0</v>
      </c>
      <c r="Q294" s="146"/>
      <c r="R294" s="19">
        <f t="shared" si="41"/>
        <v>0</v>
      </c>
      <c r="S294" s="146">
        <f t="shared" si="42"/>
        <v>0</v>
      </c>
      <c r="T294" s="20">
        <v>7</v>
      </c>
      <c r="U294" s="20"/>
      <c r="V294" s="143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42">
        <v>300386</v>
      </c>
      <c r="B295" s="135" t="s">
        <v>87</v>
      </c>
      <c r="C295" s="248" t="s">
        <v>100</v>
      </c>
      <c r="D295" s="248" t="s">
        <v>103</v>
      </c>
      <c r="E295" s="148" t="s">
        <v>66</v>
      </c>
      <c r="F295" s="147"/>
      <c r="G295" s="146"/>
      <c r="H295" s="146"/>
      <c r="I295" s="146"/>
      <c r="J295" s="146"/>
      <c r="K295" s="146">
        <f t="shared" si="38"/>
        <v>0</v>
      </c>
      <c r="L295" s="146">
        <f t="shared" si="39"/>
        <v>0</v>
      </c>
      <c r="M295" s="146">
        <v>415.5</v>
      </c>
      <c r="N295" s="146">
        <f>+M295*1000/(51*1*110*60)*T295</f>
        <v>8.6408199643493759</v>
      </c>
      <c r="O295" s="146"/>
      <c r="P295" s="146">
        <f t="shared" si="40"/>
        <v>0</v>
      </c>
      <c r="Q295" s="146"/>
      <c r="R295" s="19">
        <f t="shared" si="41"/>
        <v>0</v>
      </c>
      <c r="S295" s="146">
        <f t="shared" si="42"/>
        <v>0</v>
      </c>
      <c r="T295" s="20">
        <v>7</v>
      </c>
      <c r="U295" s="20"/>
      <c r="V295" s="143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42">
        <v>300385</v>
      </c>
      <c r="B296" s="135" t="s">
        <v>87</v>
      </c>
      <c r="C296" s="248" t="s">
        <v>100</v>
      </c>
      <c r="D296" s="248" t="s">
        <v>104</v>
      </c>
      <c r="E296" s="148" t="s">
        <v>105</v>
      </c>
      <c r="F296" s="147"/>
      <c r="G296" s="146"/>
      <c r="H296" s="146"/>
      <c r="I296" s="146"/>
      <c r="J296" s="146"/>
      <c r="K296" s="146">
        <f t="shared" si="38"/>
        <v>0</v>
      </c>
      <c r="L296" s="146">
        <f t="shared" si="39"/>
        <v>0</v>
      </c>
      <c r="M296" s="146">
        <v>415.5</v>
      </c>
      <c r="N296" s="146">
        <f>+M296*1000/(51*1*110*60)*T296</f>
        <v>8.6408199643493759</v>
      </c>
      <c r="O296" s="146"/>
      <c r="P296" s="146">
        <f t="shared" si="40"/>
        <v>0</v>
      </c>
      <c r="Q296" s="146"/>
      <c r="R296" s="19">
        <f t="shared" si="41"/>
        <v>0</v>
      </c>
      <c r="S296" s="146">
        <f t="shared" si="42"/>
        <v>0</v>
      </c>
      <c r="T296" s="20">
        <v>7</v>
      </c>
      <c r="U296" s="20"/>
      <c r="V296" s="143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42">
        <v>300352</v>
      </c>
      <c r="B297" s="135" t="s">
        <v>87</v>
      </c>
      <c r="C297" s="248" t="s">
        <v>106</v>
      </c>
      <c r="D297" s="248" t="s">
        <v>101</v>
      </c>
      <c r="E297" s="148" t="s">
        <v>35</v>
      </c>
      <c r="F297" s="147"/>
      <c r="G297" s="146"/>
      <c r="H297" s="146"/>
      <c r="I297" s="146"/>
      <c r="J297" s="146"/>
      <c r="K297" s="146">
        <f t="shared" si="38"/>
        <v>0</v>
      </c>
      <c r="L297" s="146">
        <f t="shared" si="39"/>
        <v>0</v>
      </c>
      <c r="M297" s="146">
        <v>515.9</v>
      </c>
      <c r="N297" s="146">
        <f>+M297*1000/(80*1*110*60)*T297</f>
        <v>6.8395833333333336</v>
      </c>
      <c r="O297" s="146"/>
      <c r="P297" s="146">
        <f t="shared" si="40"/>
        <v>0</v>
      </c>
      <c r="Q297" s="146"/>
      <c r="R297" s="19">
        <f t="shared" si="41"/>
        <v>0</v>
      </c>
      <c r="S297" s="146">
        <f t="shared" si="42"/>
        <v>0</v>
      </c>
      <c r="T297" s="20">
        <v>7</v>
      </c>
      <c r="U297" s="20"/>
      <c r="V297" s="143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42">
        <v>300353</v>
      </c>
      <c r="B298" s="135" t="s">
        <v>87</v>
      </c>
      <c r="C298" s="248" t="s">
        <v>106</v>
      </c>
      <c r="D298" s="248" t="s">
        <v>101</v>
      </c>
      <c r="E298" s="148" t="s">
        <v>105</v>
      </c>
      <c r="F298" s="147"/>
      <c r="G298" s="146"/>
      <c r="H298" s="146"/>
      <c r="I298" s="146"/>
      <c r="J298" s="146"/>
      <c r="K298" s="146">
        <f t="shared" si="38"/>
        <v>0</v>
      </c>
      <c r="L298" s="146">
        <f t="shared" si="39"/>
        <v>0</v>
      </c>
      <c r="M298" s="146">
        <v>515.9</v>
      </c>
      <c r="N298" s="146">
        <f>+M298*1000/(80*1*110*60)*T298</f>
        <v>6.8395833333333336</v>
      </c>
      <c r="O298" s="146"/>
      <c r="P298" s="146">
        <f t="shared" si="40"/>
        <v>0</v>
      </c>
      <c r="Q298" s="146"/>
      <c r="R298" s="19">
        <f t="shared" si="41"/>
        <v>0</v>
      </c>
      <c r="S298" s="146">
        <f t="shared" si="42"/>
        <v>0</v>
      </c>
      <c r="T298" s="20">
        <v>7</v>
      </c>
      <c r="U298" s="20"/>
      <c r="V298" s="143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42">
        <v>300351</v>
      </c>
      <c r="B299" s="135" t="s">
        <v>87</v>
      </c>
      <c r="C299" s="248" t="s">
        <v>106</v>
      </c>
      <c r="D299" s="248" t="s">
        <v>101</v>
      </c>
      <c r="E299" s="148" t="s">
        <v>41</v>
      </c>
      <c r="F299" s="147"/>
      <c r="G299" s="146"/>
      <c r="H299" s="146"/>
      <c r="I299" s="146"/>
      <c r="J299" s="146"/>
      <c r="K299" s="146">
        <f t="shared" si="38"/>
        <v>0</v>
      </c>
      <c r="L299" s="146">
        <f t="shared" si="39"/>
        <v>0</v>
      </c>
      <c r="M299" s="146">
        <v>515.9</v>
      </c>
      <c r="N299" s="146">
        <f>+M299*1000/(80*1*110*60)*T299</f>
        <v>6.8395833333333336</v>
      </c>
      <c r="O299" s="146"/>
      <c r="P299" s="146">
        <f t="shared" si="40"/>
        <v>0</v>
      </c>
      <c r="Q299" s="146"/>
      <c r="R299" s="19">
        <f t="shared" si="41"/>
        <v>0</v>
      </c>
      <c r="S299" s="146">
        <f t="shared" si="42"/>
        <v>0</v>
      </c>
      <c r="T299" s="20">
        <v>7</v>
      </c>
      <c r="U299" s="20"/>
      <c r="V299" s="143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42">
        <v>300354</v>
      </c>
      <c r="B300" s="135" t="s">
        <v>87</v>
      </c>
      <c r="C300" s="248" t="s">
        <v>106</v>
      </c>
      <c r="D300" s="248" t="s">
        <v>101</v>
      </c>
      <c r="E300" s="148" t="s">
        <v>66</v>
      </c>
      <c r="F300" s="147"/>
      <c r="G300" s="146"/>
      <c r="H300" s="146"/>
      <c r="I300" s="146"/>
      <c r="J300" s="146"/>
      <c r="K300" s="146">
        <f t="shared" si="38"/>
        <v>0</v>
      </c>
      <c r="L300" s="146">
        <f t="shared" si="39"/>
        <v>0</v>
      </c>
      <c r="M300" s="146">
        <v>515.9</v>
      </c>
      <c r="N300" s="146">
        <f>+M300*1000/(80*1*110*60)*T300</f>
        <v>6.8395833333333336</v>
      </c>
      <c r="O300" s="146"/>
      <c r="P300" s="146">
        <f t="shared" si="40"/>
        <v>0</v>
      </c>
      <c r="Q300" s="146"/>
      <c r="R300" s="19">
        <f t="shared" si="41"/>
        <v>0</v>
      </c>
      <c r="S300" s="146">
        <f t="shared" si="42"/>
        <v>0</v>
      </c>
      <c r="T300" s="20">
        <v>7</v>
      </c>
      <c r="U300" s="20"/>
      <c r="V300" s="143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42">
        <v>300250</v>
      </c>
      <c r="B301" s="135" t="s">
        <v>87</v>
      </c>
      <c r="C301" s="248" t="s">
        <v>107</v>
      </c>
      <c r="D301" s="248" t="s">
        <v>101</v>
      </c>
      <c r="E301" s="148" t="s">
        <v>35</v>
      </c>
      <c r="F301" s="147"/>
      <c r="G301" s="146"/>
      <c r="H301" s="146"/>
      <c r="I301" s="146"/>
      <c r="J301" s="146"/>
      <c r="K301" s="146">
        <f t="shared" si="38"/>
        <v>0</v>
      </c>
      <c r="L301" s="146">
        <f t="shared" si="39"/>
        <v>0</v>
      </c>
      <c r="M301" s="146">
        <v>412.5</v>
      </c>
      <c r="N301" s="146">
        <f>+M301*1000/(84*1*110*60)*T301</f>
        <v>5.2083333333333339</v>
      </c>
      <c r="O301" s="146"/>
      <c r="P301" s="146">
        <f t="shared" si="40"/>
        <v>0</v>
      </c>
      <c r="Q301" s="146"/>
      <c r="R301" s="19">
        <f t="shared" si="41"/>
        <v>0</v>
      </c>
      <c r="S301" s="146">
        <f t="shared" si="42"/>
        <v>0</v>
      </c>
      <c r="T301" s="20">
        <v>7</v>
      </c>
      <c r="U301" s="20"/>
      <c r="V301" s="143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42">
        <v>300251</v>
      </c>
      <c r="B302" s="135" t="s">
        <v>87</v>
      </c>
      <c r="C302" s="248" t="s">
        <v>107</v>
      </c>
      <c r="D302" s="248" t="s">
        <v>101</v>
      </c>
      <c r="E302" s="148" t="s">
        <v>105</v>
      </c>
      <c r="F302" s="147"/>
      <c r="G302" s="146"/>
      <c r="H302" s="146"/>
      <c r="I302" s="146"/>
      <c r="J302" s="146"/>
      <c r="K302" s="146">
        <f t="shared" si="38"/>
        <v>0</v>
      </c>
      <c r="L302" s="146">
        <f t="shared" si="39"/>
        <v>0</v>
      </c>
      <c r="M302" s="146">
        <v>412.5</v>
      </c>
      <c r="N302" s="146">
        <f>+M302*1000/(84*1*110*60)*T302</f>
        <v>5.2083333333333339</v>
      </c>
      <c r="O302" s="146"/>
      <c r="P302" s="146">
        <f t="shared" si="40"/>
        <v>0</v>
      </c>
      <c r="Q302" s="146"/>
      <c r="R302" s="19">
        <f t="shared" si="41"/>
        <v>0</v>
      </c>
      <c r="S302" s="146">
        <f t="shared" si="42"/>
        <v>0</v>
      </c>
      <c r="T302" s="20">
        <v>7</v>
      </c>
      <c r="U302" s="20"/>
      <c r="V302" s="143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42">
        <v>300254</v>
      </c>
      <c r="B303" s="135" t="s">
        <v>87</v>
      </c>
      <c r="C303" s="248" t="s">
        <v>107</v>
      </c>
      <c r="D303" s="248" t="s">
        <v>101</v>
      </c>
      <c r="E303" s="148" t="s">
        <v>41</v>
      </c>
      <c r="F303" s="147"/>
      <c r="G303" s="146"/>
      <c r="H303" s="146"/>
      <c r="I303" s="146"/>
      <c r="J303" s="146"/>
      <c r="K303" s="146">
        <f t="shared" si="38"/>
        <v>0</v>
      </c>
      <c r="L303" s="146">
        <f t="shared" si="39"/>
        <v>0</v>
      </c>
      <c r="M303" s="146">
        <v>412.5</v>
      </c>
      <c r="N303" s="146">
        <f>+M303*1000/(84*1*110*60)*T303</f>
        <v>5.2083333333333339</v>
      </c>
      <c r="O303" s="146"/>
      <c r="P303" s="146">
        <f t="shared" si="40"/>
        <v>0</v>
      </c>
      <c r="Q303" s="146"/>
      <c r="R303" s="19">
        <f t="shared" si="41"/>
        <v>0</v>
      </c>
      <c r="S303" s="146">
        <f t="shared" si="42"/>
        <v>0</v>
      </c>
      <c r="T303" s="20">
        <v>7</v>
      </c>
      <c r="U303" s="20"/>
      <c r="V303" s="143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42">
        <v>300253</v>
      </c>
      <c r="B304" s="135" t="s">
        <v>87</v>
      </c>
      <c r="C304" s="248" t="s">
        <v>107</v>
      </c>
      <c r="D304" s="248" t="s">
        <v>101</v>
      </c>
      <c r="E304" s="148" t="s">
        <v>66</v>
      </c>
      <c r="F304" s="147"/>
      <c r="G304" s="146"/>
      <c r="H304" s="146"/>
      <c r="I304" s="146"/>
      <c r="J304" s="146"/>
      <c r="K304" s="146">
        <f t="shared" si="38"/>
        <v>0</v>
      </c>
      <c r="L304" s="146">
        <f t="shared" si="39"/>
        <v>0</v>
      </c>
      <c r="M304" s="146">
        <v>412.5</v>
      </c>
      <c r="N304" s="146">
        <f>+M304*1000/(84*1*110*60)*T304</f>
        <v>5.2083333333333339</v>
      </c>
      <c r="O304" s="146"/>
      <c r="P304" s="146">
        <f t="shared" si="40"/>
        <v>0</v>
      </c>
      <c r="Q304" s="146"/>
      <c r="R304" s="19">
        <f t="shared" si="41"/>
        <v>0</v>
      </c>
      <c r="S304" s="146">
        <f t="shared" si="42"/>
        <v>0</v>
      </c>
      <c r="T304" s="20">
        <v>7</v>
      </c>
      <c r="U304" s="20"/>
      <c r="V304" s="143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42">
        <v>300255</v>
      </c>
      <c r="B305" s="135" t="s">
        <v>87</v>
      </c>
      <c r="C305" s="248" t="s">
        <v>107</v>
      </c>
      <c r="D305" s="248" t="s">
        <v>101</v>
      </c>
      <c r="E305" s="148" t="s">
        <v>108</v>
      </c>
      <c r="F305" s="147"/>
      <c r="G305" s="146"/>
      <c r="H305" s="146"/>
      <c r="I305" s="146"/>
      <c r="J305" s="146"/>
      <c r="K305" s="146">
        <f t="shared" si="38"/>
        <v>0</v>
      </c>
      <c r="L305" s="146">
        <f t="shared" si="39"/>
        <v>0</v>
      </c>
      <c r="M305" s="146">
        <v>412.5</v>
      </c>
      <c r="N305" s="146">
        <f>+M305*1000/(84*1*110*60)*T305</f>
        <v>5.2083333333333339</v>
      </c>
      <c r="O305" s="146"/>
      <c r="P305" s="146">
        <f t="shared" si="40"/>
        <v>0</v>
      </c>
      <c r="Q305" s="146"/>
      <c r="R305" s="19">
        <f t="shared" si="41"/>
        <v>0</v>
      </c>
      <c r="S305" s="146">
        <f t="shared" si="42"/>
        <v>0</v>
      </c>
      <c r="T305" s="20">
        <v>7</v>
      </c>
      <c r="U305" s="20"/>
      <c r="V305" s="143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42">
        <v>300392</v>
      </c>
      <c r="B306" s="135" t="s">
        <v>87</v>
      </c>
      <c r="C306" s="259" t="s">
        <v>109</v>
      </c>
      <c r="D306" s="260"/>
      <c r="E306" s="148" t="s">
        <v>105</v>
      </c>
      <c r="F306" s="142"/>
      <c r="G306" s="146"/>
      <c r="H306" s="146"/>
      <c r="I306" s="146"/>
      <c r="J306" s="146"/>
      <c r="K306" s="146">
        <f t="shared" si="38"/>
        <v>0</v>
      </c>
      <c r="L306" s="146">
        <f t="shared" si="39"/>
        <v>0</v>
      </c>
      <c r="M306" s="146">
        <v>523</v>
      </c>
      <c r="N306" s="146">
        <f>+M306*1000/(98*1*80*60)*T306</f>
        <v>7.7827380952380958</v>
      </c>
      <c r="O306" s="146"/>
      <c r="P306" s="146">
        <f t="shared" si="40"/>
        <v>0</v>
      </c>
      <c r="Q306" s="146"/>
      <c r="R306" s="19">
        <f t="shared" si="41"/>
        <v>0</v>
      </c>
      <c r="S306" s="146">
        <f t="shared" si="42"/>
        <v>0</v>
      </c>
      <c r="T306" s="20">
        <v>7</v>
      </c>
      <c r="U306" s="20"/>
      <c r="V306" s="143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42">
        <v>300088</v>
      </c>
      <c r="B307" s="135" t="s">
        <v>87</v>
      </c>
      <c r="C307" s="248" t="s">
        <v>110</v>
      </c>
      <c r="D307" s="248" t="s">
        <v>111</v>
      </c>
      <c r="E307" s="148" t="s">
        <v>39</v>
      </c>
      <c r="F307" s="147"/>
      <c r="G307" s="146"/>
      <c r="H307" s="146"/>
      <c r="I307" s="146"/>
      <c r="J307" s="146"/>
      <c r="K307" s="146">
        <f t="shared" si="38"/>
        <v>0</v>
      </c>
      <c r="L307" s="146">
        <f t="shared" si="39"/>
        <v>0</v>
      </c>
      <c r="M307" s="146">
        <v>617.79999999999995</v>
      </c>
      <c r="N307" s="146">
        <f>+M307*1000/(123*1*80*60)*T307</f>
        <v>3.1392276422764223</v>
      </c>
      <c r="O307" s="146"/>
      <c r="P307" s="146">
        <f t="shared" si="40"/>
        <v>0</v>
      </c>
      <c r="Q307" s="146"/>
      <c r="R307" s="19">
        <f t="shared" si="41"/>
        <v>0</v>
      </c>
      <c r="S307" s="146">
        <f t="shared" si="42"/>
        <v>0</v>
      </c>
      <c r="T307" s="20">
        <v>3</v>
      </c>
      <c r="U307" s="20"/>
      <c r="V307" s="143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42">
        <v>300089</v>
      </c>
      <c r="B308" s="135" t="s">
        <v>87</v>
      </c>
      <c r="C308" s="248" t="s">
        <v>110</v>
      </c>
      <c r="D308" s="248" t="s">
        <v>111</v>
      </c>
      <c r="E308" s="148" t="s">
        <v>42</v>
      </c>
      <c r="F308" s="147"/>
      <c r="G308" s="146"/>
      <c r="H308" s="146"/>
      <c r="I308" s="146"/>
      <c r="J308" s="146"/>
      <c r="K308" s="146">
        <f t="shared" si="38"/>
        <v>0</v>
      </c>
      <c r="L308" s="146">
        <f t="shared" si="39"/>
        <v>0</v>
      </c>
      <c r="M308" s="146">
        <v>618.6</v>
      </c>
      <c r="N308" s="146">
        <f>+M308*1000/(124*1*80*60)*T308</f>
        <v>3.117943548387097</v>
      </c>
      <c r="O308" s="146"/>
      <c r="P308" s="146">
        <f t="shared" si="40"/>
        <v>0</v>
      </c>
      <c r="Q308" s="146"/>
      <c r="R308" s="19">
        <f t="shared" si="41"/>
        <v>0</v>
      </c>
      <c r="S308" s="146">
        <f t="shared" si="42"/>
        <v>0</v>
      </c>
      <c r="T308" s="20">
        <v>3</v>
      </c>
      <c r="U308" s="20"/>
      <c r="V308" s="143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42">
        <v>300128</v>
      </c>
      <c r="B309" s="152" t="s">
        <v>321</v>
      </c>
      <c r="C309" s="248" t="s">
        <v>112</v>
      </c>
      <c r="D309" s="248" t="s">
        <v>113</v>
      </c>
      <c r="E309" s="148" t="s">
        <v>35</v>
      </c>
      <c r="F309" s="147"/>
      <c r="G309" s="146">
        <v>10.83</v>
      </c>
      <c r="H309" s="146"/>
      <c r="I309" s="146">
        <f>11-J309/600</f>
        <v>10.833333333333334</v>
      </c>
      <c r="J309" s="146">
        <v>100</v>
      </c>
      <c r="K309" s="146">
        <f t="shared" si="38"/>
        <v>6728.6789999999992</v>
      </c>
      <c r="L309" s="146">
        <f t="shared" si="39"/>
        <v>6730.75</v>
      </c>
      <c r="M309" s="146">
        <v>621.29999999999995</v>
      </c>
      <c r="N309" s="146">
        <f t="shared" ref="N309:N314" si="43">+M309*1000/(130.5*1*80*60)*T309</f>
        <v>3.9674329501915708</v>
      </c>
      <c r="O309" s="146">
        <v>0.5</v>
      </c>
      <c r="P309" s="146">
        <f t="shared" si="40"/>
        <v>44.98052362707535</v>
      </c>
      <c r="Q309" s="146">
        <v>3</v>
      </c>
      <c r="R309" s="19">
        <f t="shared" si="41"/>
        <v>12</v>
      </c>
      <c r="S309" s="146">
        <f t="shared" si="42"/>
        <v>-32.98052362707535</v>
      </c>
      <c r="T309" s="20">
        <v>4</v>
      </c>
      <c r="U309" s="20">
        <v>4</v>
      </c>
      <c r="V309" s="143">
        <f t="array" ref="V309">IF(ISERROR(L309/K309),"",L309/K309)</f>
        <v>1.0003077870113883</v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42">
        <v>300129</v>
      </c>
      <c r="B310" s="152" t="s">
        <v>321</v>
      </c>
      <c r="C310" s="248" t="s">
        <v>112</v>
      </c>
      <c r="D310" s="248" t="s">
        <v>113</v>
      </c>
      <c r="E310" s="148" t="s">
        <v>41</v>
      </c>
      <c r="F310" s="147"/>
      <c r="G310" s="146">
        <v>8.75</v>
      </c>
      <c r="H310" s="146">
        <v>0.75</v>
      </c>
      <c r="I310" s="146">
        <f>8+H310</f>
        <v>8.75</v>
      </c>
      <c r="J310" s="146"/>
      <c r="K310" s="146">
        <f t="shared" si="38"/>
        <v>5436.375</v>
      </c>
      <c r="L310" s="146">
        <f t="shared" si="39"/>
        <v>5436.375</v>
      </c>
      <c r="M310" s="146">
        <v>621.29999999999995</v>
      </c>
      <c r="N310" s="146">
        <f t="shared" si="43"/>
        <v>3.9674329501915708</v>
      </c>
      <c r="O310" s="146"/>
      <c r="P310" s="146">
        <f t="shared" si="40"/>
        <v>34.715038314176248</v>
      </c>
      <c r="Q310" s="146">
        <v>10</v>
      </c>
      <c r="R310" s="19">
        <f t="shared" si="41"/>
        <v>50</v>
      </c>
      <c r="S310" s="146">
        <f t="shared" si="42"/>
        <v>15.284961685823752</v>
      </c>
      <c r="T310" s="20">
        <v>4</v>
      </c>
      <c r="U310" s="20">
        <v>5</v>
      </c>
      <c r="V310" s="143">
        <f t="array" ref="V310">IF(ISERROR(L310/K310),"",L310/K310)</f>
        <v>1</v>
      </c>
      <c r="W310" s="20"/>
      <c r="X310" s="20"/>
      <c r="Y310" s="20"/>
      <c r="Z310" s="20"/>
      <c r="AA310" s="20">
        <v>2</v>
      </c>
      <c r="AB310" s="20"/>
      <c r="AC310" s="20"/>
    </row>
    <row r="311" spans="1:29" s="2" customFormat="1" ht="21.95" hidden="1" customHeight="1">
      <c r="A311" s="142">
        <v>300130</v>
      </c>
      <c r="B311" s="135" t="s">
        <v>87</v>
      </c>
      <c r="C311" s="248" t="s">
        <v>112</v>
      </c>
      <c r="D311" s="248" t="s">
        <v>113</v>
      </c>
      <c r="E311" s="148" t="s">
        <v>37</v>
      </c>
      <c r="F311" s="147"/>
      <c r="G311" s="146"/>
      <c r="H311" s="146"/>
      <c r="I311" s="146"/>
      <c r="J311" s="146"/>
      <c r="K311" s="146">
        <f t="shared" si="38"/>
        <v>0</v>
      </c>
      <c r="L311" s="146">
        <f t="shared" si="39"/>
        <v>0</v>
      </c>
      <c r="M311" s="146">
        <v>621.29999999999995</v>
      </c>
      <c r="N311" s="146">
        <f t="shared" si="43"/>
        <v>3.9674329501915708</v>
      </c>
      <c r="O311" s="146"/>
      <c r="P311" s="146">
        <f t="shared" si="40"/>
        <v>0</v>
      </c>
      <c r="Q311" s="146"/>
      <c r="R311" s="19">
        <f t="shared" si="41"/>
        <v>0</v>
      </c>
      <c r="S311" s="146">
        <f t="shared" si="42"/>
        <v>0</v>
      </c>
      <c r="T311" s="20">
        <v>4</v>
      </c>
      <c r="U311" s="20"/>
      <c r="V311" s="143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42">
        <v>300423</v>
      </c>
      <c r="B312" s="135" t="s">
        <v>300</v>
      </c>
      <c r="C312" s="259" t="s">
        <v>296</v>
      </c>
      <c r="D312" s="260"/>
      <c r="E312" s="148" t="s">
        <v>297</v>
      </c>
      <c r="F312" s="13"/>
      <c r="G312" s="110"/>
      <c r="H312" s="110"/>
      <c r="I312" s="110"/>
      <c r="J312" s="110"/>
      <c r="K312" s="146">
        <f t="shared" si="38"/>
        <v>0</v>
      </c>
      <c r="L312" s="146">
        <f t="shared" si="39"/>
        <v>0</v>
      </c>
      <c r="M312" s="146">
        <v>524.1</v>
      </c>
      <c r="N312" s="146">
        <f t="shared" si="43"/>
        <v>3.3467432950191571</v>
      </c>
      <c r="O312" s="146"/>
      <c r="P312" s="146">
        <f t="shared" si="40"/>
        <v>0</v>
      </c>
      <c r="Q312" s="146"/>
      <c r="R312" s="19">
        <f t="shared" si="41"/>
        <v>0</v>
      </c>
      <c r="S312" s="146">
        <f t="shared" si="42"/>
        <v>0</v>
      </c>
      <c r="T312" s="20">
        <v>4</v>
      </c>
      <c r="U312" s="20"/>
      <c r="V312" s="143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42">
        <v>300424</v>
      </c>
      <c r="B313" s="135" t="s">
        <v>300</v>
      </c>
      <c r="C313" s="259" t="s">
        <v>296</v>
      </c>
      <c r="D313" s="260"/>
      <c r="E313" s="148" t="s">
        <v>298</v>
      </c>
      <c r="F313" s="13"/>
      <c r="G313" s="110"/>
      <c r="H313" s="110"/>
      <c r="I313" s="110"/>
      <c r="J313" s="110"/>
      <c r="K313" s="146">
        <f t="shared" si="38"/>
        <v>0</v>
      </c>
      <c r="L313" s="146">
        <f t="shared" si="39"/>
        <v>0</v>
      </c>
      <c r="M313" s="146">
        <v>524.1</v>
      </c>
      <c r="N313" s="146">
        <f t="shared" si="43"/>
        <v>3.3467432950191571</v>
      </c>
      <c r="O313" s="146"/>
      <c r="P313" s="146">
        <f t="shared" si="40"/>
        <v>0</v>
      </c>
      <c r="Q313" s="146"/>
      <c r="R313" s="19">
        <f t="shared" si="41"/>
        <v>0</v>
      </c>
      <c r="S313" s="146">
        <f t="shared" si="42"/>
        <v>0</v>
      </c>
      <c r="T313" s="20">
        <v>4</v>
      </c>
      <c r="U313" s="20"/>
      <c r="V313" s="143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42">
        <v>300425</v>
      </c>
      <c r="B314" s="135" t="s">
        <v>300</v>
      </c>
      <c r="C314" s="259" t="s">
        <v>296</v>
      </c>
      <c r="D314" s="260"/>
      <c r="E314" s="148" t="s">
        <v>299</v>
      </c>
      <c r="F314" s="13"/>
      <c r="G314" s="110"/>
      <c r="H314" s="110"/>
      <c r="I314" s="110"/>
      <c r="J314" s="110"/>
      <c r="K314" s="146">
        <f t="shared" si="38"/>
        <v>0</v>
      </c>
      <c r="L314" s="146">
        <f t="shared" si="39"/>
        <v>0</v>
      </c>
      <c r="M314" s="146">
        <v>524.1</v>
      </c>
      <c r="N314" s="146">
        <f t="shared" si="43"/>
        <v>3.3467432950191571</v>
      </c>
      <c r="O314" s="146"/>
      <c r="P314" s="146">
        <f t="shared" si="40"/>
        <v>0</v>
      </c>
      <c r="Q314" s="146"/>
      <c r="R314" s="19">
        <f t="shared" si="41"/>
        <v>0</v>
      </c>
      <c r="S314" s="146">
        <f t="shared" si="42"/>
        <v>0</v>
      </c>
      <c r="T314" s="20">
        <v>4</v>
      </c>
      <c r="U314" s="20"/>
      <c r="V314" s="143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42">
        <v>300390</v>
      </c>
      <c r="B315" s="135" t="s">
        <v>295</v>
      </c>
      <c r="C315" s="259" t="s">
        <v>114</v>
      </c>
      <c r="D315" s="260"/>
      <c r="E315" s="148" t="s">
        <v>115</v>
      </c>
      <c r="F315" s="147"/>
      <c r="G315" s="146"/>
      <c r="H315" s="146"/>
      <c r="I315" s="146"/>
      <c r="J315" s="146"/>
      <c r="K315" s="146">
        <f t="shared" si="38"/>
        <v>0</v>
      </c>
      <c r="L315" s="146">
        <f t="shared" si="39"/>
        <v>0</v>
      </c>
      <c r="M315" s="146">
        <v>417.4</v>
      </c>
      <c r="N315" s="146">
        <f>+M315*1000/(87*1*80*60)*T315</f>
        <v>3.9980842911877397</v>
      </c>
      <c r="O315" s="146"/>
      <c r="P315" s="146">
        <f t="shared" si="40"/>
        <v>0</v>
      </c>
      <c r="Q315" s="146"/>
      <c r="R315" s="19">
        <f t="shared" si="41"/>
        <v>0</v>
      </c>
      <c r="S315" s="146">
        <f t="shared" si="42"/>
        <v>0</v>
      </c>
      <c r="T315" s="20">
        <v>4</v>
      </c>
      <c r="U315" s="20"/>
      <c r="V315" s="143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42">
        <v>300391</v>
      </c>
      <c r="B316" s="135" t="s">
        <v>116</v>
      </c>
      <c r="C316" s="259" t="s">
        <v>114</v>
      </c>
      <c r="D316" s="260"/>
      <c r="E316" s="148" t="s">
        <v>117</v>
      </c>
      <c r="F316" s="147"/>
      <c r="G316" s="146"/>
      <c r="H316" s="146"/>
      <c r="I316" s="146"/>
      <c r="J316" s="146"/>
      <c r="K316" s="146">
        <f t="shared" si="38"/>
        <v>0</v>
      </c>
      <c r="L316" s="146">
        <f t="shared" si="39"/>
        <v>0</v>
      </c>
      <c r="M316" s="146">
        <v>417.4</v>
      </c>
      <c r="N316" s="146">
        <f>+M316*1000/(87*1*80*60)*T316</f>
        <v>3.9980842911877397</v>
      </c>
      <c r="O316" s="146"/>
      <c r="P316" s="146">
        <f t="shared" si="40"/>
        <v>0</v>
      </c>
      <c r="Q316" s="146"/>
      <c r="R316" s="19">
        <f t="shared" si="41"/>
        <v>0</v>
      </c>
      <c r="S316" s="146">
        <f t="shared" si="42"/>
        <v>0</v>
      </c>
      <c r="T316" s="20">
        <v>4</v>
      </c>
      <c r="U316" s="20"/>
      <c r="V316" s="143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35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35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35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42">
        <v>300074</v>
      </c>
      <c r="B320" s="135" t="s">
        <v>118</v>
      </c>
      <c r="C320" s="248" t="s">
        <v>119</v>
      </c>
      <c r="D320" s="248" t="s">
        <v>120</v>
      </c>
      <c r="E320" s="148" t="s">
        <v>54</v>
      </c>
      <c r="F320" s="147"/>
      <c r="G320" s="146"/>
      <c r="H320" s="146"/>
      <c r="I320" s="146"/>
      <c r="J320" s="146"/>
      <c r="K320" s="146">
        <f t="shared" si="38"/>
        <v>0</v>
      </c>
      <c r="L320" s="146">
        <f t="shared" si="39"/>
        <v>0</v>
      </c>
      <c r="M320" s="146">
        <v>290.8</v>
      </c>
      <c r="N320" s="146">
        <f>+M320*1000/(88*4*13*60)*T320</f>
        <v>3.1774475524475525</v>
      </c>
      <c r="O320" s="146"/>
      <c r="P320" s="146">
        <f t="shared" si="40"/>
        <v>0</v>
      </c>
      <c r="Q320" s="146"/>
      <c r="R320" s="19">
        <f t="shared" si="41"/>
        <v>0</v>
      </c>
      <c r="S320" s="146">
        <f t="shared" si="42"/>
        <v>0</v>
      </c>
      <c r="T320" s="20">
        <v>3</v>
      </c>
      <c r="U320" s="20"/>
      <c r="V320" s="143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42">
        <v>300076</v>
      </c>
      <c r="B321" s="135" t="s">
        <v>118</v>
      </c>
      <c r="C321" s="248" t="s">
        <v>119</v>
      </c>
      <c r="D321" s="248" t="s">
        <v>120</v>
      </c>
      <c r="E321" s="148" t="s">
        <v>35</v>
      </c>
      <c r="F321" s="147"/>
      <c r="G321" s="146"/>
      <c r="H321" s="146"/>
      <c r="I321" s="146"/>
      <c r="J321" s="146"/>
      <c r="K321" s="146">
        <f t="shared" si="38"/>
        <v>0</v>
      </c>
      <c r="L321" s="146">
        <f t="shared" si="39"/>
        <v>0</v>
      </c>
      <c r="M321" s="146">
        <v>303.10000000000002</v>
      </c>
      <c r="N321" s="146">
        <f>+M321*1000/(88*4*12*60)*T321</f>
        <v>4.7837752525252526</v>
      </c>
      <c r="O321" s="146"/>
      <c r="P321" s="146">
        <f t="shared" si="40"/>
        <v>0</v>
      </c>
      <c r="Q321" s="146"/>
      <c r="R321" s="19">
        <f t="shared" si="41"/>
        <v>0</v>
      </c>
      <c r="S321" s="146">
        <f t="shared" si="42"/>
        <v>0</v>
      </c>
      <c r="T321" s="20">
        <v>4</v>
      </c>
      <c r="U321" s="20"/>
      <c r="V321" s="143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42">
        <v>300096</v>
      </c>
      <c r="B322" s="138">
        <v>6502</v>
      </c>
      <c r="C322" s="261" t="s">
        <v>121</v>
      </c>
      <c r="D322" s="261" t="s">
        <v>122</v>
      </c>
      <c r="E322" s="42" t="s">
        <v>37</v>
      </c>
      <c r="F322" s="147"/>
      <c r="G322" s="146"/>
      <c r="H322" s="146"/>
      <c r="I322" s="146"/>
      <c r="J322" s="146"/>
      <c r="K322" s="146">
        <f t="shared" si="38"/>
        <v>0</v>
      </c>
      <c r="L322" s="146">
        <f t="shared" si="39"/>
        <v>0</v>
      </c>
      <c r="M322" s="146">
        <v>480.13</v>
      </c>
      <c r="N322" s="146">
        <f>+M322*1000/(126.5*4*12*60)*T322</f>
        <v>2.6357597716293371</v>
      </c>
      <c r="O322" s="146"/>
      <c r="P322" s="146">
        <f t="shared" si="40"/>
        <v>0</v>
      </c>
      <c r="Q322" s="146"/>
      <c r="R322" s="19">
        <f t="shared" si="41"/>
        <v>0</v>
      </c>
      <c r="S322" s="146">
        <f t="shared" si="42"/>
        <v>0</v>
      </c>
      <c r="T322" s="20">
        <v>2</v>
      </c>
      <c r="U322" s="20"/>
      <c r="V322" s="143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42"/>
      <c r="B323" s="138" t="s">
        <v>118</v>
      </c>
      <c r="C323" s="261" t="s">
        <v>121</v>
      </c>
      <c r="D323" s="261" t="s">
        <v>122</v>
      </c>
      <c r="E323" s="42" t="s">
        <v>35</v>
      </c>
      <c r="F323" s="147"/>
      <c r="G323" s="146"/>
      <c r="H323" s="146"/>
      <c r="I323" s="146"/>
      <c r="J323" s="146"/>
      <c r="K323" s="146">
        <f t="shared" si="38"/>
        <v>0</v>
      </c>
      <c r="L323" s="146">
        <f t="shared" si="39"/>
        <v>0</v>
      </c>
      <c r="M323" s="146">
        <v>480.13</v>
      </c>
      <c r="N323" s="146">
        <f>+M323*1000/(126.5*4*12*60)*T323</f>
        <v>2.6357597716293371</v>
      </c>
      <c r="O323" s="146"/>
      <c r="P323" s="146">
        <f t="shared" si="40"/>
        <v>0</v>
      </c>
      <c r="Q323" s="146"/>
      <c r="R323" s="19">
        <f t="shared" si="41"/>
        <v>0</v>
      </c>
      <c r="S323" s="146">
        <f t="shared" si="42"/>
        <v>0</v>
      </c>
      <c r="T323" s="20">
        <v>2</v>
      </c>
      <c r="U323" s="20"/>
      <c r="V323" s="143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42">
        <v>300097</v>
      </c>
      <c r="B324" s="138">
        <v>6502</v>
      </c>
      <c r="C324" s="261" t="s">
        <v>121</v>
      </c>
      <c r="D324" s="261" t="s">
        <v>122</v>
      </c>
      <c r="E324" s="42" t="s">
        <v>63</v>
      </c>
      <c r="F324" s="147"/>
      <c r="G324" s="146"/>
      <c r="H324" s="146"/>
      <c r="I324" s="146"/>
      <c r="J324" s="146"/>
      <c r="K324" s="146">
        <f t="shared" si="38"/>
        <v>0</v>
      </c>
      <c r="L324" s="146">
        <f t="shared" si="39"/>
        <v>0</v>
      </c>
      <c r="M324" s="146">
        <v>480.13</v>
      </c>
      <c r="N324" s="146">
        <f>+M324*1000/(126.5*4*12*60)*T324</f>
        <v>2.6357597716293371</v>
      </c>
      <c r="O324" s="146"/>
      <c r="P324" s="146">
        <f t="shared" si="40"/>
        <v>0</v>
      </c>
      <c r="Q324" s="146"/>
      <c r="R324" s="19">
        <f t="shared" si="41"/>
        <v>0</v>
      </c>
      <c r="S324" s="146">
        <f t="shared" si="42"/>
        <v>0</v>
      </c>
      <c r="T324" s="20">
        <v>2</v>
      </c>
      <c r="U324" s="20"/>
      <c r="V324" s="143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35">
        <v>300294</v>
      </c>
      <c r="B325" s="135" t="s">
        <v>118</v>
      </c>
      <c r="C325" s="248" t="s">
        <v>123</v>
      </c>
      <c r="D325" s="248"/>
      <c r="E325" s="148" t="s">
        <v>41</v>
      </c>
      <c r="F325" s="147"/>
      <c r="G325" s="146"/>
      <c r="H325" s="146"/>
      <c r="I325" s="146"/>
      <c r="J325" s="146"/>
      <c r="K325" s="146">
        <f t="shared" si="38"/>
        <v>0</v>
      </c>
      <c r="L325" s="146">
        <f t="shared" si="39"/>
        <v>0</v>
      </c>
      <c r="M325" s="146">
        <v>373.14</v>
      </c>
      <c r="N325" s="146">
        <f t="shared" ref="N325:N334" si="44">+M325*1000/(90*4*14*60)*T325</f>
        <v>3.7017857142857142</v>
      </c>
      <c r="O325" s="146"/>
      <c r="P325" s="146">
        <f t="shared" si="40"/>
        <v>0</v>
      </c>
      <c r="Q325" s="146"/>
      <c r="R325" s="19">
        <f t="shared" si="41"/>
        <v>0</v>
      </c>
      <c r="S325" s="146">
        <f t="shared" si="42"/>
        <v>0</v>
      </c>
      <c r="T325" s="20">
        <v>3</v>
      </c>
      <c r="U325" s="20"/>
      <c r="V325" s="143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35">
        <v>300295</v>
      </c>
      <c r="B326" s="135" t="s">
        <v>124</v>
      </c>
      <c r="C326" s="248" t="s">
        <v>125</v>
      </c>
      <c r="D326" s="248"/>
      <c r="E326" s="148" t="s">
        <v>126</v>
      </c>
      <c r="F326" s="147"/>
      <c r="G326" s="146"/>
      <c r="H326" s="146"/>
      <c r="I326" s="146"/>
      <c r="J326" s="146"/>
      <c r="K326" s="146">
        <f t="shared" si="38"/>
        <v>0</v>
      </c>
      <c r="L326" s="146">
        <f t="shared" si="39"/>
        <v>0</v>
      </c>
      <c r="M326" s="146">
        <v>373.14</v>
      </c>
      <c r="N326" s="146">
        <f t="shared" si="44"/>
        <v>3.7017857142857142</v>
      </c>
      <c r="O326" s="146"/>
      <c r="P326" s="146">
        <f t="shared" si="40"/>
        <v>0</v>
      </c>
      <c r="Q326" s="146"/>
      <c r="R326" s="19">
        <f t="shared" si="41"/>
        <v>0</v>
      </c>
      <c r="S326" s="146">
        <f t="shared" si="42"/>
        <v>0</v>
      </c>
      <c r="T326" s="20">
        <v>3</v>
      </c>
      <c r="U326" s="20"/>
      <c r="V326" s="143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35">
        <v>300258</v>
      </c>
      <c r="B327" s="135" t="s">
        <v>118</v>
      </c>
      <c r="C327" s="248" t="s">
        <v>123</v>
      </c>
      <c r="D327" s="248"/>
      <c r="E327" s="148" t="s">
        <v>42</v>
      </c>
      <c r="F327" s="147"/>
      <c r="G327" s="146"/>
      <c r="H327" s="146"/>
      <c r="I327" s="146"/>
      <c r="J327" s="146"/>
      <c r="K327" s="146">
        <f t="shared" si="38"/>
        <v>0</v>
      </c>
      <c r="L327" s="146">
        <f t="shared" si="39"/>
        <v>0</v>
      </c>
      <c r="M327" s="146">
        <v>373.14</v>
      </c>
      <c r="N327" s="146">
        <f t="shared" si="44"/>
        <v>3.7017857142857142</v>
      </c>
      <c r="O327" s="146"/>
      <c r="P327" s="146">
        <f t="shared" si="40"/>
        <v>0</v>
      </c>
      <c r="Q327" s="146"/>
      <c r="R327" s="19">
        <f t="shared" si="41"/>
        <v>0</v>
      </c>
      <c r="S327" s="146">
        <f t="shared" si="42"/>
        <v>0</v>
      </c>
      <c r="T327" s="20">
        <v>3</v>
      </c>
      <c r="U327" s="20"/>
      <c r="V327" s="143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35">
        <v>300256</v>
      </c>
      <c r="B328" s="135" t="s">
        <v>118</v>
      </c>
      <c r="C328" s="248" t="s">
        <v>123</v>
      </c>
      <c r="D328" s="248"/>
      <c r="E328" s="148" t="s">
        <v>74</v>
      </c>
      <c r="F328" s="147"/>
      <c r="G328" s="146"/>
      <c r="H328" s="146"/>
      <c r="I328" s="146"/>
      <c r="J328" s="146"/>
      <c r="K328" s="146">
        <f t="shared" si="38"/>
        <v>0</v>
      </c>
      <c r="L328" s="146">
        <f t="shared" si="39"/>
        <v>0</v>
      </c>
      <c r="M328" s="146">
        <v>373.14</v>
      </c>
      <c r="N328" s="146">
        <f t="shared" si="44"/>
        <v>3.7017857142857142</v>
      </c>
      <c r="O328" s="146"/>
      <c r="P328" s="146">
        <f t="shared" si="40"/>
        <v>0</v>
      </c>
      <c r="Q328" s="146"/>
      <c r="R328" s="19">
        <f t="shared" si="41"/>
        <v>0</v>
      </c>
      <c r="S328" s="146">
        <f t="shared" si="42"/>
        <v>0</v>
      </c>
      <c r="T328" s="20">
        <v>3</v>
      </c>
      <c r="U328" s="20"/>
      <c r="V328" s="143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35">
        <v>300259</v>
      </c>
      <c r="B329" s="135" t="s">
        <v>118</v>
      </c>
      <c r="C329" s="248" t="s">
        <v>123</v>
      </c>
      <c r="D329" s="248"/>
      <c r="E329" s="148" t="s">
        <v>40</v>
      </c>
      <c r="F329" s="147"/>
      <c r="G329" s="146"/>
      <c r="H329" s="146"/>
      <c r="I329" s="146"/>
      <c r="J329" s="146"/>
      <c r="K329" s="146">
        <f t="shared" si="38"/>
        <v>0</v>
      </c>
      <c r="L329" s="146">
        <f t="shared" si="39"/>
        <v>0</v>
      </c>
      <c r="M329" s="146">
        <v>373.14</v>
      </c>
      <c r="N329" s="146">
        <f t="shared" si="44"/>
        <v>3.7017857142857142</v>
      </c>
      <c r="O329" s="146"/>
      <c r="P329" s="146">
        <f t="shared" si="40"/>
        <v>0</v>
      </c>
      <c r="Q329" s="146"/>
      <c r="R329" s="19">
        <f t="shared" si="41"/>
        <v>0</v>
      </c>
      <c r="S329" s="146">
        <f t="shared" si="42"/>
        <v>0</v>
      </c>
      <c r="T329" s="20">
        <v>3</v>
      </c>
      <c r="U329" s="20"/>
      <c r="V329" s="143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35">
        <v>300345</v>
      </c>
      <c r="B330" s="135" t="s">
        <v>118</v>
      </c>
      <c r="C330" s="248" t="s">
        <v>127</v>
      </c>
      <c r="D330" s="248"/>
      <c r="E330" s="148" t="s">
        <v>74</v>
      </c>
      <c r="F330" s="147"/>
      <c r="G330" s="41"/>
      <c r="H330" s="41"/>
      <c r="I330" s="41"/>
      <c r="J330" s="41"/>
      <c r="K330" s="146">
        <f t="shared" si="38"/>
        <v>0</v>
      </c>
      <c r="L330" s="146">
        <f t="shared" si="39"/>
        <v>0</v>
      </c>
      <c r="M330" s="146">
        <v>373.14</v>
      </c>
      <c r="N330" s="146">
        <f t="shared" si="44"/>
        <v>3.7017857142857142</v>
      </c>
      <c r="O330" s="41"/>
      <c r="P330" s="146">
        <f t="shared" si="40"/>
        <v>0</v>
      </c>
      <c r="Q330" s="41"/>
      <c r="R330" s="19">
        <f t="shared" si="41"/>
        <v>0</v>
      </c>
      <c r="S330" s="146">
        <f t="shared" si="42"/>
        <v>0</v>
      </c>
      <c r="T330" s="20">
        <v>3</v>
      </c>
      <c r="U330" s="41"/>
      <c r="V330" s="143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35">
        <v>300346</v>
      </c>
      <c r="B331" s="135" t="s">
        <v>118</v>
      </c>
      <c r="C331" s="248" t="s">
        <v>127</v>
      </c>
      <c r="D331" s="248"/>
      <c r="E331" s="148" t="s">
        <v>42</v>
      </c>
      <c r="F331" s="147"/>
      <c r="G331" s="41"/>
      <c r="H331" s="41"/>
      <c r="I331" s="41"/>
      <c r="J331" s="41"/>
      <c r="K331" s="146">
        <f t="shared" si="38"/>
        <v>0</v>
      </c>
      <c r="L331" s="146">
        <f t="shared" si="39"/>
        <v>0</v>
      </c>
      <c r="M331" s="146">
        <v>373.14</v>
      </c>
      <c r="N331" s="146">
        <f t="shared" si="44"/>
        <v>3.7017857142857142</v>
      </c>
      <c r="O331" s="41"/>
      <c r="P331" s="146">
        <f t="shared" si="40"/>
        <v>0</v>
      </c>
      <c r="Q331" s="41"/>
      <c r="R331" s="19">
        <f t="shared" si="41"/>
        <v>0</v>
      </c>
      <c r="S331" s="146">
        <f t="shared" si="42"/>
        <v>0</v>
      </c>
      <c r="T331" s="20">
        <v>3</v>
      </c>
      <c r="U331" s="41"/>
      <c r="V331" s="143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35">
        <v>300347</v>
      </c>
      <c r="B332" s="135" t="s">
        <v>118</v>
      </c>
      <c r="C332" s="248" t="s">
        <v>127</v>
      </c>
      <c r="D332" s="248"/>
      <c r="E332" s="148" t="s">
        <v>41</v>
      </c>
      <c r="F332" s="147"/>
      <c r="G332" s="41"/>
      <c r="H332" s="41"/>
      <c r="I332" s="41"/>
      <c r="J332" s="41"/>
      <c r="K332" s="146">
        <f t="shared" si="38"/>
        <v>0</v>
      </c>
      <c r="L332" s="146">
        <f t="shared" si="39"/>
        <v>0</v>
      </c>
      <c r="M332" s="146">
        <v>373.14</v>
      </c>
      <c r="N332" s="146">
        <f t="shared" si="44"/>
        <v>3.7017857142857142</v>
      </c>
      <c r="O332" s="41"/>
      <c r="P332" s="146">
        <f t="shared" si="40"/>
        <v>0</v>
      </c>
      <c r="Q332" s="41"/>
      <c r="R332" s="19">
        <f t="shared" si="41"/>
        <v>0</v>
      </c>
      <c r="S332" s="146">
        <f t="shared" si="42"/>
        <v>0</v>
      </c>
      <c r="T332" s="20">
        <v>3</v>
      </c>
      <c r="U332" s="41"/>
      <c r="V332" s="143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35">
        <v>300348</v>
      </c>
      <c r="B333" s="135" t="s">
        <v>118</v>
      </c>
      <c r="C333" s="248" t="s">
        <v>127</v>
      </c>
      <c r="D333" s="248"/>
      <c r="E333" s="148" t="s">
        <v>126</v>
      </c>
      <c r="F333" s="147"/>
      <c r="G333" s="41"/>
      <c r="H333" s="41"/>
      <c r="I333" s="41"/>
      <c r="J333" s="41"/>
      <c r="K333" s="146">
        <f t="shared" si="38"/>
        <v>0</v>
      </c>
      <c r="L333" s="146">
        <f t="shared" si="39"/>
        <v>0</v>
      </c>
      <c r="M333" s="146">
        <v>373.14</v>
      </c>
      <c r="N333" s="146">
        <f t="shared" si="44"/>
        <v>3.7017857142857142</v>
      </c>
      <c r="O333" s="41"/>
      <c r="P333" s="146">
        <f t="shared" si="40"/>
        <v>0</v>
      </c>
      <c r="Q333" s="41"/>
      <c r="R333" s="19">
        <f t="shared" si="41"/>
        <v>0</v>
      </c>
      <c r="S333" s="146">
        <f t="shared" si="42"/>
        <v>0</v>
      </c>
      <c r="T333" s="20">
        <v>3</v>
      </c>
      <c r="U333" s="41"/>
      <c r="V333" s="143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35">
        <v>300349</v>
      </c>
      <c r="B334" s="135" t="s">
        <v>118</v>
      </c>
      <c r="C334" s="248" t="s">
        <v>127</v>
      </c>
      <c r="D334" s="248"/>
      <c r="E334" s="148" t="s">
        <v>40</v>
      </c>
      <c r="F334" s="147"/>
      <c r="G334" s="41"/>
      <c r="H334" s="41"/>
      <c r="I334" s="41"/>
      <c r="J334" s="41"/>
      <c r="K334" s="146">
        <f t="shared" si="38"/>
        <v>0</v>
      </c>
      <c r="L334" s="146">
        <f t="shared" si="39"/>
        <v>0</v>
      </c>
      <c r="M334" s="146">
        <v>373.14</v>
      </c>
      <c r="N334" s="146">
        <f t="shared" si="44"/>
        <v>3.7017857142857142</v>
      </c>
      <c r="O334" s="41"/>
      <c r="P334" s="146">
        <f t="shared" si="40"/>
        <v>0</v>
      </c>
      <c r="Q334" s="41"/>
      <c r="R334" s="19">
        <f t="shared" si="41"/>
        <v>0</v>
      </c>
      <c r="S334" s="146">
        <f t="shared" si="42"/>
        <v>0</v>
      </c>
      <c r="T334" s="20">
        <v>3</v>
      </c>
      <c r="U334" s="41"/>
      <c r="V334" s="143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35">
        <v>300298</v>
      </c>
      <c r="B335" s="135" t="s">
        <v>118</v>
      </c>
      <c r="C335" s="248" t="s">
        <v>128</v>
      </c>
      <c r="D335" s="248"/>
      <c r="E335" s="148" t="s">
        <v>54</v>
      </c>
      <c r="F335" s="147"/>
      <c r="G335" s="146"/>
      <c r="H335" s="146"/>
      <c r="I335" s="146"/>
      <c r="J335" s="146"/>
      <c r="K335" s="146">
        <f t="shared" si="38"/>
        <v>0</v>
      </c>
      <c r="L335" s="146">
        <f t="shared" si="39"/>
        <v>0</v>
      </c>
      <c r="M335" s="146">
        <v>380.63</v>
      </c>
      <c r="N335" s="146">
        <f t="shared" ref="N335:N340" si="45">+M335*1000/(94.7*4*15*60)*T335</f>
        <v>4.4659157573624313</v>
      </c>
      <c r="O335" s="146"/>
      <c r="P335" s="146">
        <f t="shared" si="40"/>
        <v>0</v>
      </c>
      <c r="Q335" s="146"/>
      <c r="R335" s="19">
        <f t="shared" si="41"/>
        <v>0</v>
      </c>
      <c r="S335" s="146">
        <f t="shared" si="42"/>
        <v>0</v>
      </c>
      <c r="T335" s="20">
        <v>4</v>
      </c>
      <c r="U335" s="20"/>
      <c r="V335" s="143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35">
        <v>300299</v>
      </c>
      <c r="B336" s="135" t="s">
        <v>118</v>
      </c>
      <c r="C336" s="248" t="s">
        <v>128</v>
      </c>
      <c r="D336" s="248"/>
      <c r="E336" s="148" t="s">
        <v>39</v>
      </c>
      <c r="F336" s="147"/>
      <c r="G336" s="146"/>
      <c r="H336" s="146"/>
      <c r="I336" s="146"/>
      <c r="J336" s="146"/>
      <c r="K336" s="146">
        <f t="shared" si="38"/>
        <v>0</v>
      </c>
      <c r="L336" s="146">
        <f t="shared" si="39"/>
        <v>0</v>
      </c>
      <c r="M336" s="146">
        <v>380.63</v>
      </c>
      <c r="N336" s="146">
        <f t="shared" si="45"/>
        <v>4.4659157573624313</v>
      </c>
      <c r="O336" s="146"/>
      <c r="P336" s="146">
        <f t="shared" si="40"/>
        <v>0</v>
      </c>
      <c r="Q336" s="146"/>
      <c r="R336" s="19">
        <f t="shared" si="41"/>
        <v>0</v>
      </c>
      <c r="S336" s="146">
        <f t="shared" si="42"/>
        <v>0</v>
      </c>
      <c r="T336" s="20">
        <v>4</v>
      </c>
      <c r="U336" s="20"/>
      <c r="V336" s="143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35">
        <v>300296</v>
      </c>
      <c r="B337" s="135" t="s">
        <v>118</v>
      </c>
      <c r="C337" s="248" t="s">
        <v>128</v>
      </c>
      <c r="D337" s="248"/>
      <c r="E337" s="148" t="s">
        <v>41</v>
      </c>
      <c r="F337" s="147"/>
      <c r="G337" s="146"/>
      <c r="H337" s="146"/>
      <c r="I337" s="146"/>
      <c r="J337" s="146"/>
      <c r="K337" s="146">
        <f t="shared" si="38"/>
        <v>0</v>
      </c>
      <c r="L337" s="146">
        <f t="shared" si="39"/>
        <v>0</v>
      </c>
      <c r="M337" s="146">
        <v>380.63</v>
      </c>
      <c r="N337" s="146">
        <f t="shared" si="45"/>
        <v>4.4659157573624313</v>
      </c>
      <c r="O337" s="146"/>
      <c r="P337" s="146">
        <f t="shared" si="40"/>
        <v>0</v>
      </c>
      <c r="Q337" s="146"/>
      <c r="R337" s="19">
        <f t="shared" si="41"/>
        <v>0</v>
      </c>
      <c r="S337" s="146">
        <f t="shared" si="42"/>
        <v>0</v>
      </c>
      <c r="T337" s="20">
        <v>4</v>
      </c>
      <c r="U337" s="20"/>
      <c r="V337" s="143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35">
        <v>300297</v>
      </c>
      <c r="B338" s="135" t="s">
        <v>118</v>
      </c>
      <c r="C338" s="248" t="s">
        <v>128</v>
      </c>
      <c r="D338" s="248"/>
      <c r="E338" s="148" t="s">
        <v>37</v>
      </c>
      <c r="F338" s="147"/>
      <c r="G338" s="146"/>
      <c r="H338" s="146"/>
      <c r="I338" s="146"/>
      <c r="J338" s="146"/>
      <c r="K338" s="146">
        <f t="shared" si="38"/>
        <v>0</v>
      </c>
      <c r="L338" s="146">
        <f t="shared" si="39"/>
        <v>0</v>
      </c>
      <c r="M338" s="146">
        <v>380.63</v>
      </c>
      <c r="N338" s="146">
        <f t="shared" si="45"/>
        <v>4.4659157573624313</v>
      </c>
      <c r="O338" s="146"/>
      <c r="P338" s="146">
        <f t="shared" si="40"/>
        <v>0</v>
      </c>
      <c r="Q338" s="146"/>
      <c r="R338" s="19">
        <f t="shared" si="41"/>
        <v>0</v>
      </c>
      <c r="S338" s="146">
        <f t="shared" si="42"/>
        <v>0</v>
      </c>
      <c r="T338" s="20">
        <v>4</v>
      </c>
      <c r="U338" s="20"/>
      <c r="V338" s="143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35">
        <v>300340</v>
      </c>
      <c r="B339" s="135" t="s">
        <v>118</v>
      </c>
      <c r="C339" s="259" t="s">
        <v>129</v>
      </c>
      <c r="D339" s="260"/>
      <c r="E339" s="148" t="s">
        <v>41</v>
      </c>
      <c r="F339" s="147"/>
      <c r="G339" s="146"/>
      <c r="H339" s="146"/>
      <c r="I339" s="146"/>
      <c r="J339" s="146"/>
      <c r="K339" s="146">
        <f t="shared" si="38"/>
        <v>0</v>
      </c>
      <c r="L339" s="146">
        <f t="shared" si="39"/>
        <v>0</v>
      </c>
      <c r="M339" s="146">
        <v>325.60000000000002</v>
      </c>
      <c r="N339" s="146">
        <f t="shared" si="45"/>
        <v>3.8202510852986036</v>
      </c>
      <c r="O339" s="146"/>
      <c r="P339" s="146">
        <f t="shared" si="40"/>
        <v>0</v>
      </c>
      <c r="Q339" s="146"/>
      <c r="R339" s="19">
        <f t="shared" si="41"/>
        <v>0</v>
      </c>
      <c r="S339" s="146">
        <f t="shared" si="42"/>
        <v>0</v>
      </c>
      <c r="T339" s="20">
        <v>4</v>
      </c>
      <c r="U339" s="20"/>
      <c r="V339" s="143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35">
        <v>300339</v>
      </c>
      <c r="B340" s="135" t="s">
        <v>118</v>
      </c>
      <c r="C340" s="259" t="s">
        <v>129</v>
      </c>
      <c r="D340" s="260"/>
      <c r="E340" s="148" t="s">
        <v>39</v>
      </c>
      <c r="F340" s="147"/>
      <c r="G340" s="146"/>
      <c r="H340" s="146"/>
      <c r="I340" s="146"/>
      <c r="J340" s="146"/>
      <c r="K340" s="146">
        <f t="shared" si="38"/>
        <v>0</v>
      </c>
      <c r="L340" s="146">
        <f t="shared" si="39"/>
        <v>0</v>
      </c>
      <c r="M340" s="146">
        <v>325.60000000000002</v>
      </c>
      <c r="N340" s="146">
        <f t="shared" si="45"/>
        <v>3.8202510852986036</v>
      </c>
      <c r="O340" s="146"/>
      <c r="P340" s="146">
        <f t="shared" si="40"/>
        <v>0</v>
      </c>
      <c r="Q340" s="146"/>
      <c r="R340" s="19">
        <f t="shared" si="41"/>
        <v>0</v>
      </c>
      <c r="S340" s="146">
        <f t="shared" si="42"/>
        <v>0</v>
      </c>
      <c r="T340" s="20">
        <v>4</v>
      </c>
      <c r="U340" s="20"/>
      <c r="V340" s="143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35">
        <v>300303</v>
      </c>
      <c r="B341" s="135" t="s">
        <v>118</v>
      </c>
      <c r="C341" s="248" t="s">
        <v>130</v>
      </c>
      <c r="D341" s="248" t="s">
        <v>131</v>
      </c>
      <c r="E341" s="148" t="s">
        <v>57</v>
      </c>
      <c r="F341" s="147"/>
      <c r="G341" s="146"/>
      <c r="H341" s="146"/>
      <c r="I341" s="146"/>
      <c r="J341" s="146"/>
      <c r="K341" s="146">
        <f t="shared" si="38"/>
        <v>0</v>
      </c>
      <c r="L341" s="146">
        <f t="shared" si="39"/>
        <v>0</v>
      </c>
      <c r="M341" s="146">
        <v>396.92</v>
      </c>
      <c r="N341" s="146">
        <f>+M341*1000/(113.8*4*15*60)*T341</f>
        <v>4.8442686975200155</v>
      </c>
      <c r="O341" s="146"/>
      <c r="P341" s="146">
        <f t="shared" si="40"/>
        <v>0</v>
      </c>
      <c r="Q341" s="146"/>
      <c r="R341" s="19">
        <f t="shared" si="41"/>
        <v>0</v>
      </c>
      <c r="S341" s="146">
        <f t="shared" si="42"/>
        <v>0</v>
      </c>
      <c r="T341" s="20">
        <v>5</v>
      </c>
      <c r="U341" s="20"/>
      <c r="V341" s="143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35">
        <v>300302</v>
      </c>
      <c r="B342" s="135" t="s">
        <v>118</v>
      </c>
      <c r="C342" s="248" t="s">
        <v>130</v>
      </c>
      <c r="D342" s="248" t="s">
        <v>131</v>
      </c>
      <c r="E342" s="148" t="s">
        <v>117</v>
      </c>
      <c r="F342" s="147"/>
      <c r="G342" s="146"/>
      <c r="H342" s="146"/>
      <c r="I342" s="146"/>
      <c r="J342" s="146"/>
      <c r="K342" s="146">
        <f t="shared" si="38"/>
        <v>0</v>
      </c>
      <c r="L342" s="146">
        <f t="shared" si="39"/>
        <v>0</v>
      </c>
      <c r="M342" s="146">
        <v>396.06</v>
      </c>
      <c r="N342" s="146">
        <f>+M342*1000/(113.8*4*15*60)*T342</f>
        <v>4.8337727006444053</v>
      </c>
      <c r="O342" s="146"/>
      <c r="P342" s="146">
        <f t="shared" si="40"/>
        <v>0</v>
      </c>
      <c r="Q342" s="146"/>
      <c r="R342" s="19">
        <f t="shared" si="41"/>
        <v>0</v>
      </c>
      <c r="S342" s="146">
        <f t="shared" si="42"/>
        <v>0</v>
      </c>
      <c r="T342" s="20">
        <v>5</v>
      </c>
      <c r="U342" s="20"/>
      <c r="V342" s="143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35">
        <v>300301</v>
      </c>
      <c r="B343" s="135" t="s">
        <v>118</v>
      </c>
      <c r="C343" s="248" t="s">
        <v>130</v>
      </c>
      <c r="D343" s="248" t="s">
        <v>131</v>
      </c>
      <c r="E343" s="148" t="s">
        <v>132</v>
      </c>
      <c r="F343" s="147"/>
      <c r="G343" s="146"/>
      <c r="H343" s="146"/>
      <c r="I343" s="146"/>
      <c r="J343" s="146"/>
      <c r="K343" s="146">
        <f t="shared" si="38"/>
        <v>0</v>
      </c>
      <c r="L343" s="146">
        <f t="shared" si="39"/>
        <v>0</v>
      </c>
      <c r="M343" s="146">
        <v>401.25</v>
      </c>
      <c r="N343" s="146">
        <f>+M343*1000/(113.8*4*15*60)*T343</f>
        <v>4.8971148213239601</v>
      </c>
      <c r="O343" s="146"/>
      <c r="P343" s="146">
        <f t="shared" si="40"/>
        <v>0</v>
      </c>
      <c r="Q343" s="146"/>
      <c r="R343" s="19">
        <f t="shared" si="41"/>
        <v>0</v>
      </c>
      <c r="S343" s="146">
        <f t="shared" si="42"/>
        <v>0</v>
      </c>
      <c r="T343" s="20">
        <v>5</v>
      </c>
      <c r="U343" s="20"/>
      <c r="V343" s="143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42">
        <v>300304</v>
      </c>
      <c r="B344" s="135" t="s">
        <v>118</v>
      </c>
      <c r="C344" s="248" t="s">
        <v>130</v>
      </c>
      <c r="D344" s="248"/>
      <c r="E344" s="148" t="s">
        <v>133</v>
      </c>
      <c r="F344" s="147"/>
      <c r="G344" s="146"/>
      <c r="H344" s="146"/>
      <c r="I344" s="146"/>
      <c r="J344" s="146"/>
      <c r="K344" s="146">
        <f t="shared" si="38"/>
        <v>0</v>
      </c>
      <c r="L344" s="146">
        <f t="shared" si="39"/>
        <v>0</v>
      </c>
      <c r="M344" s="146">
        <v>401.25</v>
      </c>
      <c r="N344" s="146">
        <f>+M344*1000/(113.8*4*15*60)*T344</f>
        <v>4.8971148213239601</v>
      </c>
      <c r="O344" s="146"/>
      <c r="P344" s="146">
        <f t="shared" si="40"/>
        <v>0</v>
      </c>
      <c r="Q344" s="146"/>
      <c r="R344" s="19">
        <f t="shared" si="41"/>
        <v>0</v>
      </c>
      <c r="S344" s="146">
        <f t="shared" si="42"/>
        <v>0</v>
      </c>
      <c r="T344" s="20">
        <v>5</v>
      </c>
      <c r="U344" s="20"/>
      <c r="V344" s="143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42">
        <v>300300</v>
      </c>
      <c r="B345" s="135" t="s">
        <v>118</v>
      </c>
      <c r="C345" s="248" t="s">
        <v>130</v>
      </c>
      <c r="D345" s="248" t="s">
        <v>131</v>
      </c>
      <c r="E345" s="148" t="s">
        <v>54</v>
      </c>
      <c r="F345" s="147"/>
      <c r="G345" s="146"/>
      <c r="H345" s="146"/>
      <c r="I345" s="146"/>
      <c r="J345" s="146"/>
      <c r="K345" s="146">
        <f t="shared" si="38"/>
        <v>0</v>
      </c>
      <c r="L345" s="146">
        <f t="shared" si="39"/>
        <v>0</v>
      </c>
      <c r="M345" s="146">
        <v>399.07</v>
      </c>
      <c r="N345" s="146">
        <f>+M345*1000/(113.8*4*15*60)*T345</f>
        <v>4.8705086897090411</v>
      </c>
      <c r="O345" s="146"/>
      <c r="P345" s="146">
        <f t="shared" si="40"/>
        <v>0</v>
      </c>
      <c r="Q345" s="146"/>
      <c r="R345" s="19">
        <f t="shared" si="41"/>
        <v>0</v>
      </c>
      <c r="S345" s="146">
        <f t="shared" si="42"/>
        <v>0</v>
      </c>
      <c r="T345" s="20">
        <v>5</v>
      </c>
      <c r="U345" s="20"/>
      <c r="V345" s="143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42">
        <v>300085</v>
      </c>
      <c r="B346" s="135" t="s">
        <v>118</v>
      </c>
      <c r="C346" s="248" t="s">
        <v>134</v>
      </c>
      <c r="D346" s="248" t="s">
        <v>131</v>
      </c>
      <c r="E346" s="148" t="s">
        <v>135</v>
      </c>
      <c r="F346" s="147"/>
      <c r="G346" s="146"/>
      <c r="H346" s="146"/>
      <c r="I346" s="146"/>
      <c r="J346" s="146"/>
      <c r="K346" s="146">
        <f t="shared" si="38"/>
        <v>0</v>
      </c>
      <c r="L346" s="146">
        <f t="shared" si="39"/>
        <v>0</v>
      </c>
      <c r="M346" s="146">
        <v>394.3</v>
      </c>
      <c r="N346" s="146">
        <f>+M346*1000/(104.2*4*15*60)*T346</f>
        <v>6.3067818298144598</v>
      </c>
      <c r="O346" s="146"/>
      <c r="P346" s="146">
        <f t="shared" si="40"/>
        <v>0</v>
      </c>
      <c r="Q346" s="146"/>
      <c r="R346" s="19">
        <f t="shared" si="41"/>
        <v>0</v>
      </c>
      <c r="S346" s="146">
        <f t="shared" si="42"/>
        <v>0</v>
      </c>
      <c r="T346" s="20">
        <v>6</v>
      </c>
      <c r="U346" s="20"/>
      <c r="V346" s="143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42">
        <v>300087</v>
      </c>
      <c r="B347" s="135" t="s">
        <v>118</v>
      </c>
      <c r="C347" s="248" t="s">
        <v>134</v>
      </c>
      <c r="D347" s="248" t="s">
        <v>131</v>
      </c>
      <c r="E347" s="148" t="s">
        <v>80</v>
      </c>
      <c r="F347" s="147"/>
      <c r="G347" s="146"/>
      <c r="H347" s="146"/>
      <c r="I347" s="146"/>
      <c r="J347" s="146"/>
      <c r="K347" s="146">
        <f t="shared" si="38"/>
        <v>0</v>
      </c>
      <c r="L347" s="146">
        <f t="shared" si="39"/>
        <v>0</v>
      </c>
      <c r="M347" s="146">
        <v>380.1</v>
      </c>
      <c r="N347" s="146">
        <f>+M347*1000/(104.2*4*16*60)*T347</f>
        <v>4.7497300863723604</v>
      </c>
      <c r="O347" s="146"/>
      <c r="P347" s="146">
        <f t="shared" si="40"/>
        <v>0</v>
      </c>
      <c r="Q347" s="146"/>
      <c r="R347" s="19">
        <f t="shared" si="41"/>
        <v>0</v>
      </c>
      <c r="S347" s="146">
        <f t="shared" si="42"/>
        <v>0</v>
      </c>
      <c r="T347" s="20">
        <v>5</v>
      </c>
      <c r="U347" s="20"/>
      <c r="V347" s="143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42">
        <v>300387</v>
      </c>
      <c r="B348" s="135" t="s">
        <v>136</v>
      </c>
      <c r="C348" s="259" t="s">
        <v>137</v>
      </c>
      <c r="D348" s="260"/>
      <c r="E348" s="148" t="s">
        <v>57</v>
      </c>
      <c r="F348" s="147"/>
      <c r="G348" s="146"/>
      <c r="H348" s="146"/>
      <c r="I348" s="146"/>
      <c r="J348" s="146"/>
      <c r="K348" s="146">
        <f t="shared" si="38"/>
        <v>0</v>
      </c>
      <c r="L348" s="146">
        <f t="shared" si="39"/>
        <v>0</v>
      </c>
      <c r="M348" s="146">
        <v>352.29</v>
      </c>
      <c r="N348" s="146">
        <f>+M348*1000/(104.2*4*16*60)*T348</f>
        <v>4.4022162907869484</v>
      </c>
      <c r="O348" s="146"/>
      <c r="P348" s="146">
        <f t="shared" si="40"/>
        <v>0</v>
      </c>
      <c r="Q348" s="146"/>
      <c r="R348" s="19">
        <f t="shared" si="41"/>
        <v>0</v>
      </c>
      <c r="S348" s="146">
        <f t="shared" si="42"/>
        <v>0</v>
      </c>
      <c r="T348" s="20">
        <v>5</v>
      </c>
      <c r="U348" s="20"/>
      <c r="V348" s="143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42">
        <v>300388</v>
      </c>
      <c r="B349" s="135" t="s">
        <v>138</v>
      </c>
      <c r="C349" s="259" t="s">
        <v>137</v>
      </c>
      <c r="D349" s="260"/>
      <c r="E349" s="148" t="s">
        <v>117</v>
      </c>
      <c r="F349" s="147"/>
      <c r="G349" s="146"/>
      <c r="H349" s="146"/>
      <c r="I349" s="146"/>
      <c r="J349" s="146"/>
      <c r="K349" s="146">
        <f t="shared" si="38"/>
        <v>0</v>
      </c>
      <c r="L349" s="146">
        <f t="shared" si="39"/>
        <v>0</v>
      </c>
      <c r="M349" s="146">
        <v>352.29</v>
      </c>
      <c r="N349" s="146">
        <f>+M349*1000/(104.2*4*16*60)*T349</f>
        <v>4.4022162907869484</v>
      </c>
      <c r="O349" s="146"/>
      <c r="P349" s="146">
        <f t="shared" si="40"/>
        <v>0</v>
      </c>
      <c r="Q349" s="146"/>
      <c r="R349" s="19">
        <f t="shared" si="41"/>
        <v>0</v>
      </c>
      <c r="S349" s="146">
        <f t="shared" si="42"/>
        <v>0</v>
      </c>
      <c r="T349" s="20">
        <v>5</v>
      </c>
      <c r="U349" s="20"/>
      <c r="V349" s="143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42">
        <v>300123</v>
      </c>
      <c r="B350" s="135" t="s">
        <v>118</v>
      </c>
      <c r="C350" s="248" t="s">
        <v>139</v>
      </c>
      <c r="D350" s="248" t="s">
        <v>140</v>
      </c>
      <c r="E350" s="148" t="s">
        <v>135</v>
      </c>
      <c r="F350" s="147"/>
      <c r="G350" s="146"/>
      <c r="H350" s="146"/>
      <c r="I350" s="146"/>
      <c r="J350" s="146"/>
      <c r="K350" s="146">
        <f t="shared" si="38"/>
        <v>0</v>
      </c>
      <c r="L350" s="146">
        <f t="shared" si="39"/>
        <v>0</v>
      </c>
      <c r="M350" s="146">
        <v>557</v>
      </c>
      <c r="N350" s="146">
        <f>+M350*1000/(126.5*4*15*60)*T350</f>
        <v>6.1155028546332888</v>
      </c>
      <c r="O350" s="146"/>
      <c r="P350" s="146">
        <f t="shared" si="40"/>
        <v>0</v>
      </c>
      <c r="Q350" s="146"/>
      <c r="R350" s="19">
        <f t="shared" si="41"/>
        <v>0</v>
      </c>
      <c r="S350" s="146">
        <f t="shared" si="42"/>
        <v>0</v>
      </c>
      <c r="T350" s="20">
        <v>5</v>
      </c>
      <c r="U350" s="20"/>
      <c r="V350" s="143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42">
        <v>300270</v>
      </c>
      <c r="B351" s="135" t="s">
        <v>118</v>
      </c>
      <c r="C351" s="248" t="s">
        <v>141</v>
      </c>
      <c r="D351" s="248"/>
      <c r="E351" s="148" t="s">
        <v>142</v>
      </c>
      <c r="F351" s="147"/>
      <c r="G351" s="146"/>
      <c r="H351" s="146"/>
      <c r="I351" s="146"/>
      <c r="J351" s="146"/>
      <c r="K351" s="146">
        <f t="shared" si="38"/>
        <v>0</v>
      </c>
      <c r="L351" s="146">
        <f t="shared" si="39"/>
        <v>0</v>
      </c>
      <c r="M351" s="146">
        <v>485.7</v>
      </c>
      <c r="N351" s="146">
        <f>+M351*1000/(126.5*4*15*60)*T351</f>
        <v>4.2661396574440049</v>
      </c>
      <c r="O351" s="146"/>
      <c r="P351" s="146">
        <f t="shared" si="40"/>
        <v>0</v>
      </c>
      <c r="Q351" s="146"/>
      <c r="R351" s="19">
        <f t="shared" si="41"/>
        <v>0</v>
      </c>
      <c r="S351" s="146">
        <f t="shared" si="42"/>
        <v>0</v>
      </c>
      <c r="T351" s="20">
        <v>4</v>
      </c>
      <c r="U351" s="20"/>
      <c r="V351" s="143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42">
        <v>300336</v>
      </c>
      <c r="B352" s="135" t="s">
        <v>118</v>
      </c>
      <c r="C352" s="248" t="s">
        <v>143</v>
      </c>
      <c r="D352" s="248"/>
      <c r="E352" s="148" t="s">
        <v>84</v>
      </c>
      <c r="F352" s="147"/>
      <c r="G352" s="146"/>
      <c r="H352" s="146"/>
      <c r="I352" s="146"/>
      <c r="J352" s="146"/>
      <c r="K352" s="146">
        <f t="shared" si="38"/>
        <v>0</v>
      </c>
      <c r="L352" s="146">
        <f t="shared" si="39"/>
        <v>0</v>
      </c>
      <c r="M352" s="146">
        <v>411.4</v>
      </c>
      <c r="N352" s="146">
        <f>+M352*1000/(104.2*4*16*60)*T352</f>
        <v>2.0563419705694179</v>
      </c>
      <c r="O352" s="146"/>
      <c r="P352" s="146">
        <f t="shared" si="40"/>
        <v>0</v>
      </c>
      <c r="Q352" s="146"/>
      <c r="R352" s="19">
        <f t="shared" si="41"/>
        <v>0</v>
      </c>
      <c r="S352" s="146">
        <f t="shared" si="42"/>
        <v>0</v>
      </c>
      <c r="T352" s="20">
        <v>2</v>
      </c>
      <c r="U352" s="20"/>
      <c r="V352" s="143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42">
        <v>300337</v>
      </c>
      <c r="B353" s="135" t="s">
        <v>118</v>
      </c>
      <c r="C353" s="248" t="s">
        <v>143</v>
      </c>
      <c r="D353" s="248"/>
      <c r="E353" s="148" t="s">
        <v>49</v>
      </c>
      <c r="F353" s="147"/>
      <c r="G353" s="146"/>
      <c r="H353" s="146"/>
      <c r="I353" s="146"/>
      <c r="J353" s="146"/>
      <c r="K353" s="146">
        <f t="shared" si="38"/>
        <v>0</v>
      </c>
      <c r="L353" s="146">
        <f t="shared" si="39"/>
        <v>0</v>
      </c>
      <c r="M353" s="146">
        <v>411.4</v>
      </c>
      <c r="N353" s="146">
        <f>+M353*1000/(104.2*4*16*60)*T353</f>
        <v>2.0563419705694179</v>
      </c>
      <c r="O353" s="146"/>
      <c r="P353" s="146">
        <f t="shared" si="40"/>
        <v>0</v>
      </c>
      <c r="Q353" s="146"/>
      <c r="R353" s="19">
        <f t="shared" si="41"/>
        <v>0</v>
      </c>
      <c r="S353" s="146">
        <f t="shared" si="42"/>
        <v>0</v>
      </c>
      <c r="T353" s="20">
        <v>2</v>
      </c>
      <c r="U353" s="20"/>
      <c r="V353" s="143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42">
        <v>300338</v>
      </c>
      <c r="B354" s="135" t="s">
        <v>118</v>
      </c>
      <c r="C354" s="248" t="s">
        <v>143</v>
      </c>
      <c r="D354" s="248"/>
      <c r="E354" s="148" t="s">
        <v>85</v>
      </c>
      <c r="F354" s="147"/>
      <c r="G354" s="146"/>
      <c r="H354" s="146"/>
      <c r="I354" s="146"/>
      <c r="J354" s="146"/>
      <c r="K354" s="146">
        <f t="shared" si="38"/>
        <v>0</v>
      </c>
      <c r="L354" s="146">
        <f t="shared" si="39"/>
        <v>0</v>
      </c>
      <c r="M354" s="146">
        <v>411.4</v>
      </c>
      <c r="N354" s="146">
        <f>+M354*1000/(104.2*4*16*60)*T354</f>
        <v>2.0563419705694179</v>
      </c>
      <c r="O354" s="146"/>
      <c r="P354" s="146">
        <f t="shared" si="40"/>
        <v>0</v>
      </c>
      <c r="Q354" s="146"/>
      <c r="R354" s="19">
        <f t="shared" si="41"/>
        <v>0</v>
      </c>
      <c r="S354" s="146">
        <f t="shared" si="42"/>
        <v>0</v>
      </c>
      <c r="T354" s="20">
        <v>2</v>
      </c>
      <c r="U354" s="20"/>
      <c r="V354" s="143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42">
        <v>300309</v>
      </c>
      <c r="B355" s="135">
        <v>6504</v>
      </c>
      <c r="C355" s="248" t="s">
        <v>145</v>
      </c>
      <c r="D355" s="248"/>
      <c r="E355" s="148" t="s">
        <v>47</v>
      </c>
      <c r="F355" s="147"/>
      <c r="G355" s="146"/>
      <c r="H355" s="146"/>
      <c r="I355" s="146"/>
      <c r="J355" s="146"/>
      <c r="K355" s="146">
        <f t="shared" si="38"/>
        <v>0</v>
      </c>
      <c r="L355" s="146">
        <f t="shared" si="39"/>
        <v>0</v>
      </c>
      <c r="M355" s="146">
        <v>316.88</v>
      </c>
      <c r="N355" s="146">
        <f>+M355*1000/(75.2*4*16*60)*T355</f>
        <v>6.5841090425531918</v>
      </c>
      <c r="O355" s="146"/>
      <c r="P355" s="146">
        <f t="shared" si="40"/>
        <v>0</v>
      </c>
      <c r="Q355" s="146"/>
      <c r="R355" s="19">
        <f t="shared" si="41"/>
        <v>0</v>
      </c>
      <c r="S355" s="146">
        <f t="shared" si="42"/>
        <v>0</v>
      </c>
      <c r="T355" s="20">
        <v>6</v>
      </c>
      <c r="U355" s="20"/>
      <c r="V355" s="143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42">
        <v>300310</v>
      </c>
      <c r="B356" s="135">
        <v>6504</v>
      </c>
      <c r="C356" s="248" t="s">
        <v>145</v>
      </c>
      <c r="D356" s="248"/>
      <c r="E356" s="148" t="s">
        <v>146</v>
      </c>
      <c r="F356" s="147"/>
      <c r="G356" s="146"/>
      <c r="H356" s="146"/>
      <c r="I356" s="146"/>
      <c r="J356" s="146"/>
      <c r="K356" s="146">
        <f t="shared" si="38"/>
        <v>0</v>
      </c>
      <c r="L356" s="146">
        <f t="shared" si="39"/>
        <v>0</v>
      </c>
      <c r="M356" s="146">
        <v>316.88</v>
      </c>
      <c r="N356" s="146">
        <f>+M356*1000/(75.2*4*16*60)*T356</f>
        <v>6.5841090425531918</v>
      </c>
      <c r="O356" s="146"/>
      <c r="P356" s="146">
        <f t="shared" si="40"/>
        <v>0</v>
      </c>
      <c r="Q356" s="146"/>
      <c r="R356" s="19">
        <f t="shared" si="41"/>
        <v>0</v>
      </c>
      <c r="S356" s="146">
        <f t="shared" si="42"/>
        <v>0</v>
      </c>
      <c r="T356" s="20">
        <v>6</v>
      </c>
      <c r="U356" s="20"/>
      <c r="V356" s="143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42">
        <v>300312</v>
      </c>
      <c r="B357" s="135">
        <v>6504</v>
      </c>
      <c r="C357" s="248" t="s">
        <v>145</v>
      </c>
      <c r="D357" s="248"/>
      <c r="E357" s="148" t="s">
        <v>147</v>
      </c>
      <c r="F357" s="147"/>
      <c r="G357" s="146"/>
      <c r="H357" s="146"/>
      <c r="I357" s="146"/>
      <c r="J357" s="146"/>
      <c r="K357" s="146">
        <f t="shared" si="38"/>
        <v>0</v>
      </c>
      <c r="L357" s="146">
        <f t="shared" si="39"/>
        <v>0</v>
      </c>
      <c r="M357" s="146">
        <v>316.88</v>
      </c>
      <c r="N357" s="146">
        <f>+M357*1000/(75.2*4*16*60)*T357</f>
        <v>6.5841090425531918</v>
      </c>
      <c r="O357" s="146"/>
      <c r="P357" s="146">
        <f t="shared" si="40"/>
        <v>0</v>
      </c>
      <c r="Q357" s="146"/>
      <c r="R357" s="19">
        <f t="shared" si="41"/>
        <v>0</v>
      </c>
      <c r="S357" s="146">
        <f t="shared" si="42"/>
        <v>0</v>
      </c>
      <c r="T357" s="20">
        <v>6</v>
      </c>
      <c r="U357" s="20"/>
      <c r="V357" s="143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42">
        <v>300311</v>
      </c>
      <c r="B358" s="135">
        <v>6504</v>
      </c>
      <c r="C358" s="248" t="s">
        <v>145</v>
      </c>
      <c r="D358" s="248"/>
      <c r="E358" s="148" t="s">
        <v>74</v>
      </c>
      <c r="F358" s="147"/>
      <c r="G358" s="146"/>
      <c r="H358" s="146"/>
      <c r="I358" s="146"/>
      <c r="J358" s="146"/>
      <c r="K358" s="146">
        <f t="shared" si="38"/>
        <v>0</v>
      </c>
      <c r="L358" s="146">
        <f t="shared" si="39"/>
        <v>0</v>
      </c>
      <c r="M358" s="146">
        <v>316.88</v>
      </c>
      <c r="N358" s="146">
        <f>+M358*1000/(75.2*4*16*60)*T358</f>
        <v>6.5841090425531918</v>
      </c>
      <c r="O358" s="146"/>
      <c r="P358" s="146">
        <f t="shared" si="40"/>
        <v>0</v>
      </c>
      <c r="Q358" s="146"/>
      <c r="R358" s="19">
        <f t="shared" si="41"/>
        <v>0</v>
      </c>
      <c r="S358" s="146">
        <f t="shared" si="42"/>
        <v>0</v>
      </c>
      <c r="T358" s="20">
        <v>6</v>
      </c>
      <c r="U358" s="20"/>
      <c r="V358" s="143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42">
        <v>300399</v>
      </c>
      <c r="B359" s="135">
        <v>18501</v>
      </c>
      <c r="C359" s="259" t="s">
        <v>148</v>
      </c>
      <c r="D359" s="260"/>
      <c r="E359" s="148" t="s">
        <v>41</v>
      </c>
      <c r="F359" s="147"/>
      <c r="G359" s="146"/>
      <c r="H359" s="146"/>
      <c r="I359" s="146"/>
      <c r="J359" s="146"/>
      <c r="K359" s="146">
        <f t="shared" si="38"/>
        <v>0</v>
      </c>
      <c r="L359" s="146">
        <f t="shared" si="39"/>
        <v>0</v>
      </c>
      <c r="M359" s="146">
        <v>311.2</v>
      </c>
      <c r="N359" s="146">
        <f>+M359*1000/(100*4*16*60)*T359</f>
        <v>4.8624999999999998</v>
      </c>
      <c r="O359" s="146"/>
      <c r="P359" s="146">
        <f t="shared" si="40"/>
        <v>0</v>
      </c>
      <c r="Q359" s="146"/>
      <c r="R359" s="19">
        <f t="shared" si="41"/>
        <v>0</v>
      </c>
      <c r="S359" s="146">
        <f t="shared" si="42"/>
        <v>0</v>
      </c>
      <c r="T359" s="20">
        <v>6</v>
      </c>
      <c r="U359" s="20"/>
      <c r="V359" s="143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42">
        <v>300400</v>
      </c>
      <c r="B360" s="135">
        <v>18501</v>
      </c>
      <c r="C360" s="259" t="s">
        <v>148</v>
      </c>
      <c r="D360" s="260"/>
      <c r="E360" s="148" t="s">
        <v>66</v>
      </c>
      <c r="F360" s="147"/>
      <c r="G360" s="146"/>
      <c r="H360" s="146"/>
      <c r="I360" s="146"/>
      <c r="J360" s="146"/>
      <c r="K360" s="146">
        <f t="shared" si="38"/>
        <v>0</v>
      </c>
      <c r="L360" s="146">
        <f t="shared" si="39"/>
        <v>0</v>
      </c>
      <c r="M360" s="146">
        <v>311.2</v>
      </c>
      <c r="N360" s="146">
        <f>+M360*1000/(100*4*16*60)*T360</f>
        <v>4.8624999999999998</v>
      </c>
      <c r="O360" s="146"/>
      <c r="P360" s="146">
        <f t="shared" si="40"/>
        <v>0</v>
      </c>
      <c r="Q360" s="146"/>
      <c r="R360" s="19">
        <f t="shared" si="41"/>
        <v>0</v>
      </c>
      <c r="S360" s="146">
        <f t="shared" si="42"/>
        <v>0</v>
      </c>
      <c r="T360" s="20">
        <v>6</v>
      </c>
      <c r="U360" s="20"/>
      <c r="V360" s="143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42">
        <v>300401</v>
      </c>
      <c r="B361" s="135">
        <v>18501</v>
      </c>
      <c r="C361" s="259" t="s">
        <v>148</v>
      </c>
      <c r="D361" s="260"/>
      <c r="E361" s="148" t="s">
        <v>149</v>
      </c>
      <c r="F361" s="147"/>
      <c r="G361" s="146"/>
      <c r="H361" s="146"/>
      <c r="I361" s="146"/>
      <c r="J361" s="146"/>
      <c r="K361" s="146">
        <f t="shared" si="38"/>
        <v>0</v>
      </c>
      <c r="L361" s="146">
        <f t="shared" si="39"/>
        <v>0</v>
      </c>
      <c r="M361" s="146">
        <v>311.2</v>
      </c>
      <c r="N361" s="146">
        <f>+M361*1000/(100*4*16*60)*T361</f>
        <v>4.8624999999999998</v>
      </c>
      <c r="O361" s="146"/>
      <c r="P361" s="146">
        <f t="shared" si="40"/>
        <v>0</v>
      </c>
      <c r="Q361" s="146"/>
      <c r="R361" s="19">
        <f t="shared" si="41"/>
        <v>0</v>
      </c>
      <c r="S361" s="146">
        <f t="shared" si="42"/>
        <v>0</v>
      </c>
      <c r="T361" s="20">
        <v>6</v>
      </c>
      <c r="U361" s="20"/>
      <c r="V361" s="143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42">
        <v>300402</v>
      </c>
      <c r="B362" s="135">
        <v>18501</v>
      </c>
      <c r="C362" s="259" t="s">
        <v>150</v>
      </c>
      <c r="D362" s="260"/>
      <c r="E362" s="148" t="s">
        <v>151</v>
      </c>
      <c r="F362" s="147"/>
      <c r="G362" s="146"/>
      <c r="H362" s="146"/>
      <c r="I362" s="146"/>
      <c r="J362" s="146"/>
      <c r="K362" s="146">
        <f t="shared" si="38"/>
        <v>0</v>
      </c>
      <c r="L362" s="146">
        <f t="shared" si="39"/>
        <v>0</v>
      </c>
      <c r="M362" s="146">
        <v>465.3</v>
      </c>
      <c r="N362" s="146">
        <f>+M362*1000/(137*4*16*60)*T362</f>
        <v>5.3067974452554747</v>
      </c>
      <c r="O362" s="146"/>
      <c r="P362" s="146">
        <f t="shared" si="40"/>
        <v>0</v>
      </c>
      <c r="Q362" s="146"/>
      <c r="R362" s="19">
        <f t="shared" si="41"/>
        <v>0</v>
      </c>
      <c r="S362" s="146">
        <f t="shared" si="42"/>
        <v>0</v>
      </c>
      <c r="T362" s="20">
        <v>6</v>
      </c>
      <c r="U362" s="20"/>
      <c r="V362" s="143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42">
        <v>300403</v>
      </c>
      <c r="B363" s="135">
        <v>18501</v>
      </c>
      <c r="C363" s="259" t="s">
        <v>150</v>
      </c>
      <c r="D363" s="260"/>
      <c r="E363" s="148" t="s">
        <v>152</v>
      </c>
      <c r="F363" s="147"/>
      <c r="G363" s="146"/>
      <c r="H363" s="146"/>
      <c r="I363" s="146"/>
      <c r="J363" s="146"/>
      <c r="K363" s="146">
        <f t="shared" ref="K363:K399" si="46">G363*M363</f>
        <v>0</v>
      </c>
      <c r="L363" s="146">
        <f t="shared" ref="L363:L399" si="47">I363*M363</f>
        <v>0</v>
      </c>
      <c r="M363" s="146">
        <v>465.3</v>
      </c>
      <c r="N363" s="146">
        <f>+M363*1000/(137*4*16*60)*T363</f>
        <v>5.3067974452554747</v>
      </c>
      <c r="O363" s="146"/>
      <c r="P363" s="146">
        <f t="shared" ref="P363:P399" si="48">N363*I363+O363*U363</f>
        <v>0</v>
      </c>
      <c r="Q363" s="146"/>
      <c r="R363" s="19">
        <f t="shared" ref="R363:R399" si="49">Q363*U363</f>
        <v>0</v>
      </c>
      <c r="S363" s="146">
        <f t="shared" ref="S363:S399" si="50">R363-P363</f>
        <v>0</v>
      </c>
      <c r="T363" s="20">
        <v>6</v>
      </c>
      <c r="U363" s="20"/>
      <c r="V363" s="143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42">
        <v>300404</v>
      </c>
      <c r="B364" s="135">
        <v>18501</v>
      </c>
      <c r="C364" s="259" t="s">
        <v>150</v>
      </c>
      <c r="D364" s="260"/>
      <c r="E364" s="148" t="s">
        <v>70</v>
      </c>
      <c r="F364" s="147"/>
      <c r="G364" s="146"/>
      <c r="H364" s="146"/>
      <c r="I364" s="146"/>
      <c r="J364" s="146"/>
      <c r="K364" s="146">
        <f t="shared" si="46"/>
        <v>0</v>
      </c>
      <c r="L364" s="146">
        <f t="shared" si="47"/>
        <v>0</v>
      </c>
      <c r="M364" s="146">
        <v>465.3</v>
      </c>
      <c r="N364" s="146">
        <f>+M364*1000/(137*4*16*60)*T364</f>
        <v>5.3067974452554747</v>
      </c>
      <c r="O364" s="146"/>
      <c r="P364" s="146">
        <f t="shared" si="48"/>
        <v>0</v>
      </c>
      <c r="Q364" s="146"/>
      <c r="R364" s="19">
        <f t="shared" si="49"/>
        <v>0</v>
      </c>
      <c r="S364" s="146">
        <f t="shared" si="50"/>
        <v>0</v>
      </c>
      <c r="T364" s="20">
        <v>6</v>
      </c>
      <c r="U364" s="20"/>
      <c r="V364" s="143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42">
        <v>300405</v>
      </c>
      <c r="B365" s="135">
        <v>18501</v>
      </c>
      <c r="C365" s="259" t="s">
        <v>150</v>
      </c>
      <c r="D365" s="260"/>
      <c r="E365" s="148" t="s">
        <v>35</v>
      </c>
      <c r="F365" s="147"/>
      <c r="G365" s="146"/>
      <c r="H365" s="146"/>
      <c r="I365" s="146"/>
      <c r="J365" s="146"/>
      <c r="K365" s="146">
        <f t="shared" si="46"/>
        <v>0</v>
      </c>
      <c r="L365" s="146">
        <f t="shared" si="47"/>
        <v>0</v>
      </c>
      <c r="M365" s="146">
        <v>465.3</v>
      </c>
      <c r="N365" s="146">
        <f>+M365*1000/(137*4*16*60)*T365</f>
        <v>5.3067974452554747</v>
      </c>
      <c r="O365" s="146"/>
      <c r="P365" s="146">
        <f t="shared" si="48"/>
        <v>0</v>
      </c>
      <c r="Q365" s="146"/>
      <c r="R365" s="19">
        <f t="shared" si="49"/>
        <v>0</v>
      </c>
      <c r="S365" s="146">
        <f t="shared" si="50"/>
        <v>0</v>
      </c>
      <c r="T365" s="20">
        <v>6</v>
      </c>
      <c r="U365" s="20"/>
      <c r="V365" s="143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42">
        <v>300372</v>
      </c>
      <c r="B366" s="135">
        <v>18501</v>
      </c>
      <c r="C366" s="259" t="s">
        <v>153</v>
      </c>
      <c r="D366" s="260"/>
      <c r="E366" s="148" t="s">
        <v>47</v>
      </c>
      <c r="F366" s="147"/>
      <c r="G366" s="146"/>
      <c r="H366" s="146"/>
      <c r="I366" s="146"/>
      <c r="J366" s="146"/>
      <c r="K366" s="146">
        <f t="shared" si="46"/>
        <v>0</v>
      </c>
      <c r="L366" s="146">
        <f t="shared" si="47"/>
        <v>0</v>
      </c>
      <c r="M366" s="146">
        <v>420.58</v>
      </c>
      <c r="N366" s="146">
        <f>+M366*1000/(140*4*16*60)*T366</f>
        <v>4.6939732142857142</v>
      </c>
      <c r="O366" s="146"/>
      <c r="P366" s="146">
        <f t="shared" si="48"/>
        <v>0</v>
      </c>
      <c r="Q366" s="146"/>
      <c r="R366" s="19">
        <f t="shared" si="49"/>
        <v>0</v>
      </c>
      <c r="S366" s="146">
        <f t="shared" si="50"/>
        <v>0</v>
      </c>
      <c r="T366" s="20">
        <v>6</v>
      </c>
      <c r="U366" s="20"/>
      <c r="V366" s="143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42">
        <v>300373</v>
      </c>
      <c r="B367" s="135">
        <v>18501</v>
      </c>
      <c r="C367" s="259" t="s">
        <v>153</v>
      </c>
      <c r="D367" s="260"/>
      <c r="E367" s="148" t="s">
        <v>146</v>
      </c>
      <c r="F367" s="147"/>
      <c r="G367" s="146"/>
      <c r="H367" s="146"/>
      <c r="I367" s="146"/>
      <c r="J367" s="146"/>
      <c r="K367" s="146">
        <f t="shared" si="46"/>
        <v>0</v>
      </c>
      <c r="L367" s="146">
        <f t="shared" si="47"/>
        <v>0</v>
      </c>
      <c r="M367" s="146">
        <v>420.58</v>
      </c>
      <c r="N367" s="146">
        <f>+M367*1000/(140*4*16*60)*T367</f>
        <v>4.6939732142857142</v>
      </c>
      <c r="O367" s="146"/>
      <c r="P367" s="146">
        <f t="shared" si="48"/>
        <v>0</v>
      </c>
      <c r="Q367" s="146"/>
      <c r="R367" s="19">
        <f t="shared" si="49"/>
        <v>0</v>
      </c>
      <c r="S367" s="146">
        <f t="shared" si="50"/>
        <v>0</v>
      </c>
      <c r="T367" s="20">
        <v>6</v>
      </c>
      <c r="U367" s="20"/>
      <c r="V367" s="143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42">
        <v>300374</v>
      </c>
      <c r="B368" s="135">
        <v>18501</v>
      </c>
      <c r="C368" s="259" t="s">
        <v>153</v>
      </c>
      <c r="D368" s="260"/>
      <c r="E368" s="148" t="s">
        <v>147</v>
      </c>
      <c r="F368" s="147"/>
      <c r="G368" s="146"/>
      <c r="H368" s="146"/>
      <c r="I368" s="146"/>
      <c r="J368" s="146"/>
      <c r="K368" s="146">
        <f t="shared" si="46"/>
        <v>0</v>
      </c>
      <c r="L368" s="146">
        <f t="shared" si="47"/>
        <v>0</v>
      </c>
      <c r="M368" s="146">
        <v>420.58</v>
      </c>
      <c r="N368" s="146">
        <f>+M368*1000/(140*4*16*60)*T368</f>
        <v>4.6939732142857142</v>
      </c>
      <c r="O368" s="146"/>
      <c r="P368" s="146">
        <f t="shared" si="48"/>
        <v>0</v>
      </c>
      <c r="Q368" s="146"/>
      <c r="R368" s="19">
        <f t="shared" si="49"/>
        <v>0</v>
      </c>
      <c r="S368" s="146">
        <f t="shared" si="50"/>
        <v>0</v>
      </c>
      <c r="T368" s="20">
        <v>6</v>
      </c>
      <c r="U368" s="20"/>
      <c r="V368" s="143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42">
        <v>300375</v>
      </c>
      <c r="B369" s="135">
        <v>18501</v>
      </c>
      <c r="C369" s="259" t="s">
        <v>153</v>
      </c>
      <c r="D369" s="260"/>
      <c r="E369" s="148" t="s">
        <v>74</v>
      </c>
      <c r="F369" s="147"/>
      <c r="G369" s="146"/>
      <c r="H369" s="146"/>
      <c r="I369" s="146"/>
      <c r="J369" s="146"/>
      <c r="K369" s="146">
        <f t="shared" si="46"/>
        <v>0</v>
      </c>
      <c r="L369" s="146">
        <f t="shared" si="47"/>
        <v>0</v>
      </c>
      <c r="M369" s="146">
        <v>420.58</v>
      </c>
      <c r="N369" s="146">
        <f>+M369*1000/(140*4*16*60)*T369</f>
        <v>4.6939732142857142</v>
      </c>
      <c r="O369" s="146"/>
      <c r="P369" s="146">
        <f t="shared" si="48"/>
        <v>0</v>
      </c>
      <c r="Q369" s="146"/>
      <c r="R369" s="19">
        <f t="shared" si="49"/>
        <v>0</v>
      </c>
      <c r="S369" s="146">
        <f t="shared" si="50"/>
        <v>0</v>
      </c>
      <c r="T369" s="20">
        <v>6</v>
      </c>
      <c r="U369" s="20"/>
      <c r="V369" s="143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42">
        <v>300341</v>
      </c>
      <c r="B370" s="135">
        <v>18501</v>
      </c>
      <c r="C370" s="266" t="s">
        <v>154</v>
      </c>
      <c r="D370" s="267"/>
      <c r="E370" s="148" t="s">
        <v>39</v>
      </c>
      <c r="F370" s="147"/>
      <c r="G370" s="146"/>
      <c r="H370" s="146"/>
      <c r="I370" s="146"/>
      <c r="J370" s="146"/>
      <c r="K370" s="146">
        <f t="shared" si="46"/>
        <v>0</v>
      </c>
      <c r="L370" s="146">
        <f t="shared" si="47"/>
        <v>0</v>
      </c>
      <c r="M370" s="146">
        <v>439.3</v>
      </c>
      <c r="N370" s="146">
        <f>+M370*1000/(169.7*4*13*60)*T370</f>
        <v>4.1485351223123761</v>
      </c>
      <c r="O370" s="146"/>
      <c r="P370" s="146">
        <f t="shared" si="48"/>
        <v>0</v>
      </c>
      <c r="Q370" s="146"/>
      <c r="R370" s="19">
        <f t="shared" si="49"/>
        <v>0</v>
      </c>
      <c r="S370" s="146">
        <f t="shared" si="50"/>
        <v>0</v>
      </c>
      <c r="T370" s="20">
        <v>5</v>
      </c>
      <c r="U370" s="20"/>
      <c r="V370" s="143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42">
        <v>300342</v>
      </c>
      <c r="B371" s="135">
        <v>18501</v>
      </c>
      <c r="C371" s="266" t="s">
        <v>154</v>
      </c>
      <c r="D371" s="267"/>
      <c r="E371" s="148" t="s">
        <v>80</v>
      </c>
      <c r="F371" s="147"/>
      <c r="G371" s="146"/>
      <c r="H371" s="146"/>
      <c r="I371" s="146"/>
      <c r="J371" s="146"/>
      <c r="K371" s="146">
        <f t="shared" si="46"/>
        <v>0</v>
      </c>
      <c r="L371" s="146">
        <f t="shared" si="47"/>
        <v>0</v>
      </c>
      <c r="M371" s="146">
        <v>439.3</v>
      </c>
      <c r="N371" s="146">
        <f t="shared" ref="N371:N376" si="51">+M371*1000/(169.7*4*13*60)*T371</f>
        <v>4.1485351223123761</v>
      </c>
      <c r="O371" s="146"/>
      <c r="P371" s="146">
        <f t="shared" si="48"/>
        <v>0</v>
      </c>
      <c r="Q371" s="146"/>
      <c r="R371" s="19">
        <f t="shared" si="49"/>
        <v>0</v>
      </c>
      <c r="S371" s="146">
        <f t="shared" si="50"/>
        <v>0</v>
      </c>
      <c r="T371" s="20">
        <v>5</v>
      </c>
      <c r="U371" s="20"/>
      <c r="V371" s="143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42">
        <v>300343</v>
      </c>
      <c r="B372" s="135">
        <v>18501</v>
      </c>
      <c r="C372" s="266" t="s">
        <v>154</v>
      </c>
      <c r="D372" s="267"/>
      <c r="E372" s="148" t="s">
        <v>35</v>
      </c>
      <c r="F372" s="147"/>
      <c r="G372" s="146"/>
      <c r="H372" s="146"/>
      <c r="I372" s="146"/>
      <c r="J372" s="146"/>
      <c r="K372" s="146">
        <f t="shared" si="46"/>
        <v>0</v>
      </c>
      <c r="L372" s="146">
        <f t="shared" si="47"/>
        <v>0</v>
      </c>
      <c r="M372" s="146">
        <v>455.4</v>
      </c>
      <c r="N372" s="146">
        <f t="shared" si="51"/>
        <v>4.3005756765332483</v>
      </c>
      <c r="O372" s="146"/>
      <c r="P372" s="146">
        <f t="shared" si="48"/>
        <v>0</v>
      </c>
      <c r="Q372" s="146"/>
      <c r="R372" s="19">
        <f t="shared" si="49"/>
        <v>0</v>
      </c>
      <c r="S372" s="146">
        <f t="shared" si="50"/>
        <v>0</v>
      </c>
      <c r="T372" s="20">
        <v>5</v>
      </c>
      <c r="U372" s="20"/>
      <c r="V372" s="143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42">
        <v>300344</v>
      </c>
      <c r="B373" s="135">
        <v>18501</v>
      </c>
      <c r="C373" s="266" t="s">
        <v>154</v>
      </c>
      <c r="D373" s="267"/>
      <c r="E373" s="148" t="s">
        <v>40</v>
      </c>
      <c r="F373" s="147"/>
      <c r="G373" s="146"/>
      <c r="H373" s="146"/>
      <c r="I373" s="146"/>
      <c r="J373" s="146"/>
      <c r="K373" s="146">
        <f t="shared" si="46"/>
        <v>0</v>
      </c>
      <c r="L373" s="146">
        <f t="shared" si="47"/>
        <v>0</v>
      </c>
      <c r="M373" s="146">
        <v>455.4</v>
      </c>
      <c r="N373" s="146">
        <f t="shared" si="51"/>
        <v>4.3005756765332483</v>
      </c>
      <c r="O373" s="146"/>
      <c r="P373" s="146">
        <f t="shared" si="48"/>
        <v>0</v>
      </c>
      <c r="Q373" s="146"/>
      <c r="R373" s="19">
        <f t="shared" si="49"/>
        <v>0</v>
      </c>
      <c r="S373" s="146">
        <f t="shared" si="50"/>
        <v>0</v>
      </c>
      <c r="T373" s="20">
        <v>5</v>
      </c>
      <c r="U373" s="20"/>
      <c r="V373" s="143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42">
        <v>300396</v>
      </c>
      <c r="B374" s="135">
        <v>18501</v>
      </c>
      <c r="C374" s="266" t="s">
        <v>155</v>
      </c>
      <c r="D374" s="267"/>
      <c r="E374" s="148" t="s">
        <v>41</v>
      </c>
      <c r="F374" s="147"/>
      <c r="G374" s="146"/>
      <c r="H374" s="146"/>
      <c r="I374" s="146"/>
      <c r="J374" s="146"/>
      <c r="K374" s="146">
        <f t="shared" si="46"/>
        <v>0</v>
      </c>
      <c r="L374" s="146">
        <f t="shared" si="47"/>
        <v>0</v>
      </c>
      <c r="M374" s="146">
        <v>417.1</v>
      </c>
      <c r="N374" s="146">
        <f t="shared" si="51"/>
        <v>3.9388891407158937</v>
      </c>
      <c r="O374" s="146"/>
      <c r="P374" s="146">
        <f t="shared" si="48"/>
        <v>0</v>
      </c>
      <c r="Q374" s="146"/>
      <c r="R374" s="19">
        <f t="shared" si="49"/>
        <v>0</v>
      </c>
      <c r="S374" s="146">
        <f t="shared" si="50"/>
        <v>0</v>
      </c>
      <c r="T374" s="20">
        <v>5</v>
      </c>
      <c r="U374" s="20"/>
      <c r="V374" s="143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42">
        <v>300397</v>
      </c>
      <c r="B375" s="135">
        <v>18501</v>
      </c>
      <c r="C375" s="266" t="s">
        <v>155</v>
      </c>
      <c r="D375" s="267"/>
      <c r="E375" s="148" t="s">
        <v>66</v>
      </c>
      <c r="F375" s="147"/>
      <c r="G375" s="146"/>
      <c r="H375" s="146"/>
      <c r="I375" s="146"/>
      <c r="J375" s="146"/>
      <c r="K375" s="146">
        <f t="shared" si="46"/>
        <v>0</v>
      </c>
      <c r="L375" s="146">
        <f t="shared" si="47"/>
        <v>0</v>
      </c>
      <c r="M375" s="146">
        <v>417.1</v>
      </c>
      <c r="N375" s="146">
        <f t="shared" si="51"/>
        <v>3.9388891407158937</v>
      </c>
      <c r="O375" s="146"/>
      <c r="P375" s="146">
        <f t="shared" si="48"/>
        <v>0</v>
      </c>
      <c r="Q375" s="146"/>
      <c r="R375" s="19">
        <f t="shared" si="49"/>
        <v>0</v>
      </c>
      <c r="S375" s="146">
        <f t="shared" si="50"/>
        <v>0</v>
      </c>
      <c r="T375" s="20">
        <v>5</v>
      </c>
      <c r="U375" s="20"/>
      <c r="V375" s="143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42">
        <v>300398</v>
      </c>
      <c r="B376" s="135">
        <v>18501</v>
      </c>
      <c r="C376" s="266" t="s">
        <v>155</v>
      </c>
      <c r="D376" s="267"/>
      <c r="E376" s="148" t="s">
        <v>149</v>
      </c>
      <c r="F376" s="147"/>
      <c r="G376" s="146"/>
      <c r="H376" s="146"/>
      <c r="I376" s="146"/>
      <c r="J376" s="146"/>
      <c r="K376" s="146">
        <f t="shared" si="46"/>
        <v>0</v>
      </c>
      <c r="L376" s="146">
        <f t="shared" si="47"/>
        <v>0</v>
      </c>
      <c r="M376" s="146">
        <v>417.1</v>
      </c>
      <c r="N376" s="146">
        <f t="shared" si="51"/>
        <v>3.9388891407158937</v>
      </c>
      <c r="O376" s="146"/>
      <c r="P376" s="146">
        <f t="shared" si="48"/>
        <v>0</v>
      </c>
      <c r="Q376" s="146"/>
      <c r="R376" s="19">
        <f t="shared" si="49"/>
        <v>0</v>
      </c>
      <c r="S376" s="146">
        <f t="shared" si="50"/>
        <v>0</v>
      </c>
      <c r="T376" s="20">
        <v>5</v>
      </c>
      <c r="U376" s="20"/>
      <c r="V376" s="143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42">
        <v>300271</v>
      </c>
      <c r="B377" s="135">
        <v>18501</v>
      </c>
      <c r="C377" s="248" t="s">
        <v>156</v>
      </c>
      <c r="D377" s="248"/>
      <c r="E377" s="148" t="s">
        <v>142</v>
      </c>
      <c r="F377" s="147"/>
      <c r="G377" s="146"/>
      <c r="H377" s="146"/>
      <c r="I377" s="146"/>
      <c r="J377" s="146"/>
      <c r="K377" s="146">
        <f t="shared" si="46"/>
        <v>0</v>
      </c>
      <c r="L377" s="146">
        <f t="shared" si="47"/>
        <v>0</v>
      </c>
      <c r="M377" s="146">
        <v>580.1</v>
      </c>
      <c r="N377" s="146">
        <f>+M377*1000/(188*4*13*60)*T377</f>
        <v>4.9449331696672125</v>
      </c>
      <c r="O377" s="146"/>
      <c r="P377" s="146">
        <f t="shared" si="48"/>
        <v>0</v>
      </c>
      <c r="Q377" s="146"/>
      <c r="R377" s="19">
        <f t="shared" si="49"/>
        <v>0</v>
      </c>
      <c r="S377" s="146">
        <f t="shared" si="50"/>
        <v>0</v>
      </c>
      <c r="T377" s="20">
        <v>5</v>
      </c>
      <c r="U377" s="20"/>
      <c r="V377" s="143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42">
        <v>300009</v>
      </c>
      <c r="B378" s="135">
        <v>18501</v>
      </c>
      <c r="C378" s="248" t="s">
        <v>157</v>
      </c>
      <c r="D378" s="248" t="s">
        <v>158</v>
      </c>
      <c r="E378" s="148" t="s">
        <v>135</v>
      </c>
      <c r="F378" s="147"/>
      <c r="G378" s="146"/>
      <c r="H378" s="146"/>
      <c r="I378" s="146"/>
      <c r="J378" s="146"/>
      <c r="K378" s="146">
        <f t="shared" si="46"/>
        <v>0</v>
      </c>
      <c r="L378" s="146">
        <f t="shared" si="47"/>
        <v>0</v>
      </c>
      <c r="M378" s="15">
        <v>520.79999999999995</v>
      </c>
      <c r="N378" s="146">
        <f>+M378*1000/(188*4*13*60)*T378</f>
        <v>4.4394435351882153</v>
      </c>
      <c r="O378" s="146"/>
      <c r="P378" s="146">
        <f t="shared" si="48"/>
        <v>0</v>
      </c>
      <c r="Q378" s="146"/>
      <c r="R378" s="19">
        <f t="shared" si="49"/>
        <v>0</v>
      </c>
      <c r="S378" s="146">
        <f t="shared" si="50"/>
        <v>0</v>
      </c>
      <c r="T378" s="20">
        <v>5</v>
      </c>
      <c r="U378" s="20"/>
      <c r="V378" s="143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42">
        <v>300010</v>
      </c>
      <c r="B379" s="135">
        <v>18501</v>
      </c>
      <c r="C379" s="248" t="s">
        <v>157</v>
      </c>
      <c r="D379" s="248" t="s">
        <v>158</v>
      </c>
      <c r="E379" s="148" t="s">
        <v>80</v>
      </c>
      <c r="F379" s="147"/>
      <c r="G379" s="146"/>
      <c r="H379" s="146"/>
      <c r="I379" s="146"/>
      <c r="J379" s="115"/>
      <c r="K379" s="146">
        <f t="shared" si="46"/>
        <v>0</v>
      </c>
      <c r="L379" s="146">
        <f t="shared" si="47"/>
        <v>0</v>
      </c>
      <c r="M379" s="15">
        <v>530.9</v>
      </c>
      <c r="N379" s="146">
        <f>+M379*1000/(188*4*13*60)*T379</f>
        <v>4.5255387343153304</v>
      </c>
      <c r="O379" s="146"/>
      <c r="P379" s="146">
        <f t="shared" si="48"/>
        <v>0</v>
      </c>
      <c r="Q379" s="146"/>
      <c r="R379" s="19">
        <f t="shared" si="49"/>
        <v>0</v>
      </c>
      <c r="S379" s="146">
        <f t="shared" si="50"/>
        <v>0</v>
      </c>
      <c r="T379" s="20">
        <v>5</v>
      </c>
      <c r="U379" s="20"/>
      <c r="V379" s="143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42">
        <v>300305</v>
      </c>
      <c r="B380" s="135">
        <v>18501</v>
      </c>
      <c r="C380" s="248" t="s">
        <v>159</v>
      </c>
      <c r="D380" s="248" t="s">
        <v>160</v>
      </c>
      <c r="E380" s="148" t="s">
        <v>57</v>
      </c>
      <c r="F380" s="147"/>
      <c r="G380" s="146"/>
      <c r="H380" s="146"/>
      <c r="I380" s="146"/>
      <c r="J380" s="115"/>
      <c r="K380" s="146">
        <f t="shared" si="46"/>
        <v>0</v>
      </c>
      <c r="L380" s="146">
        <f t="shared" si="47"/>
        <v>0</v>
      </c>
      <c r="M380" s="146">
        <v>530.20000000000005</v>
      </c>
      <c r="N380" s="146">
        <f t="shared" ref="N380:N385" si="52">+M380*1000/(202*4*13*60)*T380</f>
        <v>4.2063340949479562</v>
      </c>
      <c r="O380" s="146"/>
      <c r="P380" s="146">
        <f t="shared" si="48"/>
        <v>0</v>
      </c>
      <c r="Q380" s="146"/>
      <c r="R380" s="19">
        <f t="shared" si="49"/>
        <v>0</v>
      </c>
      <c r="S380" s="146">
        <f t="shared" si="50"/>
        <v>0</v>
      </c>
      <c r="T380" s="20">
        <v>5</v>
      </c>
      <c r="U380" s="20"/>
      <c r="V380" s="143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42">
        <v>300306</v>
      </c>
      <c r="B381" s="135">
        <v>18501</v>
      </c>
      <c r="C381" s="248" t="s">
        <v>159</v>
      </c>
      <c r="D381" s="248" t="s">
        <v>160</v>
      </c>
      <c r="E381" s="148" t="s">
        <v>117</v>
      </c>
      <c r="F381" s="147"/>
      <c r="G381" s="146"/>
      <c r="H381" s="146"/>
      <c r="I381" s="146"/>
      <c r="J381" s="146"/>
      <c r="K381" s="146">
        <f t="shared" si="46"/>
        <v>0</v>
      </c>
      <c r="L381" s="146">
        <f t="shared" si="47"/>
        <v>0</v>
      </c>
      <c r="M381" s="146">
        <v>538.79999999999995</v>
      </c>
      <c r="N381" s="146">
        <f t="shared" si="52"/>
        <v>4.2745620715917747</v>
      </c>
      <c r="O381" s="146"/>
      <c r="P381" s="146">
        <f t="shared" si="48"/>
        <v>0</v>
      </c>
      <c r="Q381" s="146"/>
      <c r="R381" s="19">
        <f t="shared" si="49"/>
        <v>0</v>
      </c>
      <c r="S381" s="146">
        <f t="shared" si="50"/>
        <v>0</v>
      </c>
      <c r="T381" s="20">
        <v>5</v>
      </c>
      <c r="U381" s="20"/>
      <c r="V381" s="143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42">
        <v>300307</v>
      </c>
      <c r="B382" s="135">
        <v>18501</v>
      </c>
      <c r="C382" s="248" t="s">
        <v>159</v>
      </c>
      <c r="D382" s="248" t="s">
        <v>160</v>
      </c>
      <c r="E382" s="148" t="s">
        <v>133</v>
      </c>
      <c r="F382" s="147"/>
      <c r="G382" s="146"/>
      <c r="H382" s="146"/>
      <c r="I382" s="146"/>
      <c r="J382" s="146"/>
      <c r="K382" s="146">
        <f t="shared" si="46"/>
        <v>0</v>
      </c>
      <c r="L382" s="146">
        <f t="shared" si="47"/>
        <v>0</v>
      </c>
      <c r="M382" s="146">
        <v>569</v>
      </c>
      <c r="N382" s="146">
        <f t="shared" si="52"/>
        <v>4.5141533384107637</v>
      </c>
      <c r="O382" s="146"/>
      <c r="P382" s="146">
        <f t="shared" si="48"/>
        <v>0</v>
      </c>
      <c r="Q382" s="146"/>
      <c r="R382" s="19">
        <f t="shared" si="49"/>
        <v>0</v>
      </c>
      <c r="S382" s="146">
        <f t="shared" si="50"/>
        <v>0</v>
      </c>
      <c r="T382" s="20">
        <v>5</v>
      </c>
      <c r="U382" s="20"/>
      <c r="V382" s="143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42">
        <v>300308</v>
      </c>
      <c r="B383" s="135">
        <v>18501</v>
      </c>
      <c r="C383" s="248" t="s">
        <v>159</v>
      </c>
      <c r="D383" s="248" t="s">
        <v>160</v>
      </c>
      <c r="E383" s="148" t="s">
        <v>132</v>
      </c>
      <c r="F383" s="147"/>
      <c r="G383" s="146"/>
      <c r="H383" s="146"/>
      <c r="I383" s="146"/>
      <c r="J383" s="146"/>
      <c r="K383" s="146">
        <f t="shared" si="46"/>
        <v>0</v>
      </c>
      <c r="L383" s="146">
        <f t="shared" si="47"/>
        <v>0</v>
      </c>
      <c r="M383" s="146">
        <v>523.6</v>
      </c>
      <c r="N383" s="146">
        <f t="shared" si="52"/>
        <v>4.1539730896166542</v>
      </c>
      <c r="O383" s="146"/>
      <c r="P383" s="146">
        <f t="shared" si="48"/>
        <v>0</v>
      </c>
      <c r="Q383" s="146"/>
      <c r="R383" s="19">
        <f t="shared" si="49"/>
        <v>0</v>
      </c>
      <c r="S383" s="146">
        <f t="shared" si="50"/>
        <v>0</v>
      </c>
      <c r="T383" s="20">
        <v>5</v>
      </c>
      <c r="U383" s="20"/>
      <c r="V383" s="143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42">
        <v>300182</v>
      </c>
      <c r="B384" s="135">
        <v>18501</v>
      </c>
      <c r="C384" s="248" t="s">
        <v>161</v>
      </c>
      <c r="D384" s="248" t="s">
        <v>160</v>
      </c>
      <c r="E384" s="148" t="s">
        <v>80</v>
      </c>
      <c r="F384" s="147"/>
      <c r="G384" s="146"/>
      <c r="H384" s="146"/>
      <c r="I384" s="146"/>
      <c r="J384" s="146"/>
      <c r="K384" s="146">
        <f t="shared" si="46"/>
        <v>0</v>
      </c>
      <c r="L384" s="146">
        <f t="shared" si="47"/>
        <v>0</v>
      </c>
      <c r="M384" s="146">
        <v>649.1</v>
      </c>
      <c r="N384" s="146">
        <f t="shared" si="52"/>
        <v>5.1496255394770252</v>
      </c>
      <c r="O384" s="146"/>
      <c r="P384" s="146">
        <f t="shared" si="48"/>
        <v>0</v>
      </c>
      <c r="Q384" s="146"/>
      <c r="R384" s="19">
        <f t="shared" si="49"/>
        <v>0</v>
      </c>
      <c r="S384" s="146">
        <f t="shared" si="50"/>
        <v>0</v>
      </c>
      <c r="T384" s="20">
        <v>5</v>
      </c>
      <c r="U384" s="20"/>
      <c r="V384" s="143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42">
        <v>300185</v>
      </c>
      <c r="B385" s="135">
        <v>18501</v>
      </c>
      <c r="C385" s="248" t="s">
        <v>161</v>
      </c>
      <c r="D385" s="248" t="s">
        <v>160</v>
      </c>
      <c r="E385" s="148" t="s">
        <v>135</v>
      </c>
      <c r="F385" s="147"/>
      <c r="G385" s="146"/>
      <c r="H385" s="146"/>
      <c r="I385" s="146"/>
      <c r="J385" s="146"/>
      <c r="K385" s="146">
        <f t="shared" si="46"/>
        <v>0</v>
      </c>
      <c r="L385" s="146">
        <f t="shared" si="47"/>
        <v>0</v>
      </c>
      <c r="M385" s="146">
        <v>638</v>
      </c>
      <c r="N385" s="146">
        <f t="shared" si="52"/>
        <v>6.0738766184310737</v>
      </c>
      <c r="O385" s="146"/>
      <c r="P385" s="146">
        <f t="shared" si="48"/>
        <v>0</v>
      </c>
      <c r="Q385" s="146"/>
      <c r="R385" s="19">
        <f t="shared" si="49"/>
        <v>0</v>
      </c>
      <c r="S385" s="146">
        <f t="shared" si="50"/>
        <v>0</v>
      </c>
      <c r="T385" s="20">
        <v>6</v>
      </c>
      <c r="U385" s="20"/>
      <c r="V385" s="143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42">
        <v>300272</v>
      </c>
      <c r="B386" s="135">
        <v>18502</v>
      </c>
      <c r="C386" s="248" t="s">
        <v>162</v>
      </c>
      <c r="D386" s="248"/>
      <c r="E386" s="148" t="s">
        <v>42</v>
      </c>
      <c r="F386" s="147"/>
      <c r="G386" s="146"/>
      <c r="H386" s="146"/>
      <c r="I386" s="146"/>
      <c r="J386" s="146"/>
      <c r="K386" s="146">
        <f t="shared" si="46"/>
        <v>0</v>
      </c>
      <c r="L386" s="146">
        <f t="shared" si="47"/>
        <v>0</v>
      </c>
      <c r="M386" s="146">
        <v>523.9</v>
      </c>
      <c r="N386" s="146">
        <f>+M386*1000/(128*4*13*60)*T386</f>
        <v>5.247395833333333</v>
      </c>
      <c r="O386" s="146"/>
      <c r="P386" s="146">
        <f t="shared" si="48"/>
        <v>0</v>
      </c>
      <c r="Q386" s="146"/>
      <c r="R386" s="19">
        <f t="shared" si="49"/>
        <v>0</v>
      </c>
      <c r="S386" s="146">
        <f t="shared" si="50"/>
        <v>0</v>
      </c>
      <c r="T386" s="20">
        <v>4</v>
      </c>
      <c r="U386" s="20"/>
      <c r="V386" s="143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42">
        <v>300273</v>
      </c>
      <c r="B387" s="135">
        <v>18502</v>
      </c>
      <c r="C387" s="248" t="s">
        <v>162</v>
      </c>
      <c r="D387" s="248"/>
      <c r="E387" s="148" t="s">
        <v>163</v>
      </c>
      <c r="F387" s="147"/>
      <c r="G387" s="146"/>
      <c r="H387" s="146"/>
      <c r="I387" s="146"/>
      <c r="J387" s="146"/>
      <c r="K387" s="146">
        <f t="shared" si="46"/>
        <v>0</v>
      </c>
      <c r="L387" s="146">
        <f t="shared" si="47"/>
        <v>0</v>
      </c>
      <c r="M387" s="146">
        <v>523.9</v>
      </c>
      <c r="N387" s="146">
        <f>+M387*1000/(128*4*13*60)*T387</f>
        <v>6.5592447916666661</v>
      </c>
      <c r="O387" s="146"/>
      <c r="P387" s="146">
        <f t="shared" si="48"/>
        <v>0</v>
      </c>
      <c r="Q387" s="146"/>
      <c r="R387" s="19">
        <f t="shared" si="49"/>
        <v>0</v>
      </c>
      <c r="S387" s="146">
        <f t="shared" si="50"/>
        <v>0</v>
      </c>
      <c r="T387" s="20">
        <v>5</v>
      </c>
      <c r="U387" s="20"/>
      <c r="V387" s="143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42">
        <v>300274</v>
      </c>
      <c r="B388" s="135">
        <v>18502</v>
      </c>
      <c r="C388" s="248" t="s">
        <v>162</v>
      </c>
      <c r="D388" s="248"/>
      <c r="E388" s="148" t="s">
        <v>146</v>
      </c>
      <c r="F388" s="147"/>
      <c r="G388" s="146"/>
      <c r="H388" s="146"/>
      <c r="I388" s="146"/>
      <c r="J388" s="146"/>
      <c r="K388" s="146">
        <f t="shared" si="46"/>
        <v>0</v>
      </c>
      <c r="L388" s="146">
        <f t="shared" si="47"/>
        <v>0</v>
      </c>
      <c r="M388" s="146">
        <v>523.9</v>
      </c>
      <c r="N388" s="146">
        <f>+M388*1000/(128*4*13*60)*T388</f>
        <v>5.247395833333333</v>
      </c>
      <c r="O388" s="146"/>
      <c r="P388" s="146">
        <f t="shared" si="48"/>
        <v>0</v>
      </c>
      <c r="Q388" s="146"/>
      <c r="R388" s="19">
        <f t="shared" si="49"/>
        <v>0</v>
      </c>
      <c r="S388" s="146">
        <f t="shared" si="50"/>
        <v>0</v>
      </c>
      <c r="T388" s="20">
        <v>4</v>
      </c>
      <c r="U388" s="20"/>
      <c r="V388" s="143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42">
        <v>300275</v>
      </c>
      <c r="B389" s="135">
        <v>18502</v>
      </c>
      <c r="C389" s="248" t="s">
        <v>162</v>
      </c>
      <c r="D389" s="248"/>
      <c r="E389" s="148" t="s">
        <v>164</v>
      </c>
      <c r="F389" s="147"/>
      <c r="G389" s="146"/>
      <c r="H389" s="146"/>
      <c r="I389" s="146"/>
      <c r="J389" s="146"/>
      <c r="K389" s="146">
        <f t="shared" si="46"/>
        <v>0</v>
      </c>
      <c r="L389" s="146">
        <f t="shared" si="47"/>
        <v>0</v>
      </c>
      <c r="M389" s="146">
        <v>523.9</v>
      </c>
      <c r="N389" s="146">
        <f>+M389*1000/(128*4*13*60)*T389</f>
        <v>5.247395833333333</v>
      </c>
      <c r="O389" s="146"/>
      <c r="P389" s="146">
        <f t="shared" si="48"/>
        <v>0</v>
      </c>
      <c r="Q389" s="146"/>
      <c r="R389" s="19">
        <f t="shared" si="49"/>
        <v>0</v>
      </c>
      <c r="S389" s="146">
        <f t="shared" si="50"/>
        <v>0</v>
      </c>
      <c r="T389" s="20">
        <v>4</v>
      </c>
      <c r="U389" s="20"/>
      <c r="V389" s="143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42">
        <v>300285</v>
      </c>
      <c r="B390" s="135">
        <v>13001</v>
      </c>
      <c r="C390" s="248" t="s">
        <v>165</v>
      </c>
      <c r="D390" s="248"/>
      <c r="E390" s="148" t="s">
        <v>37</v>
      </c>
      <c r="F390" s="147"/>
      <c r="G390" s="146"/>
      <c r="H390" s="146"/>
      <c r="I390" s="146"/>
      <c r="J390" s="146"/>
      <c r="K390" s="146">
        <f t="shared" si="46"/>
        <v>0</v>
      </c>
      <c r="L390" s="146">
        <f t="shared" si="47"/>
        <v>0</v>
      </c>
      <c r="M390" s="146">
        <v>438.7</v>
      </c>
      <c r="N390" s="146">
        <f t="shared" ref="N390:N395" si="53">+M390*1000/(90*4*18*60)*T390</f>
        <v>5.6417181069958842</v>
      </c>
      <c r="O390" s="146"/>
      <c r="P390" s="146">
        <f t="shared" si="48"/>
        <v>0</v>
      </c>
      <c r="Q390" s="146"/>
      <c r="R390" s="19">
        <f t="shared" si="49"/>
        <v>0</v>
      </c>
      <c r="S390" s="146">
        <f t="shared" si="50"/>
        <v>0</v>
      </c>
      <c r="T390" s="20">
        <v>5</v>
      </c>
      <c r="U390" s="20"/>
      <c r="V390" s="143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42">
        <v>300287</v>
      </c>
      <c r="B391" s="135">
        <v>13001</v>
      </c>
      <c r="C391" s="248" t="s">
        <v>165</v>
      </c>
      <c r="D391" s="248"/>
      <c r="E391" s="148" t="s">
        <v>57</v>
      </c>
      <c r="F391" s="147"/>
      <c r="G391" s="146"/>
      <c r="H391" s="146"/>
      <c r="I391" s="146"/>
      <c r="J391" s="146"/>
      <c r="K391" s="146">
        <f t="shared" si="46"/>
        <v>0</v>
      </c>
      <c r="L391" s="146">
        <f t="shared" si="47"/>
        <v>0</v>
      </c>
      <c r="M391" s="146">
        <v>438.7</v>
      </c>
      <c r="N391" s="146">
        <f t="shared" si="53"/>
        <v>5.6417181069958842</v>
      </c>
      <c r="O391" s="146"/>
      <c r="P391" s="146">
        <f t="shared" si="48"/>
        <v>0</v>
      </c>
      <c r="Q391" s="146"/>
      <c r="R391" s="19">
        <f t="shared" si="49"/>
        <v>0</v>
      </c>
      <c r="S391" s="146">
        <f t="shared" si="50"/>
        <v>0</v>
      </c>
      <c r="T391" s="20">
        <v>5</v>
      </c>
      <c r="U391" s="20"/>
      <c r="V391" s="143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42">
        <v>300284</v>
      </c>
      <c r="B392" s="135">
        <v>13001</v>
      </c>
      <c r="C392" s="248" t="s">
        <v>165</v>
      </c>
      <c r="D392" s="248"/>
      <c r="E392" s="148" t="s">
        <v>41</v>
      </c>
      <c r="F392" s="147"/>
      <c r="G392" s="146"/>
      <c r="H392" s="146"/>
      <c r="I392" s="146"/>
      <c r="J392" s="146"/>
      <c r="K392" s="146">
        <f t="shared" si="46"/>
        <v>0</v>
      </c>
      <c r="L392" s="146">
        <f t="shared" si="47"/>
        <v>0</v>
      </c>
      <c r="M392" s="146">
        <v>438.7</v>
      </c>
      <c r="N392" s="146">
        <f t="shared" si="53"/>
        <v>5.6417181069958842</v>
      </c>
      <c r="O392" s="146"/>
      <c r="P392" s="146">
        <f t="shared" si="48"/>
        <v>0</v>
      </c>
      <c r="Q392" s="146"/>
      <c r="R392" s="19">
        <f t="shared" si="49"/>
        <v>0</v>
      </c>
      <c r="S392" s="146">
        <f t="shared" si="50"/>
        <v>0</v>
      </c>
      <c r="T392" s="20">
        <v>5</v>
      </c>
      <c r="U392" s="20"/>
      <c r="V392" s="143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42">
        <v>300283</v>
      </c>
      <c r="B393" s="135">
        <v>13001</v>
      </c>
      <c r="C393" s="248" t="s">
        <v>165</v>
      </c>
      <c r="D393" s="248"/>
      <c r="E393" s="148" t="s">
        <v>35</v>
      </c>
      <c r="F393" s="147"/>
      <c r="G393" s="146"/>
      <c r="H393" s="146"/>
      <c r="I393" s="146"/>
      <c r="J393" s="136"/>
      <c r="K393" s="136">
        <f t="shared" si="46"/>
        <v>0</v>
      </c>
      <c r="L393" s="136">
        <f t="shared" si="47"/>
        <v>0</v>
      </c>
      <c r="M393" s="146">
        <v>438.7</v>
      </c>
      <c r="N393" s="146">
        <f t="shared" si="53"/>
        <v>5.6417181069958842</v>
      </c>
      <c r="O393" s="136"/>
      <c r="P393" s="146">
        <f t="shared" si="48"/>
        <v>0</v>
      </c>
      <c r="Q393" s="146"/>
      <c r="R393" s="19">
        <f t="shared" si="49"/>
        <v>0</v>
      </c>
      <c r="S393" s="146">
        <f t="shared" si="50"/>
        <v>0</v>
      </c>
      <c r="T393" s="20">
        <v>5</v>
      </c>
      <c r="U393" s="20"/>
      <c r="V393" s="143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42">
        <v>300289</v>
      </c>
      <c r="B394" s="135">
        <v>13001</v>
      </c>
      <c r="C394" s="248" t="s">
        <v>165</v>
      </c>
      <c r="D394" s="248"/>
      <c r="E394" s="148" t="s">
        <v>66</v>
      </c>
      <c r="F394" s="147"/>
      <c r="G394" s="136"/>
      <c r="H394" s="136"/>
      <c r="I394" s="136"/>
      <c r="J394" s="116"/>
      <c r="K394" s="136">
        <f t="shared" si="46"/>
        <v>0</v>
      </c>
      <c r="L394" s="136">
        <f t="shared" si="47"/>
        <v>0</v>
      </c>
      <c r="M394" s="146">
        <v>438.7</v>
      </c>
      <c r="N394" s="146">
        <f t="shared" si="53"/>
        <v>5.6417181069958842</v>
      </c>
      <c r="O394" s="136"/>
      <c r="P394" s="146">
        <f t="shared" si="48"/>
        <v>0</v>
      </c>
      <c r="Q394" s="146"/>
      <c r="R394" s="19">
        <f t="shared" si="49"/>
        <v>0</v>
      </c>
      <c r="S394" s="146">
        <f t="shared" si="50"/>
        <v>0</v>
      </c>
      <c r="T394" s="20">
        <v>5</v>
      </c>
      <c r="U394" s="20"/>
      <c r="V394" s="143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42">
        <v>300288</v>
      </c>
      <c r="B395" s="135">
        <v>13001</v>
      </c>
      <c r="C395" s="248" t="s">
        <v>165</v>
      </c>
      <c r="D395" s="248"/>
      <c r="E395" s="148" t="s">
        <v>166</v>
      </c>
      <c r="F395" s="147"/>
      <c r="G395" s="141"/>
      <c r="H395" s="146"/>
      <c r="I395" s="146"/>
      <c r="J395" s="146"/>
      <c r="K395" s="146">
        <f t="shared" si="46"/>
        <v>0</v>
      </c>
      <c r="L395" s="146">
        <f t="shared" si="47"/>
        <v>0</v>
      </c>
      <c r="M395" s="146">
        <v>438.7</v>
      </c>
      <c r="N395" s="146">
        <f t="shared" si="53"/>
        <v>5.6417181069958842</v>
      </c>
      <c r="O395" s="146"/>
      <c r="P395" s="146">
        <f t="shared" si="48"/>
        <v>0</v>
      </c>
      <c r="Q395" s="146"/>
      <c r="R395" s="19">
        <f t="shared" si="49"/>
        <v>0</v>
      </c>
      <c r="S395" s="146">
        <f t="shared" si="50"/>
        <v>0</v>
      </c>
      <c r="T395" s="20">
        <v>5</v>
      </c>
      <c r="U395" s="20"/>
      <c r="V395" s="143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39">
        <v>300355</v>
      </c>
      <c r="B396" s="124">
        <v>13001</v>
      </c>
      <c r="C396" s="262" t="s">
        <v>168</v>
      </c>
      <c r="D396" s="263"/>
      <c r="E396" s="53" t="s">
        <v>35</v>
      </c>
      <c r="F396" s="147"/>
      <c r="G396" s="141"/>
      <c r="H396" s="146"/>
      <c r="I396" s="146"/>
      <c r="J396" s="146"/>
      <c r="K396" s="136">
        <f t="shared" si="46"/>
        <v>0</v>
      </c>
      <c r="L396" s="146">
        <f t="shared" si="47"/>
        <v>0</v>
      </c>
      <c r="M396" s="146">
        <v>438</v>
      </c>
      <c r="N396" s="146">
        <f>+M396*1000/(110*4*18*60)*T396</f>
        <v>4.6085858585858581</v>
      </c>
      <c r="O396" s="146"/>
      <c r="P396" s="146">
        <f t="shared" si="48"/>
        <v>0</v>
      </c>
      <c r="Q396" s="146"/>
      <c r="R396" s="19">
        <f t="shared" si="49"/>
        <v>0</v>
      </c>
      <c r="S396" s="146">
        <f t="shared" si="50"/>
        <v>0</v>
      </c>
      <c r="T396" s="20">
        <v>5</v>
      </c>
      <c r="U396" s="20"/>
      <c r="V396" s="143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39">
        <v>300356</v>
      </c>
      <c r="B397" s="124">
        <v>13001</v>
      </c>
      <c r="C397" s="262" t="s">
        <v>168</v>
      </c>
      <c r="D397" s="263"/>
      <c r="E397" s="54" t="s">
        <v>41</v>
      </c>
      <c r="F397" s="147"/>
      <c r="G397" s="141"/>
      <c r="H397" s="146"/>
      <c r="I397" s="146"/>
      <c r="J397" s="146"/>
      <c r="K397" s="136">
        <f t="shared" si="46"/>
        <v>0</v>
      </c>
      <c r="L397" s="146">
        <f t="shared" si="47"/>
        <v>0</v>
      </c>
      <c r="M397" s="146">
        <v>438</v>
      </c>
      <c r="N397" s="146">
        <f>+M397*1000/(110*4*18*60)*T397</f>
        <v>4.6085858585858581</v>
      </c>
      <c r="O397" s="146"/>
      <c r="P397" s="146">
        <f t="shared" si="48"/>
        <v>0</v>
      </c>
      <c r="Q397" s="146"/>
      <c r="R397" s="19">
        <f t="shared" si="49"/>
        <v>0</v>
      </c>
      <c r="S397" s="146">
        <f t="shared" si="50"/>
        <v>0</v>
      </c>
      <c r="T397" s="20">
        <v>5</v>
      </c>
      <c r="U397" s="20"/>
      <c r="V397" s="143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39">
        <v>300357</v>
      </c>
      <c r="B398" s="135" t="s">
        <v>170</v>
      </c>
      <c r="C398" s="259" t="s">
        <v>168</v>
      </c>
      <c r="D398" s="260"/>
      <c r="E398" s="150" t="s">
        <v>37</v>
      </c>
      <c r="F398" s="13"/>
      <c r="G398" s="141"/>
      <c r="H398" s="146"/>
      <c r="I398" s="146"/>
      <c r="J398" s="146"/>
      <c r="K398" s="136">
        <f t="shared" si="46"/>
        <v>0</v>
      </c>
      <c r="L398" s="146">
        <f t="shared" si="47"/>
        <v>0</v>
      </c>
      <c r="M398" s="146">
        <v>438</v>
      </c>
      <c r="N398" s="15">
        <f>+M398*1000/(110*4*18*60)*T398</f>
        <v>4.6085858585858581</v>
      </c>
      <c r="O398" s="146"/>
      <c r="P398" s="146">
        <f t="shared" si="48"/>
        <v>0</v>
      </c>
      <c r="Q398" s="146"/>
      <c r="R398" s="19">
        <f t="shared" si="49"/>
        <v>0</v>
      </c>
      <c r="S398" s="146">
        <f t="shared" si="50"/>
        <v>0</v>
      </c>
      <c r="T398" s="20">
        <v>5</v>
      </c>
      <c r="U398" s="20"/>
      <c r="V398" s="143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39">
        <v>300358</v>
      </c>
      <c r="B399" s="135" t="s">
        <v>171</v>
      </c>
      <c r="C399" s="259" t="s">
        <v>168</v>
      </c>
      <c r="D399" s="260"/>
      <c r="E399" s="150" t="s">
        <v>66</v>
      </c>
      <c r="F399" s="13"/>
      <c r="G399" s="141"/>
      <c r="H399" s="146"/>
      <c r="I399" s="146"/>
      <c r="J399" s="146"/>
      <c r="K399" s="136">
        <f t="shared" si="46"/>
        <v>0</v>
      </c>
      <c r="L399" s="146">
        <f t="shared" si="47"/>
        <v>0</v>
      </c>
      <c r="M399" s="146">
        <v>438</v>
      </c>
      <c r="N399" s="15">
        <f>+M399*1000/(110*4*18*60)*T399</f>
        <v>4.6085858585858581</v>
      </c>
      <c r="O399" s="146"/>
      <c r="P399" s="146">
        <f t="shared" si="48"/>
        <v>0</v>
      </c>
      <c r="Q399" s="146"/>
      <c r="R399" s="19">
        <f t="shared" si="49"/>
        <v>0</v>
      </c>
      <c r="S399" s="146">
        <f t="shared" si="50"/>
        <v>0</v>
      </c>
      <c r="T399" s="20">
        <v>5</v>
      </c>
      <c r="U399" s="20"/>
      <c r="V399" s="143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42">
        <v>300438</v>
      </c>
      <c r="B400" s="135" t="s">
        <v>87</v>
      </c>
      <c r="C400" s="248" t="s">
        <v>312</v>
      </c>
      <c r="D400" s="248" t="s">
        <v>89</v>
      </c>
      <c r="E400" s="148" t="s">
        <v>35</v>
      </c>
      <c r="F400" s="13"/>
      <c r="G400" s="110"/>
      <c r="H400" s="110"/>
      <c r="I400" s="110"/>
      <c r="J400" s="110"/>
      <c r="K400" s="146">
        <f>G400*M400</f>
        <v>0</v>
      </c>
      <c r="L400" s="146">
        <f>I400*M400</f>
        <v>0</v>
      </c>
      <c r="M400" s="146">
        <v>336.6</v>
      </c>
      <c r="N400" s="146">
        <f>+M400*1000/(45*10*18*60)*T400</f>
        <v>1.3851851851851851</v>
      </c>
      <c r="O400" s="146"/>
      <c r="P400" s="146">
        <f>N400*I400+O400*U400</f>
        <v>0</v>
      </c>
      <c r="Q400" s="146"/>
      <c r="R400" s="19">
        <f>Q400*U400</f>
        <v>0</v>
      </c>
      <c r="S400" s="146">
        <f>R400-P400</f>
        <v>0</v>
      </c>
      <c r="T400" s="20">
        <v>2</v>
      </c>
      <c r="U400" s="20"/>
      <c r="V400" s="143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42">
        <v>300439</v>
      </c>
      <c r="B401" s="135" t="s">
        <v>87</v>
      </c>
      <c r="C401" s="248" t="s">
        <v>312</v>
      </c>
      <c r="D401" s="248" t="s">
        <v>89</v>
      </c>
      <c r="E401" s="148" t="s">
        <v>66</v>
      </c>
      <c r="F401" s="13"/>
      <c r="G401" s="110"/>
      <c r="H401" s="110"/>
      <c r="I401" s="110"/>
      <c r="J401" s="110"/>
      <c r="K401" s="146">
        <f>G401*M401</f>
        <v>0</v>
      </c>
      <c r="L401" s="146">
        <f>I401*M401</f>
        <v>0</v>
      </c>
      <c r="M401" s="146">
        <v>336.6</v>
      </c>
      <c r="N401" s="146">
        <f>+M401*1000/(45*10*18*60)*T401</f>
        <v>1.3851851851851851</v>
      </c>
      <c r="O401" s="146"/>
      <c r="P401" s="146">
        <f>N401*I401+O401*U401</f>
        <v>0</v>
      </c>
      <c r="Q401" s="146"/>
      <c r="R401" s="19">
        <f>Q401*U401</f>
        <v>0</v>
      </c>
      <c r="S401" s="146">
        <f>R401-P401</f>
        <v>0</v>
      </c>
      <c r="T401" s="20">
        <v>2</v>
      </c>
      <c r="U401" s="20"/>
      <c r="V401" s="143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42">
        <v>300440</v>
      </c>
      <c r="B402" s="135" t="s">
        <v>87</v>
      </c>
      <c r="C402" s="248" t="s">
        <v>312</v>
      </c>
      <c r="D402" s="248" t="s">
        <v>89</v>
      </c>
      <c r="E402" s="148" t="s">
        <v>41</v>
      </c>
      <c r="F402" s="13"/>
      <c r="G402" s="110"/>
      <c r="H402" s="110"/>
      <c r="I402" s="110"/>
      <c r="J402" s="110"/>
      <c r="K402" s="146">
        <f>G402*M402</f>
        <v>0</v>
      </c>
      <c r="L402" s="146">
        <f>I402*M402</f>
        <v>0</v>
      </c>
      <c r="M402" s="146">
        <v>336.6</v>
      </c>
      <c r="N402" s="146">
        <f>+M402*1000/(45*10*18*60)*T402</f>
        <v>1.3851851851851851</v>
      </c>
      <c r="O402" s="146"/>
      <c r="P402" s="146">
        <f>N402*I402+O402*U402</f>
        <v>0</v>
      </c>
      <c r="Q402" s="146"/>
      <c r="R402" s="19">
        <f>Q402*U402</f>
        <v>0</v>
      </c>
      <c r="S402" s="146">
        <f>R402-P402</f>
        <v>0</v>
      </c>
      <c r="T402" s="20">
        <v>2</v>
      </c>
      <c r="U402" s="20"/>
      <c r="V402" s="143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42">
        <v>300441</v>
      </c>
      <c r="B403" s="135" t="s">
        <v>87</v>
      </c>
      <c r="C403" s="248" t="s">
        <v>312</v>
      </c>
      <c r="D403" s="248" t="s">
        <v>89</v>
      </c>
      <c r="E403" s="148" t="s">
        <v>37</v>
      </c>
      <c r="F403" s="13"/>
      <c r="G403" s="110"/>
      <c r="H403" s="110"/>
      <c r="I403" s="110"/>
      <c r="J403" s="110"/>
      <c r="K403" s="146">
        <f>G403*M403</f>
        <v>0</v>
      </c>
      <c r="L403" s="146">
        <f>I403*M403</f>
        <v>0</v>
      </c>
      <c r="M403" s="146">
        <v>336.6</v>
      </c>
      <c r="N403" s="146">
        <f>+M403*1000/(45*10*18*60)*T403</f>
        <v>1.3851851851851851</v>
      </c>
      <c r="O403" s="146"/>
      <c r="P403" s="146">
        <f>N403*I403+O403*U403</f>
        <v>0</v>
      </c>
      <c r="Q403" s="146"/>
      <c r="R403" s="19">
        <f>Q403*U403</f>
        <v>0</v>
      </c>
      <c r="S403" s="146">
        <f>R403-P403</f>
        <v>0</v>
      </c>
      <c r="T403" s="20">
        <v>2</v>
      </c>
      <c r="U403" s="20"/>
      <c r="V403" s="143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39">
        <v>300406</v>
      </c>
      <c r="B404" s="135" t="s">
        <v>171</v>
      </c>
      <c r="C404" s="259" t="s">
        <v>172</v>
      </c>
      <c r="D404" s="260"/>
      <c r="E404" s="150" t="s">
        <v>149</v>
      </c>
      <c r="F404" s="27"/>
      <c r="G404" s="141"/>
      <c r="H404" s="146"/>
      <c r="I404" s="146"/>
      <c r="J404" s="146"/>
      <c r="K404" s="136">
        <f t="shared" ref="K404:K407" si="54">G404*M404</f>
        <v>0</v>
      </c>
      <c r="L404" s="146">
        <f t="shared" ref="L404:L407" si="55">I404*M404</f>
        <v>0</v>
      </c>
      <c r="M404" s="146">
        <v>628.29999999999995</v>
      </c>
      <c r="N404" s="15">
        <f>+M404*1000/(132*4*18*60)*T404</f>
        <v>5.5090838945005611</v>
      </c>
      <c r="O404" s="146"/>
      <c r="P404" s="146">
        <f t="shared" ref="P404:P407" si="56">N404*I404+O404*U404</f>
        <v>0</v>
      </c>
      <c r="Q404" s="146"/>
      <c r="R404" s="19">
        <f t="shared" ref="R404:R407" si="57">Q404*U404</f>
        <v>0</v>
      </c>
      <c r="S404" s="146">
        <f t="shared" ref="S404:S407" si="58">R404-P404</f>
        <v>0</v>
      </c>
      <c r="T404" s="20">
        <v>5</v>
      </c>
      <c r="U404" s="20"/>
      <c r="V404" s="143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39">
        <v>300407</v>
      </c>
      <c r="B405" s="135" t="s">
        <v>171</v>
      </c>
      <c r="C405" s="259" t="s">
        <v>172</v>
      </c>
      <c r="D405" s="260"/>
      <c r="E405" s="150" t="s">
        <v>173</v>
      </c>
      <c r="F405" s="27"/>
      <c r="G405" s="141"/>
      <c r="H405" s="146"/>
      <c r="I405" s="146"/>
      <c r="J405" s="146"/>
      <c r="K405" s="136">
        <f t="shared" si="54"/>
        <v>0</v>
      </c>
      <c r="L405" s="146">
        <f t="shared" si="55"/>
        <v>0</v>
      </c>
      <c r="M405" s="146">
        <v>628.29999999999995</v>
      </c>
      <c r="N405" s="15">
        <f>+M405*1000/(132*4*18*60)*T405</f>
        <v>5.5090838945005611</v>
      </c>
      <c r="O405" s="146"/>
      <c r="P405" s="146">
        <f t="shared" si="56"/>
        <v>0</v>
      </c>
      <c r="Q405" s="146"/>
      <c r="R405" s="19">
        <f t="shared" si="57"/>
        <v>0</v>
      </c>
      <c r="S405" s="146">
        <f t="shared" si="58"/>
        <v>0</v>
      </c>
      <c r="T405" s="20">
        <v>5</v>
      </c>
      <c r="U405" s="20"/>
      <c r="V405" s="143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39">
        <v>300408</v>
      </c>
      <c r="B406" s="135" t="s">
        <v>171</v>
      </c>
      <c r="C406" s="259" t="s">
        <v>172</v>
      </c>
      <c r="D406" s="260"/>
      <c r="E406" s="150" t="s">
        <v>41</v>
      </c>
      <c r="F406" s="27"/>
      <c r="G406" s="141"/>
      <c r="H406" s="146"/>
      <c r="I406" s="146"/>
      <c r="J406" s="146"/>
      <c r="K406" s="136">
        <f t="shared" si="54"/>
        <v>0</v>
      </c>
      <c r="L406" s="146">
        <f t="shared" si="55"/>
        <v>0</v>
      </c>
      <c r="M406" s="146">
        <v>628.29999999999995</v>
      </c>
      <c r="N406" s="15">
        <f>+M406*1000/(132*4*18*60)*T406</f>
        <v>5.5090838945005611</v>
      </c>
      <c r="O406" s="146"/>
      <c r="P406" s="146">
        <f t="shared" si="56"/>
        <v>0</v>
      </c>
      <c r="Q406" s="146"/>
      <c r="R406" s="19">
        <f t="shared" si="57"/>
        <v>0</v>
      </c>
      <c r="S406" s="146">
        <f t="shared" si="58"/>
        <v>0</v>
      </c>
      <c r="T406" s="20">
        <v>5</v>
      </c>
      <c r="U406" s="20"/>
      <c r="V406" s="143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39">
        <v>300409</v>
      </c>
      <c r="B407" s="135" t="s">
        <v>171</v>
      </c>
      <c r="C407" s="259" t="s">
        <v>172</v>
      </c>
      <c r="D407" s="260"/>
      <c r="E407" s="150" t="s">
        <v>174</v>
      </c>
      <c r="F407" s="27"/>
      <c r="G407" s="141"/>
      <c r="H407" s="146"/>
      <c r="I407" s="146"/>
      <c r="J407" s="146"/>
      <c r="K407" s="136">
        <f t="shared" si="54"/>
        <v>0</v>
      </c>
      <c r="L407" s="146">
        <f t="shared" si="55"/>
        <v>0</v>
      </c>
      <c r="M407" s="146">
        <v>628.29999999999995</v>
      </c>
      <c r="N407" s="15">
        <f>+M407*1000/(132*4*18*60)*T407</f>
        <v>5.5090838945005611</v>
      </c>
      <c r="O407" s="146"/>
      <c r="P407" s="146">
        <f t="shared" si="56"/>
        <v>0</v>
      </c>
      <c r="Q407" s="146"/>
      <c r="R407" s="19">
        <f t="shared" si="57"/>
        <v>0</v>
      </c>
      <c r="S407" s="146">
        <f t="shared" si="58"/>
        <v>0</v>
      </c>
      <c r="T407" s="20">
        <v>5</v>
      </c>
      <c r="U407" s="20"/>
      <c r="V407" s="143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46">
        <f t="array" ref="G408">SUM(IF(ISERROR(G215:G407),“”,G215:G407))</f>
        <v>38.28</v>
      </c>
      <c r="H408" s="146">
        <f t="array" ref="H408">SUM(IF(ISERROR(H215:H407),“”,H215:H407))</f>
        <v>0.75</v>
      </c>
      <c r="I408" s="146">
        <f t="array" ref="I408">SUM(IF(ISERROR(I215:I407),“”,I215:I407))</f>
        <v>37.926190476190477</v>
      </c>
      <c r="J408" s="146">
        <f t="array" ref="J408">SUM(IF(ISERROR(J215:J407),“”,J215:J407))</f>
        <v>600</v>
      </c>
      <c r="K408" s="146">
        <f t="array" ref="K408">SUM(IF(ISERROR(K215:K407),“”,K215:K407))</f>
        <v>18712.944</v>
      </c>
      <c r="L408" s="117">
        <f>SUM(L215:L399)</f>
        <v>18562.336428571427</v>
      </c>
      <c r="M408" s="146"/>
      <c r="N408" s="146"/>
      <c r="O408" s="146">
        <f t="array" ref="O408">SUM(IF(ISERROR(O215:O407),“”,O215:O407))</f>
        <v>0.5</v>
      </c>
      <c r="P408" s="56">
        <f>SUM((P215:P399),(W413:X418))</f>
        <v>288.05264656170027</v>
      </c>
      <c r="Q408" s="146"/>
      <c r="R408" s="56">
        <f>SUM((R215:R399),(Y413:Z418))</f>
        <v>314</v>
      </c>
      <c r="S408" s="146">
        <f t="array" ref="S408">SUM(IF(ISERROR(S215:S407),“”,S215:S407))</f>
        <v>-10.052646561700264</v>
      </c>
      <c r="T408" s="146"/>
      <c r="U408" s="146"/>
      <c r="V408" s="143">
        <f t="array" ref="V408">IF(ISERROR(L408/K408),"",L408/K408)</f>
        <v>0.99195169015476281</v>
      </c>
      <c r="W408" s="146">
        <f t="array" ref="W408">SUM(IF(ISERROR(W215:W407),“”,W215:W407))</f>
        <v>0</v>
      </c>
      <c r="X408" s="146">
        <f t="array" ref="X408">SUM(IF(ISERROR(X215:X407),“”,X215:X407))</f>
        <v>4.5</v>
      </c>
      <c r="Y408" s="146">
        <f t="array" ref="Y408">SUM(IF(ISERROR(Y215:Y407),“”,Y215:Y407))</f>
        <v>0</v>
      </c>
      <c r="Z408" s="146">
        <f t="array" ref="Z408">SUM(IF(ISERROR(Z215:Z407),“”,Z215:Z407))</f>
        <v>0</v>
      </c>
      <c r="AA408" s="146">
        <f t="array" ref="AA408">SUM(IF(ISERROR(AA215:AA407),“”,AA215:AA407))</f>
        <v>6</v>
      </c>
      <c r="AB408" s="146">
        <f t="array" ref="AB408">SUM(IF(ISERROR(AB215:AB407),“”,AB215:AB407))</f>
        <v>0</v>
      </c>
      <c r="AC408" s="146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0.91736511643853591</v>
      </c>
      <c r="P409" s="274"/>
      <c r="Q409" s="274"/>
      <c r="R409" s="275"/>
      <c r="S409" s="44"/>
      <c r="T409" s="45"/>
      <c r="U409" s="45"/>
      <c r="V409" s="45"/>
      <c r="W409" s="276">
        <f>SUM(W408:AC408)</f>
        <v>10.5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118</v>
      </c>
      <c r="F411" s="279"/>
      <c r="G411" s="279">
        <v>118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3483.6</v>
      </c>
      <c r="F412" s="279"/>
      <c r="G412" s="279">
        <v>3548.6</v>
      </c>
      <c r="H412" s="279"/>
      <c r="I412" s="279">
        <f>G412-E412</f>
        <v>65</v>
      </c>
      <c r="J412" s="279"/>
      <c r="K412" s="281">
        <f t="array" ref="K412">IF(ISERROR(I412/E412),"",I412/E412)</f>
        <v>1.8658858651969229E-2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19</v>
      </c>
      <c r="T412" s="284"/>
      <c r="U412" s="284">
        <v>21</v>
      </c>
      <c r="V412" s="284"/>
      <c r="W412" s="283">
        <f>S412*9</f>
        <v>171</v>
      </c>
      <c r="X412" s="283"/>
      <c r="Y412" s="283">
        <f>U412*9</f>
        <v>189</v>
      </c>
      <c r="Z412" s="283"/>
      <c r="AA412" s="283">
        <f t="shared" ref="AA412:AA419" si="59">Y412-W412</f>
        <v>18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1238</v>
      </c>
      <c r="F413" s="279"/>
      <c r="G413" s="279">
        <v>612</v>
      </c>
      <c r="H413" s="279"/>
      <c r="I413" s="279">
        <f>G413-E413</f>
        <v>-626</v>
      </c>
      <c r="J413" s="279"/>
      <c r="K413" s="281">
        <f t="array" ref="K413">IF(ISERROR(I413/E413),"",I413/E413)</f>
        <v>-0.50565428109854604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3</v>
      </c>
      <c r="T413" s="284"/>
      <c r="U413" s="284">
        <v>6</v>
      </c>
      <c r="V413" s="284"/>
      <c r="W413" s="283">
        <f t="shared" ref="W413:W419" si="60">S413*9</f>
        <v>27</v>
      </c>
      <c r="X413" s="283"/>
      <c r="Y413" s="283">
        <f t="shared" ref="Y413:Y419" si="61">U413*9</f>
        <v>54</v>
      </c>
      <c r="Z413" s="283"/>
      <c r="AA413" s="283">
        <f t="shared" si="59"/>
        <v>27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0</v>
      </c>
      <c r="V414" s="284"/>
      <c r="W414" s="283">
        <f t="shared" si="60"/>
        <v>6.75</v>
      </c>
      <c r="X414" s="283"/>
      <c r="Y414" s="283">
        <f t="shared" si="61"/>
        <v>0</v>
      </c>
      <c r="Z414" s="283"/>
      <c r="AA414" s="283">
        <f t="shared" si="59"/>
        <v>-6.75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44">
        <v>5</v>
      </c>
      <c r="G415" s="324">
        <v>149083</v>
      </c>
      <c r="H415" s="324"/>
      <c r="I415" s="325">
        <v>149028</v>
      </c>
      <c r="J415" s="326"/>
      <c r="K415" s="289">
        <f>G415-I415</f>
        <v>55</v>
      </c>
      <c r="L415" s="289"/>
      <c r="M415" s="290">
        <f t="array" ref="M415">IF(ISERROR(K415/L408),"",K415/(L408/1000))</f>
        <v>2.9629890726117414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1</v>
      </c>
      <c r="V415" s="284"/>
      <c r="W415" s="283">
        <f t="shared" si="60"/>
        <v>6.75</v>
      </c>
      <c r="X415" s="283"/>
      <c r="Y415" s="283">
        <f t="shared" si="61"/>
        <v>9</v>
      </c>
      <c r="Z415" s="283"/>
      <c r="AA415" s="283">
        <f t="shared" si="59"/>
        <v>2.25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44">
        <v>105</v>
      </c>
      <c r="G416" s="322">
        <f>28542.3*120+44828.7*60</f>
        <v>6114798</v>
      </c>
      <c r="H416" s="323"/>
      <c r="I416" s="322">
        <v>6113622</v>
      </c>
      <c r="J416" s="323"/>
      <c r="K416" s="289">
        <f>G416-I416</f>
        <v>1176</v>
      </c>
      <c r="L416" s="289"/>
      <c r="M416" s="290">
        <f t="array" ref="M416">IF(ISERROR(K416/L408),"",K416/(L408/1000))</f>
        <v>63.354093625298326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2</v>
      </c>
      <c r="V416" s="284"/>
      <c r="W416" s="283">
        <f t="shared" si="60"/>
        <v>13.5</v>
      </c>
      <c r="X416" s="283"/>
      <c r="Y416" s="283">
        <f t="shared" si="61"/>
        <v>18</v>
      </c>
      <c r="Z416" s="283"/>
      <c r="AA416" s="283">
        <f t="shared" si="59"/>
        <v>4.5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44">
        <v>0.55000000000000004</v>
      </c>
      <c r="G417" s="324">
        <f>+I417+10</f>
        <v>27787</v>
      </c>
      <c r="H417" s="324"/>
      <c r="I417" s="327">
        <v>27777</v>
      </c>
      <c r="J417" s="328"/>
      <c r="K417" s="289">
        <f>G417-I417</f>
        <v>10</v>
      </c>
      <c r="L417" s="289"/>
      <c r="M417" s="293">
        <f t="array" ref="M417">IF(ISERROR(K417/L408),"",K417/(L408/1000))</f>
        <v>0.5387252859294076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9</v>
      </c>
      <c r="X417" s="283"/>
      <c r="Y417" s="283">
        <f t="shared" si="61"/>
        <v>9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1.6/2+1.6</f>
        <v>2.4000000000000004</v>
      </c>
      <c r="L418" s="301"/>
      <c r="M418" s="294">
        <f t="array" ref="M418">IF(ISERROR((K418+K419)/L408),"",((K418+K419)*1000)/(L408/1000))</f>
        <v>129.29406862305783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4</v>
      </c>
      <c r="V418" s="284"/>
      <c r="W418" s="283">
        <f t="shared" si="60"/>
        <v>27</v>
      </c>
      <c r="X418" s="283"/>
      <c r="Y418" s="283">
        <f t="shared" si="61"/>
        <v>36</v>
      </c>
      <c r="Z418" s="283"/>
      <c r="AA418" s="283">
        <f t="shared" si="59"/>
        <v>9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29</v>
      </c>
      <c r="T419" s="284"/>
      <c r="U419" s="284">
        <f>SUM(U412:V418)</f>
        <v>35</v>
      </c>
      <c r="V419" s="284"/>
      <c r="W419" s="283">
        <f t="shared" si="60"/>
        <v>261</v>
      </c>
      <c r="X419" s="283"/>
      <c r="Y419" s="283">
        <f t="shared" si="61"/>
        <v>315</v>
      </c>
      <c r="Z419" s="283"/>
      <c r="AA419" s="283">
        <f t="shared" si="59"/>
        <v>54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4.1666666666666661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58.928052154195008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26576.868999999999</v>
      </c>
      <c r="D423" s="337"/>
      <c r="E423" s="333" t="s">
        <v>226</v>
      </c>
      <c r="F423" s="333"/>
      <c r="G423" s="333">
        <f>L199+L408</f>
        <v>26426.261428571426</v>
      </c>
      <c r="H423" s="333"/>
      <c r="I423" s="340" t="s">
        <v>227</v>
      </c>
      <c r="J423" s="340"/>
      <c r="K423" s="339">
        <f>IF(ISERROR(G423/C423),"",G423/C423)</f>
        <v>0.99433313339398355</v>
      </c>
      <c r="L423" s="339"/>
      <c r="M423" s="333" t="s">
        <v>228</v>
      </c>
      <c r="N423" s="333"/>
      <c r="O423" s="334">
        <f>IF(ISERROR(G423/G424),"",G423/G424)</f>
        <v>46.607163013353485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476.23415997166194</v>
      </c>
      <c r="D424" s="337"/>
      <c r="E424" s="338" t="s">
        <v>18</v>
      </c>
      <c r="F424" s="338"/>
      <c r="G424" s="333">
        <f>R199+R408</f>
        <v>567</v>
      </c>
      <c r="H424" s="333"/>
      <c r="I424" s="313" t="s">
        <v>176</v>
      </c>
      <c r="J424" s="313"/>
      <c r="K424" s="339">
        <f>IF(ISERROR(C424/G424),"",C424/G424)</f>
        <v>0.83991915338917444</v>
      </c>
      <c r="L424" s="339"/>
      <c r="M424" s="279" t="s">
        <v>230</v>
      </c>
      <c r="N424" s="279"/>
      <c r="O424" s="333">
        <f>W200+W409</f>
        <v>10.5</v>
      </c>
      <c r="P424" s="279"/>
      <c r="Q424" s="279" t="s">
        <v>231</v>
      </c>
      <c r="R424" s="279"/>
      <c r="S424" s="339">
        <f t="array" ref="S424">IF(ISERROR(O424/G424),"",O424/G424)</f>
        <v>1.8518518518518517E-2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127</v>
      </c>
      <c r="D426" s="337"/>
      <c r="E426" s="333" t="s">
        <v>234</v>
      </c>
      <c r="F426" s="333"/>
      <c r="G426" s="293">
        <f t="array" ref="G426">IF(ISERROR(C426/G423),"",C426/(G423/1000))</f>
        <v>4.8058254605280908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2250</v>
      </c>
      <c r="D427" s="337"/>
      <c r="E427" s="333" t="s">
        <v>236</v>
      </c>
      <c r="F427" s="333"/>
      <c r="G427" s="293">
        <f>IF(ISERROR(C427/G423),"",C427/(G423/1000))</f>
        <v>85.142577056600032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20</v>
      </c>
      <c r="D428" s="337"/>
      <c r="E428" s="333" t="s">
        <v>238</v>
      </c>
      <c r="F428" s="333"/>
      <c r="G428" s="293">
        <f>IF(ISERROR(C428/G423),"",C428/(G423/1000))</f>
        <v>0.75682290716977807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4.6400000000000006</v>
      </c>
      <c r="D429" s="337"/>
      <c r="E429" s="333" t="s">
        <v>240</v>
      </c>
      <c r="F429" s="333"/>
      <c r="G429" s="341">
        <f>IF(ISERROR(C429/G423),"",C429/(G423/1000))</f>
        <v>0.17558291446338856</v>
      </c>
      <c r="H429" s="341"/>
      <c r="I429" s="333" t="s">
        <v>241</v>
      </c>
      <c r="J429" s="333"/>
      <c r="K429" s="342">
        <f>IF(ISERROR(C428/C429),"",C428/C429)</f>
        <v>4.3103448275862064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118</v>
      </c>
      <c r="D432" s="346"/>
      <c r="E432" s="333" t="s">
        <v>247</v>
      </c>
      <c r="F432" s="351"/>
      <c r="G432" s="347">
        <f>+G411+G202</f>
        <v>118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5169.6000000000004</v>
      </c>
      <c r="D433" s="346"/>
      <c r="E433" s="333" t="s">
        <v>251</v>
      </c>
      <c r="F433" s="333"/>
      <c r="G433" s="347">
        <f>+G412+G203</f>
        <v>5234.6000000000004</v>
      </c>
      <c r="H433" s="348"/>
      <c r="I433" s="333" t="s">
        <v>252</v>
      </c>
      <c r="J433" s="333"/>
      <c r="K433" s="315">
        <f>G433-C433</f>
        <v>65</v>
      </c>
      <c r="L433" s="317"/>
      <c r="M433" s="349" t="s">
        <v>253</v>
      </c>
      <c r="N433" s="350"/>
      <c r="O433" s="343">
        <f t="array" ref="O433">IF(ISERROR(K433/C433),"",K433/C433)</f>
        <v>1.2573506654286597E-2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1238</v>
      </c>
      <c r="D434" s="346"/>
      <c r="E434" s="333" t="s">
        <v>255</v>
      </c>
      <c r="F434" s="351"/>
      <c r="G434" s="347">
        <f>+G413+G204</f>
        <v>612</v>
      </c>
      <c r="H434" s="348"/>
      <c r="I434" s="333" t="s">
        <v>256</v>
      </c>
      <c r="J434" s="351"/>
      <c r="K434" s="315">
        <f>G434-C434</f>
        <v>-626</v>
      </c>
      <c r="L434" s="317"/>
      <c r="M434" s="349" t="s">
        <v>257</v>
      </c>
      <c r="N434" s="350"/>
      <c r="O434" s="343">
        <f t="array" ref="O434">IF(ISERROR(K434/C434),"",K434/C434)</f>
        <v>-0.50565428109854604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35" t="s">
        <v>260</v>
      </c>
      <c r="D436" s="135" t="s">
        <v>261</v>
      </c>
      <c r="E436" s="135" t="s">
        <v>262</v>
      </c>
      <c r="F436" s="135" t="s">
        <v>263</v>
      </c>
      <c r="G436" s="135" t="s">
        <v>264</v>
      </c>
      <c r="H436" s="136" t="s">
        <v>265</v>
      </c>
      <c r="I436" s="136" t="s">
        <v>266</v>
      </c>
      <c r="J436" s="136" t="s">
        <v>267</v>
      </c>
      <c r="K436" s="136" t="s">
        <v>268</v>
      </c>
      <c r="L436" s="136" t="s">
        <v>269</v>
      </c>
      <c r="M436" s="136" t="s">
        <v>270</v>
      </c>
      <c r="N436" s="136" t="s">
        <v>271</v>
      </c>
      <c r="O436" s="136" t="s">
        <v>272</v>
      </c>
      <c r="P436" s="151" t="s">
        <v>273</v>
      </c>
      <c r="Q436" s="136" t="s">
        <v>274</v>
      </c>
      <c r="R436" s="140" t="s">
        <v>189</v>
      </c>
      <c r="S436" s="135" t="s">
        <v>275</v>
      </c>
      <c r="T436" s="137" t="s">
        <v>276</v>
      </c>
      <c r="U436" s="135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35"/>
      <c r="F437" s="135"/>
      <c r="G437" s="135"/>
      <c r="H437" s="136"/>
      <c r="I437" s="136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40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35"/>
      <c r="F438" s="135"/>
      <c r="G438" s="135"/>
      <c r="H438" s="136"/>
      <c r="I438" s="136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40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35"/>
      <c r="F439" s="135"/>
      <c r="G439" s="135"/>
      <c r="H439" s="136"/>
      <c r="I439" s="136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40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23</v>
      </c>
      <c r="D440" s="67">
        <v>23</v>
      </c>
      <c r="E440" s="135"/>
      <c r="F440" s="135"/>
      <c r="G440" s="135"/>
      <c r="H440" s="136">
        <v>18</v>
      </c>
      <c r="I440" s="136"/>
      <c r="J440" s="83">
        <f t="shared" si="63"/>
        <v>5</v>
      </c>
      <c r="K440" s="67">
        <v>1</v>
      </c>
      <c r="L440" s="67"/>
      <c r="M440" s="67"/>
      <c r="N440" s="67"/>
      <c r="O440" s="67"/>
      <c r="P440" s="118"/>
      <c r="Q440" s="83">
        <f t="shared" si="64"/>
        <v>4</v>
      </c>
      <c r="R440" s="140">
        <f t="shared" si="65"/>
        <v>44</v>
      </c>
      <c r="S440" s="101">
        <f t="array" ref="S440">IF(ISERROR(Q440/J440),"",Q440/J440)</f>
        <v>0.8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35"/>
      <c r="F441" s="135"/>
      <c r="G441" s="135"/>
      <c r="H441" s="136"/>
      <c r="I441" s="136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40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40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18</v>
      </c>
      <c r="I443" s="68">
        <f t="shared" si="67"/>
        <v>0</v>
      </c>
      <c r="J443" s="84">
        <f t="shared" si="63"/>
        <v>24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23</v>
      </c>
      <c r="R443" s="140">
        <f t="shared" si="65"/>
        <v>253</v>
      </c>
      <c r="S443" s="120">
        <f t="array" ref="S443">IF(ISERROR(Q443/J443),"",Q443/J443)</f>
        <v>0.95833333333333337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40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40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40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5</v>
      </c>
      <c r="J447" s="83">
        <f t="shared" si="63"/>
        <v>19</v>
      </c>
      <c r="K447" s="67"/>
      <c r="L447" s="67"/>
      <c r="M447" s="67"/>
      <c r="N447" s="67"/>
      <c r="O447" s="67"/>
      <c r="P447" s="67"/>
      <c r="Q447" s="83">
        <f t="shared" si="64"/>
        <v>19</v>
      </c>
      <c r="R447" s="140">
        <f t="shared" si="68"/>
        <v>218.5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40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40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5</v>
      </c>
      <c r="J450" s="85">
        <f t="shared" si="63"/>
        <v>35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35</v>
      </c>
      <c r="R450" s="140">
        <f t="shared" si="68"/>
        <v>402.5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35"/>
      <c r="F451" s="135"/>
      <c r="G451" s="135"/>
      <c r="H451" s="136"/>
      <c r="I451" s="83"/>
      <c r="J451" s="83">
        <f t="shared" si="63"/>
        <v>2</v>
      </c>
      <c r="K451" s="136"/>
      <c r="L451" s="136"/>
      <c r="M451" s="136"/>
      <c r="N451" s="136"/>
      <c r="O451" s="136"/>
      <c r="P451" s="151"/>
      <c r="Q451" s="83">
        <f t="shared" si="64"/>
        <v>2</v>
      </c>
      <c r="R451" s="140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18</v>
      </c>
      <c r="I452" s="69">
        <f>+I443+I450+I451</f>
        <v>5</v>
      </c>
      <c r="J452" s="85">
        <f t="shared" si="63"/>
        <v>31</v>
      </c>
      <c r="K452" s="69">
        <f t="shared" ref="K452:P452" si="71">+K443+K450+K451</f>
        <v>1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30</v>
      </c>
      <c r="R452" s="67">
        <f>R443+R450+R451</f>
        <v>677.5</v>
      </c>
      <c r="S452" s="123">
        <f t="array" ref="S452">IF(ISERROR(Q452/J452),"",Q452/J452)</f>
        <v>0.967741935483871</v>
      </c>
      <c r="T452" s="149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5" topLeftCell="N437" activePane="bottomRight" state="frozen"/>
      <selection pane="topRight" activeCell="F1" sqref="F1"/>
      <selection pane="bottomLeft" activeCell="A6" sqref="A6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  <col min="24" max="24" width="11.375" customWidth="1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33">
        <v>3</v>
      </c>
      <c r="H6" s="133"/>
      <c r="I6" s="133">
        <v>3</v>
      </c>
      <c r="J6" s="133"/>
      <c r="K6" s="164">
        <f t="shared" ref="K6:K76" si="0">G6*M6</f>
        <v>1900.8000000000002</v>
      </c>
      <c r="L6" s="164">
        <f t="shared" ref="L6:L76" si="1">I6*M6</f>
        <v>1900.8000000000002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13.992932862190811</v>
      </c>
      <c r="Q6" s="164">
        <v>3</v>
      </c>
      <c r="R6" s="19">
        <f t="shared" ref="R6:R76" si="3">Q6*U6</f>
        <v>9</v>
      </c>
      <c r="S6" s="164">
        <f t="shared" ref="S6:S76" si="4">R6-P6</f>
        <v>-4.9929328621908109</v>
      </c>
      <c r="T6" s="20">
        <v>5</v>
      </c>
      <c r="U6" s="20">
        <v>3</v>
      </c>
      <c r="V6" s="161">
        <f t="array" ref="V6">IF(ISERROR(L6/K6),"",L6/K6)</f>
        <v>1</v>
      </c>
      <c r="W6" s="20"/>
      <c r="X6" s="153"/>
      <c r="Y6" s="153"/>
      <c r="Z6" s="165"/>
      <c r="AA6" s="20">
        <v>3</v>
      </c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33"/>
      <c r="H7" s="133"/>
      <c r="I7" s="133"/>
      <c r="J7" s="133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33"/>
      <c r="H8" s="133"/>
      <c r="I8" s="133"/>
      <c r="J8" s="133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33"/>
      <c r="H9" s="133"/>
      <c r="I9" s="133"/>
      <c r="J9" s="133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33"/>
      <c r="H10" s="133"/>
      <c r="I10" s="133"/>
      <c r="J10" s="133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33">
        <v>1</v>
      </c>
      <c r="H11" s="133"/>
      <c r="I11" s="133">
        <f>1-J11/600</f>
        <v>8.333333333333337E-2</v>
      </c>
      <c r="J11" s="133">
        <v>550</v>
      </c>
      <c r="K11" s="164">
        <f t="shared" si="0"/>
        <v>616</v>
      </c>
      <c r="L11" s="164">
        <f t="shared" si="1"/>
        <v>51.333333333333357</v>
      </c>
      <c r="M11" s="164">
        <v>616</v>
      </c>
      <c r="N11" s="164">
        <f t="shared" si="5"/>
        <v>4.534746760895171</v>
      </c>
      <c r="O11" s="164">
        <v>0.5</v>
      </c>
      <c r="P11" s="164">
        <f t="shared" si="2"/>
        <v>1.8778955634079311</v>
      </c>
      <c r="Q11" s="164">
        <v>0.5</v>
      </c>
      <c r="R11" s="19">
        <f t="shared" si="3"/>
        <v>1.5</v>
      </c>
      <c r="S11" s="164">
        <f t="shared" si="4"/>
        <v>-0.37789556340793107</v>
      </c>
      <c r="T11" s="20">
        <v>5</v>
      </c>
      <c r="U11" s="20">
        <v>3</v>
      </c>
      <c r="V11" s="161">
        <f t="array" ref="V11">IF(ISERROR(L11/K11),"",L11/K11)</f>
        <v>8.333333333333337E-2</v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33"/>
      <c r="H12" s="133"/>
      <c r="I12" s="133"/>
      <c r="J12" s="133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33"/>
      <c r="H13" s="133"/>
      <c r="I13" s="133"/>
      <c r="J13" s="133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hidden="1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33"/>
      <c r="H14" s="133"/>
      <c r="I14" s="133"/>
      <c r="J14" s="133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33"/>
      <c r="H15" s="133"/>
      <c r="I15" s="133"/>
      <c r="J15" s="133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33"/>
      <c r="H16" s="133"/>
      <c r="I16" s="133"/>
      <c r="J16" s="133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33"/>
      <c r="H17" s="133"/>
      <c r="I17" s="133"/>
      <c r="J17" s="133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33"/>
      <c r="H18" s="133"/>
      <c r="I18" s="133"/>
      <c r="J18" s="133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33"/>
      <c r="H19" s="133"/>
      <c r="I19" s="133"/>
      <c r="J19" s="133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33"/>
      <c r="H20" s="133"/>
      <c r="I20" s="133"/>
      <c r="J20" s="133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33"/>
      <c r="H21" s="133"/>
      <c r="I21" s="133"/>
      <c r="J21" s="133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33"/>
      <c r="H22" s="133"/>
      <c r="I22" s="133"/>
      <c r="J22" s="133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33"/>
      <c r="H23" s="133"/>
      <c r="I23" s="133"/>
      <c r="J23" s="133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33"/>
      <c r="H24" s="133"/>
      <c r="I24" s="133"/>
      <c r="J24" s="133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33"/>
      <c r="H25" s="133"/>
      <c r="I25" s="133"/>
      <c r="J25" s="133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33"/>
      <c r="H26" s="133"/>
      <c r="I26" s="133"/>
      <c r="J26" s="133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33"/>
      <c r="H27" s="133"/>
      <c r="I27" s="133"/>
      <c r="J27" s="133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33"/>
      <c r="H28" s="133"/>
      <c r="I28" s="133"/>
      <c r="J28" s="133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33"/>
      <c r="H29" s="133"/>
      <c r="I29" s="133"/>
      <c r="J29" s="133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33"/>
      <c r="H30" s="133"/>
      <c r="I30" s="133"/>
      <c r="J30" s="133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33"/>
      <c r="H31" s="133"/>
      <c r="I31" s="133"/>
      <c r="J31" s="133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33"/>
      <c r="H32" s="133"/>
      <c r="I32" s="133"/>
      <c r="J32" s="133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33"/>
      <c r="H33" s="133"/>
      <c r="I33" s="133"/>
      <c r="J33" s="133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33"/>
      <c r="H34" s="133"/>
      <c r="I34" s="133"/>
      <c r="J34" s="133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33"/>
      <c r="H35" s="133"/>
      <c r="I35" s="133"/>
      <c r="J35" s="133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33"/>
      <c r="H36" s="133"/>
      <c r="I36" s="133"/>
      <c r="J36" s="133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33">
        <v>10.48</v>
      </c>
      <c r="H37" s="133">
        <v>0.8</v>
      </c>
      <c r="I37" s="133">
        <f>10+H37-J37/250</f>
        <v>10.48</v>
      </c>
      <c r="J37" s="133">
        <v>80</v>
      </c>
      <c r="K37" s="164">
        <f t="shared" si="0"/>
        <v>2994.136</v>
      </c>
      <c r="L37" s="164">
        <f t="shared" si="1"/>
        <v>2994.136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74.29617866004962</v>
      </c>
      <c r="Q37" s="164">
        <v>11</v>
      </c>
      <c r="R37" s="19">
        <f t="shared" si="3"/>
        <v>55</v>
      </c>
      <c r="S37" s="164">
        <f t="shared" si="4"/>
        <v>-19.29617866004962</v>
      </c>
      <c r="T37" s="20">
        <v>6</v>
      </c>
      <c r="U37" s="20">
        <v>5</v>
      </c>
      <c r="V37" s="161">
        <f t="array" ref="V37">IF(ISERROR(L37/K37),"",L37/K37)</f>
        <v>1</v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33"/>
      <c r="H38" s="133"/>
      <c r="I38" s="133"/>
      <c r="J38" s="133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33"/>
      <c r="H39" s="133"/>
      <c r="I39" s="133"/>
      <c r="J39" s="133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33"/>
      <c r="H40" s="133"/>
      <c r="I40" s="133"/>
      <c r="J40" s="133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33"/>
      <c r="H41" s="133"/>
      <c r="I41" s="133"/>
      <c r="J41" s="133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33"/>
      <c r="H42" s="133"/>
      <c r="I42" s="133"/>
      <c r="J42" s="133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33"/>
      <c r="H43" s="133"/>
      <c r="I43" s="133"/>
      <c r="J43" s="133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33"/>
      <c r="H44" s="133"/>
      <c r="I44" s="133"/>
      <c r="J44" s="133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33"/>
      <c r="H45" s="133"/>
      <c r="I45" s="133"/>
      <c r="J45" s="133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33"/>
      <c r="H46" s="133"/>
      <c r="I46" s="133"/>
      <c r="J46" s="133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33"/>
      <c r="H47" s="133"/>
      <c r="I47" s="133"/>
      <c r="J47" s="133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33"/>
      <c r="H48" s="133"/>
      <c r="I48" s="133"/>
      <c r="J48" s="133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33"/>
      <c r="H49" s="133"/>
      <c r="I49" s="133"/>
      <c r="J49" s="133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33"/>
      <c r="H50" s="133"/>
      <c r="I50" s="133"/>
      <c r="J50" s="133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33"/>
      <c r="H51" s="133"/>
      <c r="I51" s="133"/>
      <c r="J51" s="133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33"/>
      <c r="H52" s="133"/>
      <c r="I52" s="133"/>
      <c r="J52" s="133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33"/>
      <c r="H53" s="133"/>
      <c r="I53" s="133"/>
      <c r="J53" s="133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33"/>
      <c r="H54" s="133"/>
      <c r="I54" s="133"/>
      <c r="J54" s="133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33"/>
      <c r="H55" s="133"/>
      <c r="I55" s="133"/>
      <c r="J55" s="133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33"/>
      <c r="H56" s="133"/>
      <c r="I56" s="133"/>
      <c r="J56" s="133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33"/>
      <c r="H57" s="133"/>
      <c r="I57" s="133"/>
      <c r="J57" s="133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>
        <v>4503</v>
      </c>
      <c r="C58" s="248" t="s">
        <v>77</v>
      </c>
      <c r="D58" s="248" t="s">
        <v>78</v>
      </c>
      <c r="E58" s="166" t="s">
        <v>79</v>
      </c>
      <c r="F58" s="13"/>
      <c r="G58" s="133">
        <v>6.86</v>
      </c>
      <c r="H58" s="133">
        <v>0.8571428571428571</v>
      </c>
      <c r="I58" s="133">
        <f>6+H58</f>
        <v>6.8571428571428568</v>
      </c>
      <c r="J58" s="133"/>
      <c r="K58" s="164">
        <f t="shared" si="0"/>
        <v>2932.65</v>
      </c>
      <c r="L58" s="164">
        <f t="shared" si="1"/>
        <v>2931.4285714285711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38.775510204081634</v>
      </c>
      <c r="Q58" s="164">
        <v>8.5</v>
      </c>
      <c r="R58" s="19">
        <f t="shared" si="3"/>
        <v>51</v>
      </c>
      <c r="S58" s="164">
        <f t="shared" si="4"/>
        <v>12.224489795918366</v>
      </c>
      <c r="T58" s="20">
        <v>5</v>
      </c>
      <c r="U58" s="20">
        <v>6</v>
      </c>
      <c r="V58" s="161">
        <f t="array" ref="V58">IF(ISERROR(L58/K58),"",L58/K58)</f>
        <v>0.99958350687213648</v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>
        <v>4503</v>
      </c>
      <c r="C59" s="248" t="s">
        <v>77</v>
      </c>
      <c r="D59" s="248" t="s">
        <v>78</v>
      </c>
      <c r="E59" s="166" t="s">
        <v>35</v>
      </c>
      <c r="F59" s="13"/>
      <c r="G59" s="133">
        <v>2.71</v>
      </c>
      <c r="H59" s="133"/>
      <c r="I59" s="133">
        <f>3-J59/350</f>
        <v>2.7142857142857144</v>
      </c>
      <c r="J59" s="133">
        <v>100</v>
      </c>
      <c r="K59" s="164">
        <f t="shared" si="0"/>
        <v>1101.886</v>
      </c>
      <c r="L59" s="164">
        <f t="shared" si="1"/>
        <v>1103.6285714285716</v>
      </c>
      <c r="M59" s="15">
        <v>406.6</v>
      </c>
      <c r="N59" s="164">
        <f>+M59*1000/(45*10*13*60)*T59</f>
        <v>5.7920227920227916</v>
      </c>
      <c r="O59" s="164">
        <v>0.5</v>
      </c>
      <c r="P59" s="164">
        <f t="shared" si="2"/>
        <v>18.721204721204721</v>
      </c>
      <c r="Q59" s="164">
        <v>2.5</v>
      </c>
      <c r="R59" s="19">
        <f t="shared" si="3"/>
        <v>15</v>
      </c>
      <c r="S59" s="164">
        <f t="shared" si="4"/>
        <v>-3.721204721204721</v>
      </c>
      <c r="T59" s="20">
        <v>5</v>
      </c>
      <c r="U59" s="20">
        <v>6</v>
      </c>
      <c r="V59" s="161">
        <f t="array" ref="V59">IF(ISERROR(L59/K59),"",L59/K59)</f>
        <v>1.0015814443858726</v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33"/>
      <c r="H60" s="133"/>
      <c r="I60" s="133"/>
      <c r="J60" s="133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33"/>
      <c r="H61" s="133"/>
      <c r="I61" s="133"/>
      <c r="J61" s="133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33"/>
      <c r="H62" s="133"/>
      <c r="I62" s="133"/>
      <c r="J62" s="133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33"/>
      <c r="H63" s="133"/>
      <c r="I63" s="133"/>
      <c r="J63" s="133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33"/>
      <c r="H64" s="133"/>
      <c r="I64" s="133"/>
      <c r="J64" s="133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33"/>
      <c r="H65" s="133"/>
      <c r="I65" s="133"/>
      <c r="J65" s="133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33"/>
      <c r="H66" s="133"/>
      <c r="I66" s="133"/>
      <c r="J66" s="133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33"/>
      <c r="H67" s="133"/>
      <c r="I67" s="133"/>
      <c r="J67" s="133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33"/>
      <c r="H68" s="133"/>
      <c r="I68" s="133"/>
      <c r="J68" s="133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33"/>
      <c r="H69" s="133"/>
      <c r="I69" s="133"/>
      <c r="J69" s="133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33"/>
      <c r="H70" s="133"/>
      <c r="I70" s="133"/>
      <c r="J70" s="133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33"/>
      <c r="H71" s="133"/>
      <c r="I71" s="133"/>
      <c r="J71" s="133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33"/>
      <c r="H72" s="133"/>
      <c r="I72" s="133"/>
      <c r="J72" s="133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33"/>
      <c r="H73" s="133"/>
      <c r="I73" s="133"/>
      <c r="J73" s="133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33"/>
      <c r="H74" s="133"/>
      <c r="I74" s="133"/>
      <c r="J74" s="133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33"/>
      <c r="H75" s="133"/>
      <c r="I75" s="133"/>
      <c r="J75" s="133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33"/>
      <c r="H76" s="133"/>
      <c r="I76" s="133"/>
      <c r="J76" s="133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5001</v>
      </c>
      <c r="C77" s="248" t="s">
        <v>317</v>
      </c>
      <c r="D77" s="248" t="s">
        <v>96</v>
      </c>
      <c r="E77" s="166" t="s">
        <v>35</v>
      </c>
      <c r="F77" s="13"/>
      <c r="G77" s="133">
        <v>6</v>
      </c>
      <c r="H77" s="133"/>
      <c r="I77" s="133">
        <v>6</v>
      </c>
      <c r="J77" s="133"/>
      <c r="K77" s="164">
        <f t="shared" ref="K77:K153" si="7">G77*M77</f>
        <v>2515.1999999999998</v>
      </c>
      <c r="L77" s="164">
        <f t="shared" ref="L77:L153" si="8">I77*M77</f>
        <v>2515.1999999999998</v>
      </c>
      <c r="M77" s="164">
        <v>419.2</v>
      </c>
      <c r="N77" s="164">
        <f>+M77*1000/(51.9*1*110*60)*T77</f>
        <v>4.8951947217843168</v>
      </c>
      <c r="O77" s="164">
        <v>0.5</v>
      </c>
      <c r="P77" s="164">
        <f t="shared" ref="P77:P153" si="9">N77*I77+O77*U77</f>
        <v>31.371168330705899</v>
      </c>
      <c r="Q77" s="164">
        <v>6</v>
      </c>
      <c r="R77" s="19">
        <f t="shared" ref="R77:R153" si="10">Q77*U77</f>
        <v>24</v>
      </c>
      <c r="S77" s="164">
        <f t="shared" ref="S77:S153" si="11">R77-P77</f>
        <v>-7.3711683307058991</v>
      </c>
      <c r="T77" s="20">
        <v>4</v>
      </c>
      <c r="U77" s="20">
        <v>4</v>
      </c>
      <c r="V77" s="161">
        <f t="array" ref="V77">IF(ISERROR(L77/K77),"",L77/K77)</f>
        <v>1</v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33"/>
      <c r="H78" s="133"/>
      <c r="I78" s="133"/>
      <c r="J78" s="133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33"/>
      <c r="H79" s="133"/>
      <c r="I79" s="133"/>
      <c r="J79" s="133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33"/>
      <c r="H80" s="133"/>
      <c r="I80" s="133"/>
      <c r="J80" s="133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33"/>
      <c r="H81" s="133"/>
      <c r="I81" s="133"/>
      <c r="J81" s="133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33"/>
      <c r="H82" s="133"/>
      <c r="I82" s="133"/>
      <c r="J82" s="133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33"/>
      <c r="H83" s="133"/>
      <c r="I83" s="133"/>
      <c r="J83" s="133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33"/>
      <c r="H84" s="133"/>
      <c r="I84" s="133"/>
      <c r="J84" s="133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33"/>
      <c r="H85" s="133"/>
      <c r="I85" s="133"/>
      <c r="J85" s="133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33"/>
      <c r="H86" s="133"/>
      <c r="I86" s="133"/>
      <c r="J86" s="133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33"/>
      <c r="H87" s="133"/>
      <c r="I87" s="133"/>
      <c r="J87" s="133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33"/>
      <c r="H88" s="133"/>
      <c r="I88" s="133"/>
      <c r="J88" s="133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33"/>
      <c r="H89" s="133"/>
      <c r="I89" s="133"/>
      <c r="J89" s="133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33"/>
      <c r="H90" s="133"/>
      <c r="I90" s="133"/>
      <c r="J90" s="133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33"/>
      <c r="H91" s="133"/>
      <c r="I91" s="133"/>
      <c r="J91" s="133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33"/>
      <c r="H92" s="133"/>
      <c r="I92" s="133"/>
      <c r="J92" s="133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33"/>
      <c r="H93" s="133"/>
      <c r="I93" s="133"/>
      <c r="J93" s="133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33"/>
      <c r="H94" s="133"/>
      <c r="I94" s="133"/>
      <c r="J94" s="133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33"/>
      <c r="H95" s="133"/>
      <c r="I95" s="133"/>
      <c r="J95" s="133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33"/>
      <c r="H96" s="133"/>
      <c r="I96" s="133"/>
      <c r="J96" s="133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33"/>
      <c r="H97" s="133"/>
      <c r="I97" s="133"/>
      <c r="J97" s="133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33"/>
      <c r="H98" s="133"/>
      <c r="I98" s="133"/>
      <c r="J98" s="133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33"/>
      <c r="H99" s="133"/>
      <c r="I99" s="133"/>
      <c r="J99" s="133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>
        <v>5001</v>
      </c>
      <c r="C100" s="248" t="s">
        <v>112</v>
      </c>
      <c r="D100" s="248" t="s">
        <v>113</v>
      </c>
      <c r="E100" s="166" t="s">
        <v>35</v>
      </c>
      <c r="F100" s="13"/>
      <c r="G100" s="133">
        <v>4.17</v>
      </c>
      <c r="H100" s="133">
        <v>0.16666666666666666</v>
      </c>
      <c r="I100" s="133">
        <f>4+H100</f>
        <v>4.166666666666667</v>
      </c>
      <c r="J100" s="133"/>
      <c r="K100" s="164">
        <f t="shared" si="7"/>
        <v>2590.8209999999999</v>
      </c>
      <c r="L100" s="164">
        <f t="shared" si="8"/>
        <v>2588.75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16.530970625798211</v>
      </c>
      <c r="Q100" s="164">
        <v>5</v>
      </c>
      <c r="R100" s="19">
        <f t="shared" si="10"/>
        <v>20</v>
      </c>
      <c r="S100" s="164">
        <f t="shared" si="11"/>
        <v>3.4690293742017886</v>
      </c>
      <c r="T100" s="20">
        <v>4</v>
      </c>
      <c r="U100" s="20">
        <v>4</v>
      </c>
      <c r="V100" s="161">
        <f t="array" ref="V100">IF(ISERROR(L100/K100),"",L100/K100)</f>
        <v>0.99920063948840931</v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34.22</v>
      </c>
      <c r="H199" s="164">
        <f t="array" ref="H199">SUM(IF(ISERROR(H6:H198),“”,H6:H198))</f>
        <v>1.8238095238095238</v>
      </c>
      <c r="I199" s="164">
        <f t="array" ref="I199">SUM(IF(ISERROR(I6:I198),“”,I6:I198))</f>
        <v>33.301428571428573</v>
      </c>
      <c r="J199" s="164">
        <f t="array" ref="J199">SUM(IF(ISERROR(J6:J198),“”,J6:J198))</f>
        <v>730</v>
      </c>
      <c r="K199" s="164">
        <f t="array" ref="K199">SUM(IF(ISERROR(K6:K198),“”,K6:K198))</f>
        <v>14651.492999999999</v>
      </c>
      <c r="L199" s="56">
        <f>SUM(L6:L198)</f>
        <v>14085.276476190476</v>
      </c>
      <c r="M199" s="164"/>
      <c r="N199" s="164"/>
      <c r="O199" s="164">
        <f>SUM(O6:O190)</f>
        <v>1.5</v>
      </c>
      <c r="P199" s="56">
        <f>SUM((P6:P190),(W204:X209))</f>
        <v>305.56586096743882</v>
      </c>
      <c r="Q199" s="164"/>
      <c r="R199" s="56">
        <f>SUM((R6:R190),(Y204:Z209))</f>
        <v>417.5</v>
      </c>
      <c r="S199" s="164">
        <f t="array" ref="S199">SUM(IF(ISERROR(S6:S198),“”,S6:S198))</f>
        <v>-20.065860967438827</v>
      </c>
      <c r="T199" s="164"/>
      <c r="U199" s="164"/>
      <c r="V199" s="161">
        <f>IF(ISERROR(L199/K199),"",L199/K199)</f>
        <v>0.96135434635845496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3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0.73189427776632054</v>
      </c>
      <c r="P200" s="274"/>
      <c r="Q200" s="274"/>
      <c r="R200" s="275"/>
      <c r="S200" s="44"/>
      <c r="T200" s="45"/>
      <c r="U200" s="45"/>
      <c r="V200" s="45"/>
      <c r="W200" s="276">
        <f>SUM(W199:AC199)</f>
        <v>3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113</v>
      </c>
      <c r="F202" s="279"/>
      <c r="G202" s="279">
        <v>113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2559.3000000000002</v>
      </c>
      <c r="F203" s="279"/>
      <c r="G203" s="279">
        <v>2639.3</v>
      </c>
      <c r="H203" s="279"/>
      <c r="I203" s="279">
        <f>G203-E203</f>
        <v>80</v>
      </c>
      <c r="J203" s="279"/>
      <c r="K203" s="281">
        <f t="array" ref="K203">IF(ISERROR(I203/E203),"",I203/E203)</f>
        <v>3.1258547259016133E-2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20</v>
      </c>
      <c r="T203" s="284"/>
      <c r="U203" s="284">
        <v>18</v>
      </c>
      <c r="V203" s="284"/>
      <c r="W203" s="283">
        <f t="shared" ref="W203:W210" si="28">S203*11</f>
        <v>220</v>
      </c>
      <c r="X203" s="283"/>
      <c r="Y203" s="283">
        <f t="shared" ref="Y203:Y210" si="29">U203*11</f>
        <v>198</v>
      </c>
      <c r="Z203" s="283"/>
      <c r="AA203" s="283">
        <f t="shared" ref="AA203:AA210" si="30">Y203-W203</f>
        <v>-22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3330</v>
      </c>
      <c r="F204" s="279"/>
      <c r="G204" s="279">
        <v>3465</v>
      </c>
      <c r="H204" s="279"/>
      <c r="I204" s="279">
        <f>G204-E204</f>
        <v>135</v>
      </c>
      <c r="J204" s="279"/>
      <c r="K204" s="281">
        <f t="array" ref="K204">IF(ISERROR(I204/E204),"",I204/E204)</f>
        <v>4.0540540540540543E-2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3</v>
      </c>
      <c r="T204" s="284"/>
      <c r="U204" s="284">
        <v>7</v>
      </c>
      <c r="V204" s="284"/>
      <c r="W204" s="283">
        <f t="shared" si="28"/>
        <v>33</v>
      </c>
      <c r="X204" s="283"/>
      <c r="Y204" s="283">
        <f t="shared" si="29"/>
        <v>77</v>
      </c>
      <c r="Z204" s="283"/>
      <c r="AA204" s="283">
        <f t="shared" si="30"/>
        <v>44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8"/>
        <v>8.25</v>
      </c>
      <c r="X205" s="283"/>
      <c r="Y205" s="283">
        <f t="shared" si="29"/>
        <v>0</v>
      </c>
      <c r="Z205" s="283"/>
      <c r="AA205" s="283">
        <f t="shared" si="30"/>
        <v>-8.25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149149</v>
      </c>
      <c r="H206" s="286"/>
      <c r="I206" s="325">
        <v>149083</v>
      </c>
      <c r="J206" s="326"/>
      <c r="K206" s="289">
        <f>G206-I206</f>
        <v>66</v>
      </c>
      <c r="L206" s="289"/>
      <c r="M206" s="290">
        <f t="array" ref="M206">IF(ISERROR(K206/L199),"",K206/(L199/1000))</f>
        <v>4.6857440186967816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1</v>
      </c>
      <c r="V206" s="284"/>
      <c r="W206" s="283">
        <f t="shared" si="28"/>
        <v>8.25</v>
      </c>
      <c r="X206" s="283"/>
      <c r="Y206" s="283">
        <f t="shared" si="29"/>
        <v>11</v>
      </c>
      <c r="Z206" s="283"/>
      <c r="AA206" s="283">
        <f t="shared" si="30"/>
        <v>2.75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28548.9*120+44836.9*60</f>
        <v>6116082</v>
      </c>
      <c r="H207" s="286"/>
      <c r="I207" s="325">
        <v>6114798</v>
      </c>
      <c r="J207" s="326"/>
      <c r="K207" s="289">
        <f>G207-I207</f>
        <v>1284</v>
      </c>
      <c r="L207" s="289"/>
      <c r="M207" s="290">
        <f t="array" ref="M207">IF(ISERROR(K207/L199),"",K207/(L199/1000))</f>
        <v>91.159020000101023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8"/>
        <v>16.5</v>
      </c>
      <c r="X207" s="283"/>
      <c r="Y207" s="283">
        <f t="shared" si="29"/>
        <v>11</v>
      </c>
      <c r="Z207" s="283"/>
      <c r="AA207" s="283">
        <f t="shared" si="30"/>
        <v>-5.5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+I208+10</f>
        <v>27797</v>
      </c>
      <c r="H208" s="286"/>
      <c r="I208" s="285">
        <v>27787</v>
      </c>
      <c r="J208" s="286"/>
      <c r="K208" s="289">
        <f>G208-I208</f>
        <v>10</v>
      </c>
      <c r="L208" s="289"/>
      <c r="M208" s="293">
        <f t="array" ref="M208">IF(ISERROR(K208/L199),"",K208/(L199/1000))</f>
        <v>0.70996121495405784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1.6+1.6/2</f>
        <v>2.4000000000000004</v>
      </c>
      <c r="L209" s="292"/>
      <c r="M209" s="294">
        <f t="array" ref="M209">IF(ISERROR((K209+K210)/L199),"",((K209+K210)*1000)/(L199/1000))</f>
        <v>170.39069158897391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f>2+2+2+1+2+3</f>
        <v>12</v>
      </c>
      <c r="V209" s="284"/>
      <c r="W209" s="283">
        <f t="shared" si="28"/>
        <v>33</v>
      </c>
      <c r="X209" s="283"/>
      <c r="Y209" s="283">
        <f t="shared" si="29"/>
        <v>132</v>
      </c>
      <c r="Z209" s="283"/>
      <c r="AA209" s="283">
        <f t="shared" si="30"/>
        <v>99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30</v>
      </c>
      <c r="T210" s="284"/>
      <c r="U210" s="284">
        <f>SUM(U203:V209)</f>
        <v>40</v>
      </c>
      <c r="V210" s="284"/>
      <c r="W210" s="283">
        <f t="shared" si="28"/>
        <v>330</v>
      </c>
      <c r="X210" s="283"/>
      <c r="Y210" s="283">
        <f t="shared" si="29"/>
        <v>440</v>
      </c>
      <c r="Z210" s="283"/>
      <c r="AA210" s="283">
        <f t="shared" si="30"/>
        <v>110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4.1666666666666661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32.011991991341993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71">
        <v>300316</v>
      </c>
      <c r="B218" s="170" t="s">
        <v>33</v>
      </c>
      <c r="C218" s="248" t="s">
        <v>34</v>
      </c>
      <c r="D218" s="248"/>
      <c r="E218" s="175" t="s">
        <v>38</v>
      </c>
      <c r="F218" s="174"/>
      <c r="G218" s="173">
        <v>3.67</v>
      </c>
      <c r="H218" s="173"/>
      <c r="I218" s="173">
        <f>4-J218/600</f>
        <v>3.6666666666666665</v>
      </c>
      <c r="J218" s="173">
        <v>200</v>
      </c>
      <c r="K218" s="173">
        <f t="shared" si="31"/>
        <v>2260.7199999999998</v>
      </c>
      <c r="L218" s="173">
        <f t="shared" si="32"/>
        <v>2258.6666666666665</v>
      </c>
      <c r="M218" s="173">
        <v>616</v>
      </c>
      <c r="N218" s="173">
        <f t="shared" si="33"/>
        <v>3.6277974087161367</v>
      </c>
      <c r="O218" s="173">
        <v>0.5</v>
      </c>
      <c r="P218" s="173">
        <f t="shared" si="34"/>
        <v>15.301923831959167</v>
      </c>
      <c r="Q218" s="173">
        <v>3.5</v>
      </c>
      <c r="R218" s="19">
        <f t="shared" si="35"/>
        <v>14</v>
      </c>
      <c r="S218" s="173">
        <f t="shared" si="36"/>
        <v>-1.3019238319591668</v>
      </c>
      <c r="T218" s="20">
        <v>4</v>
      </c>
      <c r="U218" s="20">
        <v>4</v>
      </c>
      <c r="V218" s="172">
        <f t="array" ref="V218">IF(ISERROR(L218/K218),"",L218/K218)</f>
        <v>0.99909173478655766</v>
      </c>
      <c r="W218" s="20"/>
      <c r="X218" s="183">
        <f>85/60*1</f>
        <v>1.4166666666666667</v>
      </c>
      <c r="Y218" s="170"/>
      <c r="Z218" s="174"/>
      <c r="AA218" s="20"/>
      <c r="AB218" s="20"/>
      <c r="AC218" s="20"/>
    </row>
    <row r="219" spans="1:29" s="2" customFormat="1" ht="21.95" hidden="1" customHeight="1">
      <c r="A219" s="171">
        <v>300317</v>
      </c>
      <c r="B219" s="170" t="s">
        <v>33</v>
      </c>
      <c r="C219" s="248" t="s">
        <v>34</v>
      </c>
      <c r="D219" s="248"/>
      <c r="E219" s="175" t="s">
        <v>39</v>
      </c>
      <c r="F219" s="174"/>
      <c r="G219" s="173"/>
      <c r="H219" s="173"/>
      <c r="I219" s="173"/>
      <c r="J219" s="173"/>
      <c r="K219" s="173">
        <f t="shared" si="31"/>
        <v>0</v>
      </c>
      <c r="L219" s="173">
        <f t="shared" si="32"/>
        <v>0</v>
      </c>
      <c r="M219" s="173">
        <v>616</v>
      </c>
      <c r="N219" s="173">
        <f t="shared" si="33"/>
        <v>3.6277974087161367</v>
      </c>
      <c r="O219" s="173"/>
      <c r="P219" s="173">
        <f t="shared" si="34"/>
        <v>0</v>
      </c>
      <c r="Q219" s="173"/>
      <c r="R219" s="19">
        <f t="shared" si="35"/>
        <v>0</v>
      </c>
      <c r="S219" s="173">
        <f t="shared" si="36"/>
        <v>0</v>
      </c>
      <c r="T219" s="20">
        <v>4</v>
      </c>
      <c r="U219" s="20"/>
      <c r="V219" s="172" t="str">
        <f t="array" ref="V219">IF(ISERROR(L219/K219),"",L219/K219)</f>
        <v/>
      </c>
      <c r="W219" s="20"/>
      <c r="X219" s="170"/>
      <c r="Y219" s="170"/>
      <c r="Z219" s="174"/>
      <c r="AA219" s="20"/>
      <c r="AB219" s="20"/>
      <c r="AC219" s="20"/>
    </row>
    <row r="220" spans="1:29" s="2" customFormat="1" ht="21.95" customHeight="1">
      <c r="A220" s="171">
        <v>300315</v>
      </c>
      <c r="B220" s="170" t="s">
        <v>33</v>
      </c>
      <c r="C220" s="248" t="s">
        <v>34</v>
      </c>
      <c r="D220" s="248"/>
      <c r="E220" s="175" t="s">
        <v>40</v>
      </c>
      <c r="F220" s="174"/>
      <c r="G220" s="173">
        <v>7.92</v>
      </c>
      <c r="H220" s="173">
        <v>0.91666666666666663</v>
      </c>
      <c r="I220" s="173">
        <f>7+H220</f>
        <v>7.916666666666667</v>
      </c>
      <c r="J220" s="173"/>
      <c r="K220" s="173">
        <f t="shared" si="31"/>
        <v>4878.72</v>
      </c>
      <c r="L220" s="173">
        <f t="shared" si="32"/>
        <v>4876.666666666667</v>
      </c>
      <c r="M220" s="173">
        <v>616</v>
      </c>
      <c r="N220" s="173">
        <f t="shared" si="33"/>
        <v>3.6277974087161367</v>
      </c>
      <c r="O220" s="173"/>
      <c r="P220" s="173">
        <f t="shared" si="34"/>
        <v>28.720062819002749</v>
      </c>
      <c r="Q220" s="173">
        <v>8</v>
      </c>
      <c r="R220" s="19">
        <f t="shared" si="35"/>
        <v>32</v>
      </c>
      <c r="S220" s="173">
        <f t="shared" si="36"/>
        <v>3.2799371809972513</v>
      </c>
      <c r="T220" s="20">
        <v>4</v>
      </c>
      <c r="U220" s="20">
        <v>4</v>
      </c>
      <c r="V220" s="172">
        <f t="array" ref="V220">IF(ISERROR(L220/K220),"",L220/K220)</f>
        <v>0.99957912457912457</v>
      </c>
      <c r="W220" s="20"/>
      <c r="X220" s="170"/>
      <c r="Y220" s="170"/>
      <c r="Z220" s="174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76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76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>
        <v>3002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76" t="str">
        <f t="array" ref="V223">IF(ISERROR(L223/K223),"",L223/K223)</f>
        <v/>
      </c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>
        <v>3002</v>
      </c>
      <c r="C224" s="259" t="s">
        <v>313</v>
      </c>
      <c r="D224" s="260"/>
      <c r="E224" s="166" t="s">
        <v>315</v>
      </c>
      <c r="F224" s="13"/>
      <c r="G224" s="133">
        <v>1</v>
      </c>
      <c r="H224" s="133"/>
      <c r="I224" s="133">
        <f>1-J224/250</f>
        <v>0.88</v>
      </c>
      <c r="J224" s="133">
        <v>30</v>
      </c>
      <c r="K224" s="164">
        <f t="shared" si="31"/>
        <v>213.4</v>
      </c>
      <c r="L224" s="164">
        <f t="shared" si="32"/>
        <v>187.792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6.0865546218487392</v>
      </c>
      <c r="Q224" s="164">
        <v>1.5</v>
      </c>
      <c r="R224" s="19">
        <f t="shared" si="35"/>
        <v>7.5</v>
      </c>
      <c r="S224" s="164">
        <f t="shared" si="36"/>
        <v>1.4134453781512608</v>
      </c>
      <c r="T224" s="20">
        <v>3</v>
      </c>
      <c r="U224" s="20">
        <v>5</v>
      </c>
      <c r="V224" s="176">
        <f t="array" ref="V224">IF(ISERROR(L224/K224),"",L224/K224)</f>
        <v>0.88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76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76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76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76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76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76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76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76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76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76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76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76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76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76" t="str">
        <f t="array" ref="V238">IF(ISERROR(L238/K238),"",L238/K238)</f>
        <v/>
      </c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76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76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76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76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76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76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76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33">
        <v>8.32</v>
      </c>
      <c r="H246" s="133">
        <v>0.32</v>
      </c>
      <c r="I246" s="133">
        <f>8+H246</f>
        <v>8.32</v>
      </c>
      <c r="J246" s="133"/>
      <c r="K246" s="164">
        <f t="shared" si="31"/>
        <v>2377.0239999999999</v>
      </c>
      <c r="L246" s="164">
        <f t="shared" si="32"/>
        <v>2377.0239999999999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58.983225806451614</v>
      </c>
      <c r="Q246" s="164">
        <v>10</v>
      </c>
      <c r="R246" s="19">
        <f t="shared" si="35"/>
        <v>50</v>
      </c>
      <c r="S246" s="164">
        <f t="shared" si="36"/>
        <v>-8.9832258064516139</v>
      </c>
      <c r="T246" s="20">
        <v>6</v>
      </c>
      <c r="U246" s="20">
        <v>5</v>
      </c>
      <c r="V246" s="176">
        <f t="array" ref="V246">IF(ISERROR(L246/K246),"",L246/K246)</f>
        <v>1</v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48" t="s">
        <v>77</v>
      </c>
      <c r="D268" s="248" t="s">
        <v>78</v>
      </c>
      <c r="E268" s="166" t="s">
        <v>35</v>
      </c>
      <c r="F268" s="165"/>
      <c r="G268" s="133">
        <v>9.43</v>
      </c>
      <c r="H268" s="133">
        <v>0.2857142857142857</v>
      </c>
      <c r="I268" s="133">
        <f>10+H268-J268/350</f>
        <v>9.4285714285714288</v>
      </c>
      <c r="J268" s="133">
        <v>300</v>
      </c>
      <c r="K268" s="164">
        <f t="shared" si="31"/>
        <v>3834.2380000000003</v>
      </c>
      <c r="L268" s="164">
        <f t="shared" si="32"/>
        <v>3833.6571428571433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54.610500610500608</v>
      </c>
      <c r="Q268" s="164">
        <v>11.5</v>
      </c>
      <c r="R268" s="19">
        <f t="shared" si="35"/>
        <v>57.5</v>
      </c>
      <c r="S268" s="164">
        <f t="shared" si="36"/>
        <v>2.8894993894993917</v>
      </c>
      <c r="T268" s="20">
        <v>5</v>
      </c>
      <c r="U268" s="20">
        <v>5</v>
      </c>
      <c r="V268" s="161">
        <f t="array" ref="V268">IF(ISERROR(L268/K268),"",L268/K268)</f>
        <v>0.9998485078018482</v>
      </c>
      <c r="W268" s="20"/>
      <c r="X268" s="20">
        <f>30/60*5</f>
        <v>2.5</v>
      </c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5001</v>
      </c>
      <c r="C286" s="248" t="s">
        <v>317</v>
      </c>
      <c r="D286" s="248" t="s">
        <v>96</v>
      </c>
      <c r="E286" s="166" t="s">
        <v>35</v>
      </c>
      <c r="F286" s="165"/>
      <c r="G286" s="133">
        <v>3</v>
      </c>
      <c r="H286" s="133"/>
      <c r="I286" s="133">
        <v>3</v>
      </c>
      <c r="J286" s="133"/>
      <c r="K286" s="164">
        <f t="shared" ref="K286:K362" si="38">G286*M286</f>
        <v>1257.5999999999999</v>
      </c>
      <c r="L286" s="164">
        <f t="shared" ref="L286:L362" si="39">I286*M286</f>
        <v>1257.5999999999999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14.68558416535295</v>
      </c>
      <c r="Q286" s="164">
        <v>3.5</v>
      </c>
      <c r="R286" s="19">
        <f t="shared" ref="R286:R362" si="41">Q286*U286</f>
        <v>17.5</v>
      </c>
      <c r="S286" s="164">
        <f t="shared" ref="S286:S362" si="42">R286-P286</f>
        <v>2.8144158346470505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33"/>
      <c r="H310" s="133"/>
      <c r="I310" s="133"/>
      <c r="J310" s="133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>
        <v>5001</v>
      </c>
      <c r="C311" s="248" t="s">
        <v>112</v>
      </c>
      <c r="D311" s="248" t="s">
        <v>113</v>
      </c>
      <c r="E311" s="166" t="s">
        <v>37</v>
      </c>
      <c r="F311" s="165"/>
      <c r="G311" s="133">
        <v>7</v>
      </c>
      <c r="H311" s="133"/>
      <c r="I311" s="133">
        <v>7</v>
      </c>
      <c r="J311" s="133"/>
      <c r="K311" s="164">
        <f t="shared" si="38"/>
        <v>4349.0999999999995</v>
      </c>
      <c r="L311" s="164">
        <f t="shared" si="39"/>
        <v>4349.0999999999995</v>
      </c>
      <c r="M311" s="164">
        <v>621.29999999999995</v>
      </c>
      <c r="N311" s="164">
        <f t="shared" si="43"/>
        <v>3.9674329501915708</v>
      </c>
      <c r="O311" s="164">
        <v>0.5</v>
      </c>
      <c r="P311" s="164">
        <f t="shared" si="40"/>
        <v>30.272030651340994</v>
      </c>
      <c r="Q311" s="164">
        <v>8</v>
      </c>
      <c r="R311" s="19">
        <f t="shared" si="41"/>
        <v>40</v>
      </c>
      <c r="S311" s="164">
        <f t="shared" si="42"/>
        <v>9.7279693486590055</v>
      </c>
      <c r="T311" s="20">
        <v>4</v>
      </c>
      <c r="U311" s="20">
        <v>5</v>
      </c>
      <c r="V311" s="161">
        <f t="array" ref="V311">IF(ISERROR(L311/K311),"",L311/K311)</f>
        <v>1</v>
      </c>
      <c r="W311" s="20"/>
      <c r="X311" s="184">
        <f>40/60*5</f>
        <v>3.333333333333333</v>
      </c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40.340000000000003</v>
      </c>
      <c r="H408" s="164">
        <f t="array" ref="H408">SUM(IF(ISERROR(H215:H407),“”,H215:H407))</f>
        <v>1.5223809523809524</v>
      </c>
      <c r="I408" s="164">
        <f t="array" ref="I408">SUM(IF(ISERROR(I215:I407),“”,I215:I407))</f>
        <v>40.211904761904762</v>
      </c>
      <c r="J408" s="164">
        <f t="array" ref="J408">SUM(IF(ISERROR(J215:J407),“”,J215:J407))</f>
        <v>530</v>
      </c>
      <c r="K408" s="164">
        <f t="array" ref="K408">SUM(IF(ISERROR(K215:K407),“”,K215:K407))</f>
        <v>19170.802</v>
      </c>
      <c r="L408" s="117">
        <f>SUM(L215:L399)</f>
        <v>19140.50647619048</v>
      </c>
      <c r="M408" s="164"/>
      <c r="N408" s="164"/>
      <c r="O408" s="164">
        <f t="array" ref="O408">SUM(IF(ISERROR(O215:O407),“”,O215:O407))</f>
        <v>1.5</v>
      </c>
      <c r="P408" s="56">
        <f>SUM((P215:P399),(W413:X418))</f>
        <v>298.65988250645682</v>
      </c>
      <c r="Q408" s="164"/>
      <c r="R408" s="56">
        <f>SUM((R215:R399),(Y413:Z418))</f>
        <v>317.5</v>
      </c>
      <c r="S408" s="164">
        <f t="array" ref="S408">SUM(IF(ISERROR(S215:S407),“”,S215:S407))</f>
        <v>9.840117493543179</v>
      </c>
      <c r="T408" s="164"/>
      <c r="U408" s="164"/>
      <c r="V408" s="161">
        <f t="array" ref="V408">IF(ISERROR(L408/K408),"",L408/K408)</f>
        <v>0.99841970493412224</v>
      </c>
      <c r="W408" s="164">
        <f t="array" ref="W408">SUM(IF(ISERROR(W215:W407),“”,W215:W407))</f>
        <v>0</v>
      </c>
      <c r="X408" s="164">
        <f t="array" ref="X408">SUM(IF(ISERROR(X215:X407),“”,X215:X407))</f>
        <v>7.25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0.94066104726443089</v>
      </c>
      <c r="P409" s="274"/>
      <c r="Q409" s="274"/>
      <c r="R409" s="275"/>
      <c r="S409" s="44"/>
      <c r="T409" s="45"/>
      <c r="U409" s="45"/>
      <c r="V409" s="45"/>
      <c r="W409" s="276">
        <f>SUM(W408:AC408)</f>
        <v>7.25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110</v>
      </c>
      <c r="F411" s="279"/>
      <c r="G411" s="279">
        <v>110</v>
      </c>
      <c r="H411" s="279"/>
      <c r="I411" s="279" t="s">
        <v>322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3561.2</v>
      </c>
      <c r="F412" s="279"/>
      <c r="G412" s="279">
        <v>3561.2</v>
      </c>
      <c r="H412" s="279"/>
      <c r="I412" s="279">
        <f>G412-E412</f>
        <v>0</v>
      </c>
      <c r="J412" s="279"/>
      <c r="K412" s="281">
        <f t="array" ref="K412">IF(ISERROR(I412/E412),"",I412/E412)</f>
        <v>0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19</v>
      </c>
      <c r="T412" s="284"/>
      <c r="U412" s="284">
        <v>19</v>
      </c>
      <c r="V412" s="284"/>
      <c r="W412" s="283">
        <f>S412*9</f>
        <v>171</v>
      </c>
      <c r="X412" s="283"/>
      <c r="Y412" s="283">
        <f>U412*9</f>
        <v>171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>
        <v>756</v>
      </c>
      <c r="F413" s="279"/>
      <c r="G413" s="279">
        <v>756</v>
      </c>
      <c r="H413" s="279"/>
      <c r="I413" s="279">
        <f>G413-E413</f>
        <v>0</v>
      </c>
      <c r="J413" s="279"/>
      <c r="K413" s="281">
        <f t="array" ref="K413">IF(ISERROR(I413/E413),"",I413/E413)</f>
        <v>0</v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3</v>
      </c>
      <c r="T413" s="284"/>
      <c r="U413" s="284">
        <v>5</v>
      </c>
      <c r="V413" s="284"/>
      <c r="W413" s="283">
        <f t="shared" ref="W413:W419" si="60">S413*9</f>
        <v>27</v>
      </c>
      <c r="X413" s="283"/>
      <c r="Y413" s="283">
        <f t="shared" ref="Y413:Y419" si="61">U413*9</f>
        <v>45</v>
      </c>
      <c r="Z413" s="283"/>
      <c r="AA413" s="283">
        <f t="shared" si="59"/>
        <v>18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0</v>
      </c>
      <c r="V414" s="284"/>
      <c r="W414" s="283">
        <f t="shared" si="60"/>
        <v>6.75</v>
      </c>
      <c r="X414" s="283"/>
      <c r="Y414" s="283">
        <f t="shared" si="61"/>
        <v>0</v>
      </c>
      <c r="Z414" s="283"/>
      <c r="AA414" s="283">
        <f t="shared" si="59"/>
        <v>-6.75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149244</v>
      </c>
      <c r="H415" s="324"/>
      <c r="I415" s="325">
        <v>149149</v>
      </c>
      <c r="J415" s="326"/>
      <c r="K415" s="289">
        <f>G415-I415</f>
        <v>95</v>
      </c>
      <c r="L415" s="289"/>
      <c r="M415" s="290">
        <f t="array" ref="M415">IF(ISERROR(K415/L408),"",K415/(L408/1000))</f>
        <v>4.963296040163498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0</v>
      </c>
      <c r="V415" s="284"/>
      <c r="W415" s="283">
        <f t="shared" si="60"/>
        <v>6.75</v>
      </c>
      <c r="X415" s="283"/>
      <c r="Y415" s="283">
        <f t="shared" si="61"/>
        <v>0</v>
      </c>
      <c r="Z415" s="283"/>
      <c r="AA415" s="283">
        <f t="shared" si="59"/>
        <v>-6.75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44846*60+28555*120</f>
        <v>6117360</v>
      </c>
      <c r="H416" s="323"/>
      <c r="I416" s="322">
        <v>6116082</v>
      </c>
      <c r="J416" s="323"/>
      <c r="K416" s="289">
        <f>G416-I416</f>
        <v>1278</v>
      </c>
      <c r="L416" s="289"/>
      <c r="M416" s="290">
        <f t="array" ref="M416">IF(ISERROR(K416/L408),"",K416/(L408/1000))</f>
        <v>66.769393045567895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1</v>
      </c>
      <c r="V416" s="284"/>
      <c r="W416" s="283">
        <f t="shared" si="60"/>
        <v>13.5</v>
      </c>
      <c r="X416" s="283"/>
      <c r="Y416" s="283">
        <f t="shared" si="61"/>
        <v>9</v>
      </c>
      <c r="Z416" s="283"/>
      <c r="AA416" s="283">
        <f t="shared" si="59"/>
        <v>-4.5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+I417+11</f>
        <v>27808</v>
      </c>
      <c r="H417" s="324"/>
      <c r="I417" s="327">
        <v>27797</v>
      </c>
      <c r="J417" s="328"/>
      <c r="K417" s="289">
        <f>G417-I417</f>
        <v>11</v>
      </c>
      <c r="L417" s="289"/>
      <c r="M417" s="293">
        <f t="array" ref="M417">IF(ISERROR(K417/L408),"",K417/(L408/1000))</f>
        <v>0.57469743622945768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9</v>
      </c>
      <c r="X417" s="283"/>
      <c r="Y417" s="283">
        <f t="shared" si="61"/>
        <v>9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1.6/2+1.6</f>
        <v>2.4000000000000004</v>
      </c>
      <c r="L418" s="301"/>
      <c r="M418" s="294">
        <f t="array" ref="M418">IF(ISERROR((K418+K419)/L408),"",((K418+K419)*1000)/(L408/1000))</f>
        <v>125.38853154097259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4</v>
      </c>
      <c r="V418" s="284"/>
      <c r="W418" s="283">
        <f t="shared" si="60"/>
        <v>27</v>
      </c>
      <c r="X418" s="283"/>
      <c r="Y418" s="283">
        <f t="shared" si="61"/>
        <v>36</v>
      </c>
      <c r="Z418" s="283"/>
      <c r="AA418" s="283">
        <f t="shared" si="59"/>
        <v>9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29</v>
      </c>
      <c r="T419" s="284"/>
      <c r="U419" s="284">
        <f>SUM(U412:V418)</f>
        <v>30</v>
      </c>
      <c r="V419" s="284"/>
      <c r="W419" s="283">
        <f t="shared" si="60"/>
        <v>261</v>
      </c>
      <c r="X419" s="283"/>
      <c r="Y419" s="283">
        <f t="shared" si="61"/>
        <v>270</v>
      </c>
      <c r="Z419" s="283"/>
      <c r="AA419" s="283">
        <f t="shared" si="59"/>
        <v>9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4.583333333333333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70.890764726631403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33822.294999999998</v>
      </c>
      <c r="D423" s="337"/>
      <c r="E423" s="333" t="s">
        <v>226</v>
      </c>
      <c r="F423" s="333"/>
      <c r="G423" s="333">
        <f>L199+L408</f>
        <v>33225.782952380956</v>
      </c>
      <c r="H423" s="333"/>
      <c r="I423" s="340" t="s">
        <v>227</v>
      </c>
      <c r="J423" s="340"/>
      <c r="K423" s="339">
        <f>IF(ISERROR(G423/C423),"",G423/C423)</f>
        <v>0.9823633479744931</v>
      </c>
      <c r="L423" s="339"/>
      <c r="M423" s="333" t="s">
        <v>228</v>
      </c>
      <c r="N423" s="333"/>
      <c r="O423" s="334">
        <f>IF(ISERROR(G423/G424),"",G423/G424)</f>
        <v>45.205146873987694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604.22574347389559</v>
      </c>
      <c r="D424" s="337"/>
      <c r="E424" s="338" t="s">
        <v>18</v>
      </c>
      <c r="F424" s="338"/>
      <c r="G424" s="333">
        <f>R199+R408</f>
        <v>735</v>
      </c>
      <c r="H424" s="333"/>
      <c r="I424" s="313" t="s">
        <v>176</v>
      </c>
      <c r="J424" s="313"/>
      <c r="K424" s="339">
        <f>IF(ISERROR(C424/G424),"",C424/G424)</f>
        <v>0.82207584146108248</v>
      </c>
      <c r="L424" s="339"/>
      <c r="M424" s="279" t="s">
        <v>230</v>
      </c>
      <c r="N424" s="279"/>
      <c r="O424" s="333">
        <f>W200+W409</f>
        <v>10.25</v>
      </c>
      <c r="P424" s="279"/>
      <c r="Q424" s="279" t="s">
        <v>231</v>
      </c>
      <c r="R424" s="279"/>
      <c r="S424" s="339">
        <f t="array" ref="S424">IF(ISERROR(O424/G424),"",O424/G424)</f>
        <v>1.3945578231292517E-2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161</v>
      </c>
      <c r="D426" s="337"/>
      <c r="E426" s="333" t="s">
        <v>234</v>
      </c>
      <c r="F426" s="333"/>
      <c r="G426" s="293">
        <f t="array" ref="G426">IF(ISERROR(C426/G423),"",C426/(G423/1000))</f>
        <v>4.8456344950770456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2562</v>
      </c>
      <c r="D427" s="337"/>
      <c r="E427" s="333" t="s">
        <v>236</v>
      </c>
      <c r="F427" s="333"/>
      <c r="G427" s="293">
        <f>IF(ISERROR(C427/G423),"",C427/(G423/1000))</f>
        <v>77.108792399921683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21</v>
      </c>
      <c r="D428" s="337"/>
      <c r="E428" s="333" t="s">
        <v>238</v>
      </c>
      <c r="F428" s="333"/>
      <c r="G428" s="293">
        <f>IF(ISERROR(C428/G423),"",C428/(G423/1000))</f>
        <v>0.63203928196657122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4.8000000000000007</v>
      </c>
      <c r="D429" s="337"/>
      <c r="E429" s="333" t="s">
        <v>240</v>
      </c>
      <c r="F429" s="333"/>
      <c r="G429" s="341">
        <f>IF(ISERROR(C429/G423),"",C429/(G423/1000))</f>
        <v>0.14446612159235916</v>
      </c>
      <c r="H429" s="341"/>
      <c r="I429" s="333" t="s">
        <v>241</v>
      </c>
      <c r="J429" s="333"/>
      <c r="K429" s="342">
        <f>IF(ISERROR(C428/C429),"",C428/C429)</f>
        <v>4.3749999999999991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223</v>
      </c>
      <c r="D432" s="346"/>
      <c r="E432" s="333" t="s">
        <v>247</v>
      </c>
      <c r="F432" s="351"/>
      <c r="G432" s="347">
        <f>+G411+G202</f>
        <v>223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6120.5</v>
      </c>
      <c r="D433" s="346"/>
      <c r="E433" s="333" t="s">
        <v>251</v>
      </c>
      <c r="F433" s="333"/>
      <c r="G433" s="347">
        <f>+G412+G203</f>
        <v>6200.5</v>
      </c>
      <c r="H433" s="348"/>
      <c r="I433" s="333" t="s">
        <v>252</v>
      </c>
      <c r="J433" s="333"/>
      <c r="K433" s="315">
        <f>G433-C433</f>
        <v>80</v>
      </c>
      <c r="L433" s="317"/>
      <c r="M433" s="349" t="s">
        <v>253</v>
      </c>
      <c r="N433" s="350"/>
      <c r="O433" s="343">
        <f t="array" ref="O433">IF(ISERROR(K433/C433),"",K433/C433)</f>
        <v>1.3070827546769056E-2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4086</v>
      </c>
      <c r="D434" s="346"/>
      <c r="E434" s="333" t="s">
        <v>255</v>
      </c>
      <c r="F434" s="351"/>
      <c r="G434" s="347">
        <f>+G413+G204</f>
        <v>4221</v>
      </c>
      <c r="H434" s="348"/>
      <c r="I434" s="333" t="s">
        <v>256</v>
      </c>
      <c r="J434" s="351"/>
      <c r="K434" s="315">
        <f>G434-C434</f>
        <v>135</v>
      </c>
      <c r="L434" s="317"/>
      <c r="M434" s="349" t="s">
        <v>257</v>
      </c>
      <c r="N434" s="350"/>
      <c r="O434" s="343">
        <f t="array" ref="O434">IF(ISERROR(K434/C434),"",K434/C434)</f>
        <v>3.3039647577092511E-2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>
        <v>2</v>
      </c>
      <c r="L440" s="67"/>
      <c r="M440" s="67"/>
      <c r="N440" s="67"/>
      <c r="O440" s="67"/>
      <c r="P440" s="118"/>
      <c r="Q440" s="83">
        <f t="shared" si="64"/>
        <v>21</v>
      </c>
      <c r="R440" s="158">
        <f t="shared" si="65"/>
        <v>231</v>
      </c>
      <c r="S440" s="101">
        <f t="array" ref="S440">IF(ISERROR(Q440/J440),"",Q440/J440)</f>
        <v>0.91304347826086951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2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40</v>
      </c>
      <c r="R443" s="158">
        <f t="shared" si="65"/>
        <v>440</v>
      </c>
      <c r="S443" s="120">
        <f t="array" ref="S443">IF(ISERROR(Q443/J443),"",Q443/J443)</f>
        <v>0.95238095238095233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24</v>
      </c>
      <c r="D447" s="67">
        <v>24</v>
      </c>
      <c r="E447" s="67"/>
      <c r="F447" s="67"/>
      <c r="G447" s="67"/>
      <c r="H447" s="67"/>
      <c r="I447" s="67">
        <v>8</v>
      </c>
      <c r="J447" s="83">
        <f t="shared" si="63"/>
        <v>16</v>
      </c>
      <c r="K447" s="67">
        <v>1</v>
      </c>
      <c r="L447" s="67"/>
      <c r="M447" s="67"/>
      <c r="N447" s="67"/>
      <c r="O447" s="67"/>
      <c r="P447" s="67"/>
      <c r="Q447" s="83">
        <f t="shared" si="64"/>
        <v>15</v>
      </c>
      <c r="R447" s="158">
        <f t="shared" si="68"/>
        <v>172.5</v>
      </c>
      <c r="S447" s="101">
        <f t="array" ref="S447">IF(ISERROR(Q447/J447),"",Q447/J447)</f>
        <v>0.9375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40</v>
      </c>
      <c r="D450" s="69">
        <v>40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8</v>
      </c>
      <c r="J450" s="85">
        <f t="shared" si="63"/>
        <v>32</v>
      </c>
      <c r="K450" s="69">
        <f t="shared" ref="K450:P450" si="70">SUM(K444:K449)</f>
        <v>2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30</v>
      </c>
      <c r="R450" s="158">
        <f t="shared" si="68"/>
        <v>345</v>
      </c>
      <c r="S450" s="122">
        <f t="array" ref="S450">IF(ISERROR(Q450/J450),"",Q450/J450)</f>
        <v>0.9375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54</v>
      </c>
      <c r="D452" s="69">
        <v>54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8</v>
      </c>
      <c r="J452" s="85">
        <f t="shared" si="63"/>
        <v>46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42</v>
      </c>
      <c r="R452" s="67">
        <f>R443+R450+R451</f>
        <v>807</v>
      </c>
      <c r="S452" s="123">
        <f t="array" ref="S452">IF(ISERROR(Q452/J452),"",Q452/J452)</f>
        <v>0.91304347826086951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26" type="noConversion"/>
  <pageMargins left="0.69930555555555596" right="0.69930555555555596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C454"/>
  <sheetViews>
    <sheetView workbookViewId="0">
      <pane xSplit="5" ySplit="8" topLeftCell="K438" activePane="bottomRight" state="frozen"/>
      <selection pane="topRight" activeCell="F1" sqref="F1"/>
      <selection pane="bottomLeft" activeCell="A9" sqref="A9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s="2" customFormat="1" ht="21.95" customHeight="1">
      <c r="A9" s="178">
        <v>300316</v>
      </c>
      <c r="B9" s="177" t="s">
        <v>33</v>
      </c>
      <c r="C9" s="248" t="s">
        <v>34</v>
      </c>
      <c r="D9" s="248"/>
      <c r="E9" s="182" t="s">
        <v>38</v>
      </c>
      <c r="F9" s="27"/>
      <c r="G9" s="133">
        <v>0.33</v>
      </c>
      <c r="H9" s="133">
        <v>0.33333333333333331</v>
      </c>
      <c r="I9" s="133">
        <f>+H9</f>
        <v>0.33333333333333331</v>
      </c>
      <c r="J9" s="133"/>
      <c r="K9" s="180">
        <f t="shared" si="0"/>
        <v>203.28</v>
      </c>
      <c r="L9" s="180">
        <f t="shared" si="1"/>
        <v>205.33333333333331</v>
      </c>
      <c r="M9" s="180">
        <v>616</v>
      </c>
      <c r="N9" s="180">
        <f t="shared" si="5"/>
        <v>4.534746760895171</v>
      </c>
      <c r="O9" s="180"/>
      <c r="P9" s="180">
        <f t="shared" si="2"/>
        <v>1.5115822536317236</v>
      </c>
      <c r="Q9" s="180">
        <v>1</v>
      </c>
      <c r="R9" s="19">
        <f t="shared" si="3"/>
        <v>3</v>
      </c>
      <c r="S9" s="180">
        <f t="shared" si="4"/>
        <v>1.4884177463682764</v>
      </c>
      <c r="T9" s="20">
        <v>5</v>
      </c>
      <c r="U9" s="20">
        <v>3</v>
      </c>
      <c r="V9" s="186">
        <f t="array" ref="V9">IF(ISERROR(L9/K9),"",L9/K9)</f>
        <v>1.0101010101010099</v>
      </c>
      <c r="W9" s="20"/>
      <c r="X9" s="177"/>
      <c r="Y9" s="177"/>
      <c r="Z9" s="181"/>
      <c r="AA9" s="20">
        <v>2</v>
      </c>
      <c r="AB9" s="20"/>
      <c r="AC9" s="20"/>
    </row>
    <row r="10" spans="1:29" s="2" customFormat="1" ht="21.95" hidden="1" customHeight="1">
      <c r="A10" s="178">
        <v>300317</v>
      </c>
      <c r="B10" s="177" t="s">
        <v>33</v>
      </c>
      <c r="C10" s="248" t="s">
        <v>34</v>
      </c>
      <c r="D10" s="248"/>
      <c r="E10" s="182" t="s">
        <v>39</v>
      </c>
      <c r="F10" s="27"/>
      <c r="G10" s="133"/>
      <c r="H10" s="133"/>
      <c r="I10" s="133"/>
      <c r="J10" s="133"/>
      <c r="K10" s="180">
        <f t="shared" si="0"/>
        <v>0</v>
      </c>
      <c r="L10" s="180">
        <f t="shared" si="1"/>
        <v>0</v>
      </c>
      <c r="M10" s="180">
        <v>616</v>
      </c>
      <c r="N10" s="180">
        <f t="shared" si="5"/>
        <v>4.534746760895171</v>
      </c>
      <c r="O10" s="180"/>
      <c r="P10" s="180">
        <f t="shared" si="2"/>
        <v>0</v>
      </c>
      <c r="Q10" s="180"/>
      <c r="R10" s="19">
        <f t="shared" si="3"/>
        <v>0</v>
      </c>
      <c r="S10" s="180">
        <f t="shared" si="4"/>
        <v>0</v>
      </c>
      <c r="T10" s="20">
        <v>5</v>
      </c>
      <c r="U10" s="20"/>
      <c r="V10" s="179"/>
      <c r="W10" s="20"/>
      <c r="X10" s="177"/>
      <c r="Y10" s="177"/>
      <c r="Z10" s="181"/>
      <c r="AA10" s="20"/>
      <c r="AB10" s="20"/>
      <c r="AC10" s="20"/>
    </row>
    <row r="11" spans="1:29" s="2" customFormat="1" ht="21.95" hidden="1" customHeight="1">
      <c r="A11" s="178">
        <v>300315</v>
      </c>
      <c r="B11" s="177" t="s">
        <v>33</v>
      </c>
      <c r="C11" s="248" t="s">
        <v>34</v>
      </c>
      <c r="D11" s="248"/>
      <c r="E11" s="182" t="s">
        <v>40</v>
      </c>
      <c r="F11" s="27"/>
      <c r="G11" s="133"/>
      <c r="H11" s="133"/>
      <c r="I11" s="133"/>
      <c r="J11" s="133"/>
      <c r="K11" s="180">
        <f t="shared" si="0"/>
        <v>0</v>
      </c>
      <c r="L11" s="180">
        <f t="shared" si="1"/>
        <v>0</v>
      </c>
      <c r="M11" s="180">
        <v>616</v>
      </c>
      <c r="N11" s="180">
        <f t="shared" si="5"/>
        <v>4.534746760895171</v>
      </c>
      <c r="O11" s="180"/>
      <c r="P11" s="180">
        <f t="shared" si="2"/>
        <v>0</v>
      </c>
      <c r="Q11" s="180"/>
      <c r="R11" s="19">
        <f t="shared" si="3"/>
        <v>0</v>
      </c>
      <c r="S11" s="180">
        <f t="shared" si="4"/>
        <v>0</v>
      </c>
      <c r="T11" s="20">
        <v>5</v>
      </c>
      <c r="U11" s="20"/>
      <c r="V11" s="179" t="str">
        <f t="array" ref="V11">IF(ISERROR(L11/K11),"",L11/K11)</f>
        <v/>
      </c>
      <c r="W11" s="20"/>
      <c r="X11" s="177"/>
      <c r="Y11" s="177"/>
      <c r="Z11" s="181"/>
      <c r="AA11" s="20"/>
      <c r="AB11" s="20"/>
      <c r="AC11" s="20"/>
    </row>
    <row r="12" spans="1:29" s="2" customFormat="1" ht="21.95" customHeight="1">
      <c r="A12" s="178">
        <v>300314</v>
      </c>
      <c r="B12" s="177" t="s">
        <v>33</v>
      </c>
      <c r="C12" s="248" t="s">
        <v>34</v>
      </c>
      <c r="D12" s="248"/>
      <c r="E12" s="182" t="s">
        <v>41</v>
      </c>
      <c r="F12" s="27"/>
      <c r="G12" s="133">
        <v>2</v>
      </c>
      <c r="H12" s="133"/>
      <c r="I12" s="133">
        <v>2</v>
      </c>
      <c r="J12" s="133"/>
      <c r="K12" s="180">
        <f t="shared" si="0"/>
        <v>1232</v>
      </c>
      <c r="L12" s="180">
        <f t="shared" si="1"/>
        <v>1232</v>
      </c>
      <c r="M12" s="180">
        <v>616</v>
      </c>
      <c r="N12" s="180">
        <f t="shared" si="5"/>
        <v>4.534746760895171</v>
      </c>
      <c r="O12" s="180">
        <v>0.5</v>
      </c>
      <c r="P12" s="180">
        <f t="shared" si="2"/>
        <v>10.569493521790342</v>
      </c>
      <c r="Q12" s="180">
        <v>4</v>
      </c>
      <c r="R12" s="19">
        <f t="shared" si="3"/>
        <v>12</v>
      </c>
      <c r="S12" s="180">
        <f t="shared" si="4"/>
        <v>1.4305064782096579</v>
      </c>
      <c r="T12" s="20">
        <v>5</v>
      </c>
      <c r="U12" s="20">
        <v>3</v>
      </c>
      <c r="V12" s="179">
        <f t="array" ref="V12">IF(ISERROR(L12/K12),"",L12/K12)</f>
        <v>1</v>
      </c>
      <c r="W12" s="20"/>
      <c r="X12" s="177"/>
      <c r="Y12" s="177"/>
      <c r="Z12" s="181"/>
      <c r="AA12" s="20"/>
      <c r="AB12" s="20"/>
      <c r="AC12" s="20"/>
    </row>
    <row r="13" spans="1:29" s="2" customFormat="1" ht="21.95" customHeight="1">
      <c r="A13" s="178">
        <v>300313</v>
      </c>
      <c r="B13" s="177" t="s">
        <v>33</v>
      </c>
      <c r="C13" s="248" t="s">
        <v>34</v>
      </c>
      <c r="D13" s="248"/>
      <c r="E13" s="182" t="s">
        <v>42</v>
      </c>
      <c r="F13" s="27"/>
      <c r="G13" s="133">
        <v>3</v>
      </c>
      <c r="H13" s="133"/>
      <c r="I13" s="133">
        <v>3</v>
      </c>
      <c r="J13" s="133"/>
      <c r="K13" s="180">
        <f t="shared" si="0"/>
        <v>1848</v>
      </c>
      <c r="L13" s="180">
        <f t="shared" si="1"/>
        <v>1848</v>
      </c>
      <c r="M13" s="180">
        <v>616</v>
      </c>
      <c r="N13" s="180">
        <f t="shared" si="5"/>
        <v>4.534746760895171</v>
      </c>
      <c r="O13" s="180">
        <v>0.5</v>
      </c>
      <c r="P13" s="180">
        <f t="shared" si="2"/>
        <v>15.104240282685513</v>
      </c>
      <c r="Q13" s="180">
        <v>3</v>
      </c>
      <c r="R13" s="19">
        <f t="shared" si="3"/>
        <v>9</v>
      </c>
      <c r="S13" s="180">
        <f t="shared" si="4"/>
        <v>-6.1042402826855131</v>
      </c>
      <c r="T13" s="20">
        <v>5</v>
      </c>
      <c r="U13" s="20">
        <v>3</v>
      </c>
      <c r="V13" s="179">
        <f t="array" ref="V13">IF(ISERROR(L13/K13),"",L13/K13)</f>
        <v>1</v>
      </c>
      <c r="W13" s="20"/>
      <c r="X13" s="177"/>
      <c r="Y13" s="177"/>
      <c r="Z13" s="181"/>
      <c r="AA13" s="20"/>
      <c r="AB13" s="20"/>
      <c r="AC13" s="20"/>
    </row>
    <row r="14" spans="1:29" s="2" customFormat="1" ht="21.95" hidden="1" customHeight="1">
      <c r="A14" s="178"/>
      <c r="B14" s="177" t="s">
        <v>43</v>
      </c>
      <c r="C14" s="259" t="s">
        <v>313</v>
      </c>
      <c r="D14" s="260"/>
      <c r="E14" s="182" t="s">
        <v>314</v>
      </c>
      <c r="F14" s="27"/>
      <c r="G14" s="133"/>
      <c r="H14" s="133"/>
      <c r="I14" s="133"/>
      <c r="J14" s="133"/>
      <c r="K14" s="180">
        <f t="shared" si="0"/>
        <v>0</v>
      </c>
      <c r="L14" s="180">
        <f t="shared" si="1"/>
        <v>0</v>
      </c>
      <c r="M14" s="180">
        <v>213.4</v>
      </c>
      <c r="N14" s="180">
        <f>+M14*1000/(15.4*10*17*60)*T14</f>
        <v>4.0756302521008401</v>
      </c>
      <c r="O14" s="180"/>
      <c r="P14" s="180">
        <f t="shared" si="2"/>
        <v>0</v>
      </c>
      <c r="Q14" s="180"/>
      <c r="R14" s="19">
        <f t="shared" si="3"/>
        <v>0</v>
      </c>
      <c r="S14" s="180">
        <f t="shared" si="4"/>
        <v>0</v>
      </c>
      <c r="T14" s="20">
        <v>3</v>
      </c>
      <c r="U14" s="20"/>
      <c r="V14" s="179"/>
      <c r="W14" s="20"/>
      <c r="X14" s="177"/>
      <c r="Y14" s="177"/>
      <c r="Z14" s="181"/>
      <c r="AA14" s="20"/>
      <c r="AB14" s="20"/>
      <c r="AC14" s="20"/>
    </row>
    <row r="15" spans="1:29" s="2" customFormat="1" ht="21.95" customHeight="1">
      <c r="A15" s="178"/>
      <c r="B15" s="177">
        <v>3002</v>
      </c>
      <c r="C15" s="259" t="s">
        <v>313</v>
      </c>
      <c r="D15" s="260"/>
      <c r="E15" s="182" t="s">
        <v>315</v>
      </c>
      <c r="F15" s="27"/>
      <c r="G15" s="133">
        <v>8</v>
      </c>
      <c r="H15" s="133">
        <v>0.15</v>
      </c>
      <c r="I15" s="133">
        <f>8+H15-J15/200</f>
        <v>8</v>
      </c>
      <c r="J15" s="133">
        <v>30</v>
      </c>
      <c r="K15" s="180">
        <f t="shared" si="0"/>
        <v>1707.2</v>
      </c>
      <c r="L15" s="180">
        <f t="shared" si="1"/>
        <v>1707.2</v>
      </c>
      <c r="M15" s="180">
        <v>213.4</v>
      </c>
      <c r="N15" s="180">
        <f>+M15*1000/(15.4*10*17*60)*T15</f>
        <v>4.0756302521008401</v>
      </c>
      <c r="O15" s="180"/>
      <c r="P15" s="180">
        <f t="shared" si="2"/>
        <v>32.605042016806721</v>
      </c>
      <c r="Q15" s="180">
        <v>11</v>
      </c>
      <c r="R15" s="19">
        <f t="shared" si="3"/>
        <v>22</v>
      </c>
      <c r="S15" s="180">
        <f t="shared" si="4"/>
        <v>-10.605042016806721</v>
      </c>
      <c r="T15" s="20">
        <v>3</v>
      </c>
      <c r="U15" s="20">
        <v>2</v>
      </c>
      <c r="V15" s="186">
        <f t="array" ref="V15">IF(ISERROR(L15/K15),"",L15/K15)</f>
        <v>1</v>
      </c>
      <c r="W15" s="20"/>
      <c r="X15" s="177"/>
      <c r="Y15" s="177"/>
      <c r="Z15" s="181"/>
      <c r="AA15" s="20"/>
      <c r="AB15" s="20"/>
      <c r="AC15" s="20"/>
    </row>
    <row r="16" spans="1:29" s="2" customFormat="1" ht="21" hidden="1" customHeight="1">
      <c r="A16" s="177">
        <v>300202</v>
      </c>
      <c r="B16" s="177" t="s">
        <v>43</v>
      </c>
      <c r="C16" s="259" t="s">
        <v>44</v>
      </c>
      <c r="D16" s="260"/>
      <c r="E16" s="177" t="s">
        <v>35</v>
      </c>
      <c r="F16" s="27"/>
      <c r="G16" s="133"/>
      <c r="H16" s="133"/>
      <c r="I16" s="133"/>
      <c r="J16" s="133"/>
      <c r="K16" s="180">
        <f t="shared" si="0"/>
        <v>0</v>
      </c>
      <c r="L16" s="180">
        <f t="shared" si="1"/>
        <v>0</v>
      </c>
      <c r="M16" s="180">
        <v>212.4</v>
      </c>
      <c r="N16" s="180">
        <f>+M16*1000/(15.4*10*17*60)*T16</f>
        <v>4.0565317035905268</v>
      </c>
      <c r="O16" s="180"/>
      <c r="P16" s="180">
        <f t="shared" si="2"/>
        <v>0</v>
      </c>
      <c r="Q16" s="180"/>
      <c r="R16" s="19">
        <f t="shared" si="3"/>
        <v>0</v>
      </c>
      <c r="S16" s="180">
        <f t="shared" si="4"/>
        <v>0</v>
      </c>
      <c r="T16" s="20">
        <v>3</v>
      </c>
      <c r="U16" s="20"/>
      <c r="V16" s="179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s="2" customFormat="1" ht="21.95" hidden="1" customHeight="1">
      <c r="A17" s="177">
        <v>300203</v>
      </c>
      <c r="B17" s="177" t="s">
        <v>43</v>
      </c>
      <c r="C17" s="259" t="s">
        <v>44</v>
      </c>
      <c r="D17" s="260"/>
      <c r="E17" s="177" t="s">
        <v>41</v>
      </c>
      <c r="F17" s="27"/>
      <c r="G17" s="133"/>
      <c r="H17" s="133"/>
      <c r="I17" s="133"/>
      <c r="J17" s="133"/>
      <c r="K17" s="180">
        <f t="shared" si="0"/>
        <v>0</v>
      </c>
      <c r="L17" s="180">
        <f t="shared" si="1"/>
        <v>0</v>
      </c>
      <c r="M17" s="180">
        <v>212.4</v>
      </c>
      <c r="N17" s="180">
        <f>+M17*1000/(15.4*10*17*60)*T17</f>
        <v>4.0565317035905268</v>
      </c>
      <c r="O17" s="180"/>
      <c r="P17" s="180">
        <f t="shared" si="2"/>
        <v>0</v>
      </c>
      <c r="Q17" s="180"/>
      <c r="R17" s="19">
        <f t="shared" si="3"/>
        <v>0</v>
      </c>
      <c r="S17" s="180">
        <f t="shared" si="4"/>
        <v>0</v>
      </c>
      <c r="T17" s="20">
        <v>3</v>
      </c>
      <c r="U17" s="20"/>
      <c r="V17" s="179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s="2" customFormat="1" ht="21.95" hidden="1" customHeight="1">
      <c r="A18" s="177">
        <v>300204</v>
      </c>
      <c r="B18" s="177" t="s">
        <v>43</v>
      </c>
      <c r="C18" s="259" t="s">
        <v>44</v>
      </c>
      <c r="D18" s="260"/>
      <c r="E18" s="177" t="s">
        <v>37</v>
      </c>
      <c r="F18" s="27"/>
      <c r="G18" s="133"/>
      <c r="H18" s="133"/>
      <c r="I18" s="133"/>
      <c r="J18" s="133"/>
      <c r="K18" s="180">
        <f t="shared" si="0"/>
        <v>0</v>
      </c>
      <c r="L18" s="180">
        <f t="shared" si="1"/>
        <v>0</v>
      </c>
      <c r="M18" s="180">
        <v>212.4</v>
      </c>
      <c r="N18" s="180">
        <f>+M18*1000/(15.4*10*17*60)*T18</f>
        <v>4.0565317035905268</v>
      </c>
      <c r="O18" s="180"/>
      <c r="P18" s="180">
        <f t="shared" si="2"/>
        <v>0</v>
      </c>
      <c r="Q18" s="180"/>
      <c r="R18" s="19">
        <f t="shared" si="3"/>
        <v>0</v>
      </c>
      <c r="S18" s="180">
        <f t="shared" si="4"/>
        <v>0</v>
      </c>
      <c r="T18" s="20">
        <v>3</v>
      </c>
      <c r="U18" s="20"/>
      <c r="V18" s="179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s="2" customFormat="1" ht="21.95" hidden="1" customHeight="1">
      <c r="A19" s="178">
        <v>300269</v>
      </c>
      <c r="B19" s="177" t="s">
        <v>43</v>
      </c>
      <c r="C19" s="248" t="s">
        <v>45</v>
      </c>
      <c r="D19" s="248"/>
      <c r="E19" s="182"/>
      <c r="F19" s="27"/>
      <c r="G19" s="133"/>
      <c r="H19" s="133"/>
      <c r="I19" s="133"/>
      <c r="J19" s="133"/>
      <c r="K19" s="180">
        <f t="shared" si="0"/>
        <v>0</v>
      </c>
      <c r="L19" s="180">
        <f t="shared" si="1"/>
        <v>0</v>
      </c>
      <c r="M19" s="180">
        <v>209.4</v>
      </c>
      <c r="N19" s="180">
        <f>+M19*1000/(19.4*10*16*60)*T19</f>
        <v>3.3730670103092786</v>
      </c>
      <c r="O19" s="180"/>
      <c r="P19" s="180">
        <f t="shared" si="2"/>
        <v>0</v>
      </c>
      <c r="Q19" s="180"/>
      <c r="R19" s="19">
        <f t="shared" si="3"/>
        <v>0</v>
      </c>
      <c r="S19" s="180">
        <f t="shared" si="4"/>
        <v>0</v>
      </c>
      <c r="T19" s="20">
        <v>3</v>
      </c>
      <c r="U19" s="20"/>
      <c r="V19" s="179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s="2" customFormat="1" ht="21.95" hidden="1" customHeight="1">
      <c r="A20" s="178"/>
      <c r="B20" s="177"/>
      <c r="C20" s="248" t="s">
        <v>46</v>
      </c>
      <c r="D20" s="248"/>
      <c r="E20" s="182" t="s">
        <v>47</v>
      </c>
      <c r="F20" s="27"/>
      <c r="G20" s="133"/>
      <c r="H20" s="133"/>
      <c r="I20" s="133"/>
      <c r="J20" s="133"/>
      <c r="K20" s="180">
        <f t="shared" si="0"/>
        <v>0</v>
      </c>
      <c r="L20" s="180">
        <f t="shared" si="1"/>
        <v>0</v>
      </c>
      <c r="M20" s="180">
        <v>209.9</v>
      </c>
      <c r="N20" s="180">
        <f>+M20*1000/(19*10*16*60)*T20</f>
        <v>3.4523026315789478</v>
      </c>
      <c r="O20" s="180"/>
      <c r="P20" s="180">
        <f t="shared" si="2"/>
        <v>0</v>
      </c>
      <c r="Q20" s="180"/>
      <c r="R20" s="19">
        <f t="shared" si="3"/>
        <v>0</v>
      </c>
      <c r="S20" s="180">
        <f t="shared" si="4"/>
        <v>0</v>
      </c>
      <c r="T20" s="20">
        <v>3</v>
      </c>
      <c r="U20" s="20"/>
      <c r="V20" s="179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s="2" customFormat="1" ht="21.95" hidden="1" customHeight="1">
      <c r="A21" s="178">
        <v>300350</v>
      </c>
      <c r="B21" s="177" t="s">
        <v>43</v>
      </c>
      <c r="C21" s="248" t="s">
        <v>48</v>
      </c>
      <c r="D21" s="248"/>
      <c r="E21" s="182" t="s">
        <v>49</v>
      </c>
      <c r="F21" s="27"/>
      <c r="G21" s="133"/>
      <c r="H21" s="133"/>
      <c r="I21" s="133"/>
      <c r="J21" s="133"/>
      <c r="K21" s="180">
        <f t="shared" si="0"/>
        <v>0</v>
      </c>
      <c r="L21" s="180">
        <f t="shared" si="1"/>
        <v>0</v>
      </c>
      <c r="M21" s="180">
        <v>209.9</v>
      </c>
      <c r="N21" s="180">
        <f>+M21*1000/(19*10*16*60)*T21</f>
        <v>2.3015350877192984</v>
      </c>
      <c r="O21" s="180"/>
      <c r="P21" s="180">
        <f t="shared" si="2"/>
        <v>0</v>
      </c>
      <c r="Q21" s="180"/>
      <c r="R21" s="19">
        <f t="shared" si="3"/>
        <v>0</v>
      </c>
      <c r="S21" s="180">
        <f t="shared" si="4"/>
        <v>0</v>
      </c>
      <c r="T21" s="20">
        <v>2</v>
      </c>
      <c r="U21" s="20"/>
      <c r="V21" s="179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s="2" customFormat="1" ht="21.95" hidden="1" customHeight="1">
      <c r="A22" s="178">
        <v>300113</v>
      </c>
      <c r="B22" s="177" t="s">
        <v>43</v>
      </c>
      <c r="C22" s="248" t="s">
        <v>50</v>
      </c>
      <c r="D22" s="248"/>
      <c r="E22" s="182" t="s">
        <v>40</v>
      </c>
      <c r="F22" s="27"/>
      <c r="G22" s="133"/>
      <c r="H22" s="133"/>
      <c r="I22" s="133"/>
      <c r="J22" s="133"/>
      <c r="K22" s="180">
        <f t="shared" si="0"/>
        <v>0</v>
      </c>
      <c r="L22" s="180">
        <f t="shared" si="1"/>
        <v>0</v>
      </c>
      <c r="M22" s="180">
        <v>210</v>
      </c>
      <c r="N22" s="180">
        <f>M22*1000/(19.2*10*17*60)*T22</f>
        <v>2.1446078431372548</v>
      </c>
      <c r="O22" s="180"/>
      <c r="P22" s="180">
        <f t="shared" si="2"/>
        <v>0</v>
      </c>
      <c r="Q22" s="180"/>
      <c r="R22" s="19">
        <f t="shared" si="3"/>
        <v>0</v>
      </c>
      <c r="S22" s="180">
        <f t="shared" si="4"/>
        <v>0</v>
      </c>
      <c r="T22" s="20">
        <v>2</v>
      </c>
      <c r="U22" s="20"/>
      <c r="V22" s="179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s="2" customFormat="1" ht="21.95" hidden="1" customHeight="1">
      <c r="A23" s="178">
        <v>300114</v>
      </c>
      <c r="B23" s="177" t="s">
        <v>43</v>
      </c>
      <c r="C23" s="248" t="s">
        <v>50</v>
      </c>
      <c r="D23" s="248"/>
      <c r="E23" s="182" t="s">
        <v>42</v>
      </c>
      <c r="F23" s="27"/>
      <c r="G23" s="133"/>
      <c r="H23" s="133"/>
      <c r="I23" s="133"/>
      <c r="J23" s="133"/>
      <c r="K23" s="180">
        <f t="shared" si="0"/>
        <v>0</v>
      </c>
      <c r="L23" s="180">
        <f t="shared" si="1"/>
        <v>0</v>
      </c>
      <c r="M23" s="180">
        <v>210</v>
      </c>
      <c r="N23" s="180">
        <f>M23*1000/(19.2*10*17*60)*T23</f>
        <v>2.1446078431372548</v>
      </c>
      <c r="O23" s="180"/>
      <c r="P23" s="180">
        <f t="shared" si="2"/>
        <v>0</v>
      </c>
      <c r="Q23" s="180"/>
      <c r="R23" s="19">
        <f t="shared" si="3"/>
        <v>0</v>
      </c>
      <c r="S23" s="180">
        <f t="shared" si="4"/>
        <v>0</v>
      </c>
      <c r="T23" s="20">
        <v>2</v>
      </c>
      <c r="U23" s="20"/>
      <c r="V23" s="179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s="2" customFormat="1" ht="21.95" hidden="1" customHeight="1">
      <c r="A24" s="178">
        <v>300115</v>
      </c>
      <c r="B24" s="177" t="s">
        <v>43</v>
      </c>
      <c r="C24" s="248" t="s">
        <v>50</v>
      </c>
      <c r="D24" s="248"/>
      <c r="E24" s="182" t="s">
        <v>41</v>
      </c>
      <c r="F24" s="27"/>
      <c r="G24" s="133"/>
      <c r="H24" s="133"/>
      <c r="I24" s="133"/>
      <c r="J24" s="133"/>
      <c r="K24" s="180">
        <f t="shared" si="0"/>
        <v>0</v>
      </c>
      <c r="L24" s="180">
        <f t="shared" si="1"/>
        <v>0</v>
      </c>
      <c r="M24" s="180">
        <v>210</v>
      </c>
      <c r="N24" s="180">
        <f>M24*1000/(19.2*10*17*60)*T24</f>
        <v>2.1446078431372548</v>
      </c>
      <c r="O24" s="180"/>
      <c r="P24" s="180">
        <f t="shared" si="2"/>
        <v>0</v>
      </c>
      <c r="Q24" s="180"/>
      <c r="R24" s="19">
        <f t="shared" si="3"/>
        <v>0</v>
      </c>
      <c r="S24" s="180">
        <f t="shared" si="4"/>
        <v>0</v>
      </c>
      <c r="T24" s="20">
        <v>2</v>
      </c>
      <c r="U24" s="20"/>
      <c r="V24" s="179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s="2" customFormat="1" ht="21.95" hidden="1" customHeight="1">
      <c r="A25" s="178">
        <v>300011</v>
      </c>
      <c r="B25" s="177" t="s">
        <v>43</v>
      </c>
      <c r="C25" s="248" t="s">
        <v>51</v>
      </c>
      <c r="D25" s="248"/>
      <c r="E25" s="182" t="s">
        <v>40</v>
      </c>
      <c r="F25" s="27"/>
      <c r="G25" s="133"/>
      <c r="H25" s="133"/>
      <c r="I25" s="133"/>
      <c r="J25" s="133"/>
      <c r="K25" s="180">
        <f t="shared" si="0"/>
        <v>0</v>
      </c>
      <c r="L25" s="180">
        <f t="shared" si="1"/>
        <v>0</v>
      </c>
      <c r="M25" s="180">
        <v>524.6</v>
      </c>
      <c r="N25" s="180">
        <f>+M25*1000/(25.4*20*15*60)*T25</f>
        <v>3.4422572178477688</v>
      </c>
      <c r="O25" s="180"/>
      <c r="P25" s="180">
        <f t="shared" si="2"/>
        <v>0</v>
      </c>
      <c r="Q25" s="180"/>
      <c r="R25" s="19">
        <f t="shared" si="3"/>
        <v>0</v>
      </c>
      <c r="S25" s="180">
        <f t="shared" si="4"/>
        <v>0</v>
      </c>
      <c r="T25" s="20">
        <v>3</v>
      </c>
      <c r="U25" s="20"/>
      <c r="V25" s="179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s="2" customFormat="1" ht="21.95" hidden="1" customHeight="1">
      <c r="A26" s="178">
        <v>300012</v>
      </c>
      <c r="B26" s="177" t="s">
        <v>43</v>
      </c>
      <c r="C26" s="248" t="s">
        <v>51</v>
      </c>
      <c r="D26" s="248"/>
      <c r="E26" s="182" t="s">
        <v>41</v>
      </c>
      <c r="F26" s="27"/>
      <c r="G26" s="133"/>
      <c r="H26" s="133"/>
      <c r="I26" s="133"/>
      <c r="J26" s="133"/>
      <c r="K26" s="180">
        <f t="shared" si="0"/>
        <v>0</v>
      </c>
      <c r="L26" s="180">
        <f t="shared" si="1"/>
        <v>0</v>
      </c>
      <c r="M26" s="180">
        <v>524.6</v>
      </c>
      <c r="N26" s="180">
        <f>+M26*1000/(25.4*20*15*60)*T26</f>
        <v>3.4422572178477688</v>
      </c>
      <c r="O26" s="180"/>
      <c r="P26" s="180">
        <f t="shared" si="2"/>
        <v>0</v>
      </c>
      <c r="Q26" s="180"/>
      <c r="R26" s="19">
        <f t="shared" si="3"/>
        <v>0</v>
      </c>
      <c r="S26" s="180">
        <f t="shared" si="4"/>
        <v>0</v>
      </c>
      <c r="T26" s="20">
        <v>3</v>
      </c>
      <c r="U26" s="20"/>
      <c r="V26" s="179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s="2" customFormat="1" ht="21.95" hidden="1" customHeight="1">
      <c r="A27" s="178">
        <v>300013</v>
      </c>
      <c r="B27" s="177" t="s">
        <v>43</v>
      </c>
      <c r="C27" s="248" t="s">
        <v>51</v>
      </c>
      <c r="D27" s="248"/>
      <c r="E27" s="182" t="s">
        <v>42</v>
      </c>
      <c r="F27" s="27"/>
      <c r="G27" s="133"/>
      <c r="H27" s="133"/>
      <c r="I27" s="133"/>
      <c r="J27" s="133"/>
      <c r="K27" s="180">
        <f t="shared" si="0"/>
        <v>0</v>
      </c>
      <c r="L27" s="180">
        <f t="shared" si="1"/>
        <v>0</v>
      </c>
      <c r="M27" s="180">
        <v>524.6</v>
      </c>
      <c r="N27" s="180">
        <f>+M27*1000/(25.4*20*15*60)*T27</f>
        <v>3.4422572178477688</v>
      </c>
      <c r="O27" s="180"/>
      <c r="P27" s="180">
        <f t="shared" si="2"/>
        <v>0</v>
      </c>
      <c r="Q27" s="180"/>
      <c r="R27" s="19">
        <f t="shared" si="3"/>
        <v>0</v>
      </c>
      <c r="S27" s="180">
        <f t="shared" si="4"/>
        <v>0</v>
      </c>
      <c r="T27" s="20">
        <v>3</v>
      </c>
      <c r="U27" s="20"/>
      <c r="V27" s="179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s="2" customFormat="1" ht="21" hidden="1" customHeight="1">
      <c r="A28" s="178">
        <v>300016</v>
      </c>
      <c r="B28" s="177" t="s">
        <v>43</v>
      </c>
      <c r="C28" s="248" t="s">
        <v>51</v>
      </c>
      <c r="D28" s="248"/>
      <c r="E28" s="182" t="s">
        <v>38</v>
      </c>
      <c r="F28" s="27"/>
      <c r="G28" s="133"/>
      <c r="H28" s="133"/>
      <c r="I28" s="133"/>
      <c r="J28" s="133"/>
      <c r="K28" s="180">
        <f t="shared" si="0"/>
        <v>0</v>
      </c>
      <c r="L28" s="180">
        <f t="shared" si="1"/>
        <v>0</v>
      </c>
      <c r="M28" s="180">
        <v>524.6</v>
      </c>
      <c r="N28" s="180">
        <f>+M28*1000/(25.4*20*15*60)*T28</f>
        <v>3.4422572178477688</v>
      </c>
      <c r="O28" s="180"/>
      <c r="P28" s="180">
        <f t="shared" si="2"/>
        <v>0</v>
      </c>
      <c r="Q28" s="180"/>
      <c r="R28" s="19">
        <f t="shared" si="3"/>
        <v>0</v>
      </c>
      <c r="S28" s="180">
        <f t="shared" si="4"/>
        <v>0</v>
      </c>
      <c r="T28" s="20">
        <v>3</v>
      </c>
      <c r="U28" s="20"/>
      <c r="V28" s="179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2" customFormat="1" ht="21" hidden="1" customHeight="1">
      <c r="A29" s="178">
        <v>3000435</v>
      </c>
      <c r="B29" s="177" t="s">
        <v>43</v>
      </c>
      <c r="C29" s="248" t="s">
        <v>51</v>
      </c>
      <c r="D29" s="248"/>
      <c r="E29" s="182" t="s">
        <v>309</v>
      </c>
      <c r="F29" s="27"/>
      <c r="G29" s="133"/>
      <c r="H29" s="133"/>
      <c r="I29" s="133"/>
      <c r="J29" s="133"/>
      <c r="K29" s="180">
        <f t="shared" si="0"/>
        <v>0</v>
      </c>
      <c r="L29" s="180">
        <f t="shared" si="1"/>
        <v>0</v>
      </c>
      <c r="M29" s="180">
        <v>524.6</v>
      </c>
      <c r="N29" s="180">
        <f>+M29*1000/(25.4*20*15*60)*T29</f>
        <v>3.4422572178477688</v>
      </c>
      <c r="O29" s="180"/>
      <c r="P29" s="180">
        <f t="shared" si="2"/>
        <v>0</v>
      </c>
      <c r="Q29" s="180"/>
      <c r="R29" s="19">
        <f t="shared" si="3"/>
        <v>0</v>
      </c>
      <c r="S29" s="180">
        <f t="shared" si="4"/>
        <v>0</v>
      </c>
      <c r="T29" s="20">
        <v>3</v>
      </c>
      <c r="U29" s="20"/>
      <c r="V29" s="179"/>
      <c r="W29" s="20"/>
      <c r="X29" s="20"/>
      <c r="Y29" s="20"/>
      <c r="Z29" s="20"/>
      <c r="AA29" s="20"/>
      <c r="AB29" s="20"/>
      <c r="AC29" s="20"/>
    </row>
    <row r="30" spans="1:29" s="2" customFormat="1" ht="21.95" hidden="1" customHeight="1">
      <c r="A30" s="178">
        <v>300276</v>
      </c>
      <c r="B30" s="177" t="s">
        <v>43</v>
      </c>
      <c r="C30" s="248" t="s">
        <v>53</v>
      </c>
      <c r="D30" s="248"/>
      <c r="E30" s="182" t="s">
        <v>41</v>
      </c>
      <c r="F30" s="27"/>
      <c r="G30" s="133"/>
      <c r="H30" s="133"/>
      <c r="I30" s="133"/>
      <c r="J30" s="133"/>
      <c r="K30" s="180">
        <f t="shared" si="0"/>
        <v>0</v>
      </c>
      <c r="L30" s="180">
        <f t="shared" si="1"/>
        <v>0</v>
      </c>
      <c r="M30" s="180">
        <v>266</v>
      </c>
      <c r="N30" s="180">
        <f>+M30*1000/(29.8*10*13*60)*T30</f>
        <v>3.4331440371708828</v>
      </c>
      <c r="O30" s="180"/>
      <c r="P30" s="180">
        <f t="shared" si="2"/>
        <v>0</v>
      </c>
      <c r="Q30" s="180"/>
      <c r="R30" s="19">
        <f t="shared" si="3"/>
        <v>0</v>
      </c>
      <c r="S30" s="180">
        <f t="shared" si="4"/>
        <v>0</v>
      </c>
      <c r="T30" s="20">
        <v>3</v>
      </c>
      <c r="U30" s="20"/>
      <c r="V30" s="179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s="2" customFormat="1" ht="21.95" hidden="1" customHeight="1">
      <c r="A31" s="178">
        <v>300277</v>
      </c>
      <c r="B31" s="177" t="s">
        <v>43</v>
      </c>
      <c r="C31" s="248" t="s">
        <v>53</v>
      </c>
      <c r="D31" s="248"/>
      <c r="E31" s="182" t="s">
        <v>39</v>
      </c>
      <c r="F31" s="27"/>
      <c r="G31" s="133"/>
      <c r="H31" s="133"/>
      <c r="I31" s="133"/>
      <c r="J31" s="133"/>
      <c r="K31" s="180">
        <f t="shared" si="0"/>
        <v>0</v>
      </c>
      <c r="L31" s="180">
        <f t="shared" si="1"/>
        <v>0</v>
      </c>
      <c r="M31" s="180">
        <v>266</v>
      </c>
      <c r="N31" s="180">
        <f>+M31*1000/(29.8*10*13*60)*T31</f>
        <v>3.4331440371708828</v>
      </c>
      <c r="O31" s="180"/>
      <c r="P31" s="180">
        <f t="shared" si="2"/>
        <v>0</v>
      </c>
      <c r="Q31" s="180"/>
      <c r="R31" s="19">
        <f t="shared" si="3"/>
        <v>0</v>
      </c>
      <c r="S31" s="180">
        <f t="shared" si="4"/>
        <v>0</v>
      </c>
      <c r="T31" s="20">
        <v>3</v>
      </c>
      <c r="U31" s="20"/>
      <c r="V31" s="179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s="2" customFormat="1" ht="21.95" hidden="1" customHeight="1">
      <c r="A32" s="178">
        <v>300278</v>
      </c>
      <c r="B32" s="177" t="s">
        <v>43</v>
      </c>
      <c r="C32" s="248" t="s">
        <v>53</v>
      </c>
      <c r="D32" s="248"/>
      <c r="E32" s="182" t="s">
        <v>54</v>
      </c>
      <c r="F32" s="27"/>
      <c r="G32" s="133"/>
      <c r="H32" s="133"/>
      <c r="I32" s="133"/>
      <c r="J32" s="133"/>
      <c r="K32" s="180">
        <f t="shared" si="0"/>
        <v>0</v>
      </c>
      <c r="L32" s="180">
        <f t="shared" si="1"/>
        <v>0</v>
      </c>
      <c r="M32" s="180">
        <v>266</v>
      </c>
      <c r="N32" s="180">
        <f>+M32*1000/(29.8*10*13*60)*T32</f>
        <v>3.4331440371708828</v>
      </c>
      <c r="O32" s="180"/>
      <c r="P32" s="180">
        <f t="shared" si="2"/>
        <v>0</v>
      </c>
      <c r="Q32" s="180"/>
      <c r="R32" s="19">
        <f t="shared" si="3"/>
        <v>0</v>
      </c>
      <c r="S32" s="180">
        <f t="shared" si="4"/>
        <v>0</v>
      </c>
      <c r="T32" s="20">
        <v>3</v>
      </c>
      <c r="U32" s="20"/>
      <c r="V32" s="179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s="2" customFormat="1" ht="21.95" hidden="1" customHeight="1">
      <c r="A33" s="178">
        <v>300027</v>
      </c>
      <c r="B33" s="177" t="s">
        <v>55</v>
      </c>
      <c r="C33" s="248" t="s">
        <v>56</v>
      </c>
      <c r="D33" s="248"/>
      <c r="E33" s="182" t="s">
        <v>54</v>
      </c>
      <c r="F33" s="27"/>
      <c r="G33" s="133"/>
      <c r="H33" s="133"/>
      <c r="I33" s="133"/>
      <c r="J33" s="133"/>
      <c r="K33" s="180">
        <f t="shared" si="0"/>
        <v>0</v>
      </c>
      <c r="L33" s="180">
        <f t="shared" si="1"/>
        <v>0</v>
      </c>
      <c r="M33" s="180">
        <v>550.4</v>
      </c>
      <c r="N33" s="180">
        <f>+M33*1000/(31*20*15*60)*T33</f>
        <v>2.9591397849462364</v>
      </c>
      <c r="O33" s="180"/>
      <c r="P33" s="180">
        <f t="shared" si="2"/>
        <v>0</v>
      </c>
      <c r="Q33" s="180"/>
      <c r="R33" s="19">
        <f t="shared" si="3"/>
        <v>0</v>
      </c>
      <c r="S33" s="180">
        <f t="shared" si="4"/>
        <v>0</v>
      </c>
      <c r="T33" s="20">
        <v>3</v>
      </c>
      <c r="U33" s="20"/>
      <c r="V33" s="179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s="2" customFormat="1" ht="21.95" hidden="1" customHeight="1">
      <c r="A34" s="178">
        <v>300028</v>
      </c>
      <c r="B34" s="177" t="s">
        <v>55</v>
      </c>
      <c r="C34" s="248" t="s">
        <v>56</v>
      </c>
      <c r="D34" s="248"/>
      <c r="E34" s="182" t="s">
        <v>35</v>
      </c>
      <c r="F34" s="27"/>
      <c r="G34" s="133"/>
      <c r="H34" s="133"/>
      <c r="I34" s="133"/>
      <c r="J34" s="133"/>
      <c r="K34" s="180">
        <f t="shared" si="0"/>
        <v>0</v>
      </c>
      <c r="L34" s="180">
        <f t="shared" si="1"/>
        <v>0</v>
      </c>
      <c r="M34" s="180">
        <v>550.4</v>
      </c>
      <c r="N34" s="180">
        <f>+M34*1000/(31*20*15*60)*T34</f>
        <v>2.9591397849462364</v>
      </c>
      <c r="O34" s="180"/>
      <c r="P34" s="180">
        <f t="shared" si="2"/>
        <v>0</v>
      </c>
      <c r="Q34" s="180"/>
      <c r="R34" s="19">
        <f t="shared" si="3"/>
        <v>0</v>
      </c>
      <c r="S34" s="180">
        <f t="shared" si="4"/>
        <v>0</v>
      </c>
      <c r="T34" s="20">
        <v>3</v>
      </c>
      <c r="U34" s="20"/>
      <c r="V34" s="179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s="2" customFormat="1" ht="21.95" hidden="1" customHeight="1">
      <c r="A35" s="178">
        <v>300029</v>
      </c>
      <c r="B35" s="177" t="s">
        <v>55</v>
      </c>
      <c r="C35" s="248" t="s">
        <v>56</v>
      </c>
      <c r="D35" s="248"/>
      <c r="E35" s="182" t="s">
        <v>57</v>
      </c>
      <c r="F35" s="27"/>
      <c r="G35" s="133"/>
      <c r="H35" s="133"/>
      <c r="I35" s="133"/>
      <c r="J35" s="133"/>
      <c r="K35" s="180">
        <f t="shared" si="0"/>
        <v>0</v>
      </c>
      <c r="L35" s="180">
        <f t="shared" si="1"/>
        <v>0</v>
      </c>
      <c r="M35" s="180">
        <v>550.4</v>
      </c>
      <c r="N35" s="180">
        <f>+M35*1000/(31*20*15*60)*T35</f>
        <v>2.9591397849462364</v>
      </c>
      <c r="O35" s="180"/>
      <c r="P35" s="180">
        <f t="shared" si="2"/>
        <v>0</v>
      </c>
      <c r="Q35" s="180"/>
      <c r="R35" s="19">
        <f t="shared" si="3"/>
        <v>0</v>
      </c>
      <c r="S35" s="180">
        <f t="shared" si="4"/>
        <v>0</v>
      </c>
      <c r="T35" s="20">
        <v>3</v>
      </c>
      <c r="U35" s="20"/>
      <c r="V35" s="179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s="2" customFormat="1" ht="21.95" hidden="1" customHeight="1">
      <c r="A36" s="178">
        <v>300026</v>
      </c>
      <c r="B36" s="177" t="s">
        <v>55</v>
      </c>
      <c r="C36" s="248" t="s">
        <v>56</v>
      </c>
      <c r="D36" s="248"/>
      <c r="E36" s="182" t="s">
        <v>37</v>
      </c>
      <c r="F36" s="27"/>
      <c r="G36" s="133"/>
      <c r="H36" s="133"/>
      <c r="I36" s="133"/>
      <c r="J36" s="133"/>
      <c r="K36" s="180">
        <f t="shared" si="0"/>
        <v>0</v>
      </c>
      <c r="L36" s="180">
        <f t="shared" si="1"/>
        <v>0</v>
      </c>
      <c r="M36" s="180">
        <v>550.4</v>
      </c>
      <c r="N36" s="180">
        <f>+M36*1000/(31*20*15*60)*T36</f>
        <v>2.9591397849462364</v>
      </c>
      <c r="O36" s="180"/>
      <c r="P36" s="180">
        <f t="shared" si="2"/>
        <v>0</v>
      </c>
      <c r="Q36" s="180"/>
      <c r="R36" s="19">
        <f t="shared" si="3"/>
        <v>0</v>
      </c>
      <c r="S36" s="180">
        <f t="shared" si="4"/>
        <v>0</v>
      </c>
      <c r="T36" s="20">
        <v>3</v>
      </c>
      <c r="U36" s="20"/>
      <c r="V36" s="179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s="2" customFormat="1" ht="21.95" hidden="1" customHeight="1">
      <c r="A37" s="178">
        <v>300032</v>
      </c>
      <c r="B37" s="177">
        <v>3002</v>
      </c>
      <c r="C37" s="248" t="s">
        <v>58</v>
      </c>
      <c r="D37" s="248" t="s">
        <v>59</v>
      </c>
      <c r="E37" s="182" t="s">
        <v>35</v>
      </c>
      <c r="F37" s="27"/>
      <c r="G37" s="133"/>
      <c r="H37" s="133"/>
      <c r="I37" s="133"/>
      <c r="J37" s="133"/>
      <c r="K37" s="180">
        <f t="shared" si="0"/>
        <v>0</v>
      </c>
      <c r="L37" s="180">
        <f t="shared" si="1"/>
        <v>0</v>
      </c>
      <c r="M37" s="180">
        <v>285.7</v>
      </c>
      <c r="N37" s="180">
        <f>+M37*1000/(31*10*13*60)*T37</f>
        <v>7.0893300248138953</v>
      </c>
      <c r="O37" s="180"/>
      <c r="P37" s="180">
        <f t="shared" si="2"/>
        <v>0</v>
      </c>
      <c r="Q37" s="180"/>
      <c r="R37" s="19">
        <f t="shared" si="3"/>
        <v>0</v>
      </c>
      <c r="S37" s="180">
        <f t="shared" si="4"/>
        <v>0</v>
      </c>
      <c r="T37" s="20">
        <v>6</v>
      </c>
      <c r="U37" s="20"/>
      <c r="V37" s="179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s="2" customFormat="1" ht="21.95" hidden="1" customHeight="1">
      <c r="A38" s="178">
        <v>300413</v>
      </c>
      <c r="B38" s="177">
        <v>3002</v>
      </c>
      <c r="C38" s="259" t="s">
        <v>304</v>
      </c>
      <c r="D38" s="260"/>
      <c r="E38" s="182" t="s">
        <v>302</v>
      </c>
      <c r="F38" s="27"/>
      <c r="G38" s="133"/>
      <c r="H38" s="133"/>
      <c r="I38" s="133"/>
      <c r="J38" s="133"/>
      <c r="K38" s="180">
        <f t="shared" si="0"/>
        <v>0</v>
      </c>
      <c r="L38" s="180">
        <f t="shared" si="1"/>
        <v>0</v>
      </c>
      <c r="M38" s="180">
        <v>528.79999999999995</v>
      </c>
      <c r="N38" s="180">
        <f>+M38*1000/(31*10*13*60)*T38</f>
        <v>6.5607940446650126</v>
      </c>
      <c r="O38" s="180"/>
      <c r="P38" s="180">
        <f t="shared" si="2"/>
        <v>0</v>
      </c>
      <c r="Q38" s="180"/>
      <c r="R38" s="19">
        <f t="shared" si="3"/>
        <v>0</v>
      </c>
      <c r="S38" s="180">
        <f t="shared" si="4"/>
        <v>0</v>
      </c>
      <c r="T38" s="20">
        <v>3</v>
      </c>
      <c r="U38" s="20"/>
      <c r="V38" s="179"/>
      <c r="W38" s="20"/>
      <c r="X38" s="20"/>
      <c r="Y38" s="20"/>
      <c r="Z38" s="20"/>
      <c r="AA38" s="20"/>
      <c r="AB38" s="20"/>
      <c r="AC38" s="20"/>
    </row>
    <row r="39" spans="1:29" s="2" customFormat="1" ht="21.95" hidden="1" customHeight="1">
      <c r="A39" s="178">
        <v>300414</v>
      </c>
      <c r="B39" s="177">
        <v>3002</v>
      </c>
      <c r="C39" s="259" t="s">
        <v>304</v>
      </c>
      <c r="D39" s="260"/>
      <c r="E39" s="182" t="s">
        <v>311</v>
      </c>
      <c r="F39" s="27"/>
      <c r="G39" s="133"/>
      <c r="H39" s="133"/>
      <c r="I39" s="133"/>
      <c r="J39" s="133"/>
      <c r="K39" s="180">
        <f t="shared" si="0"/>
        <v>0</v>
      </c>
      <c r="L39" s="180">
        <f t="shared" si="1"/>
        <v>0</v>
      </c>
      <c r="M39" s="180">
        <v>528.79999999999995</v>
      </c>
      <c r="N39" s="180">
        <f>+M39*1000/(31*10*13*60)*T39</f>
        <v>6.5607940446650126</v>
      </c>
      <c r="O39" s="180"/>
      <c r="P39" s="180">
        <f t="shared" si="2"/>
        <v>0</v>
      </c>
      <c r="Q39" s="180"/>
      <c r="R39" s="19">
        <f t="shared" si="3"/>
        <v>0</v>
      </c>
      <c r="S39" s="180">
        <f t="shared" si="4"/>
        <v>0</v>
      </c>
      <c r="T39" s="20">
        <v>3</v>
      </c>
      <c r="U39" s="20"/>
      <c r="V39" s="179"/>
      <c r="W39" s="20"/>
      <c r="X39" s="20"/>
      <c r="Y39" s="20"/>
      <c r="Z39" s="20"/>
      <c r="AA39" s="20"/>
      <c r="AB39" s="20"/>
      <c r="AC39" s="20"/>
    </row>
    <row r="40" spans="1:29" s="2" customFormat="1" ht="21.95" hidden="1" customHeight="1">
      <c r="A40" s="178">
        <v>300415</v>
      </c>
      <c r="B40" s="177">
        <v>3002</v>
      </c>
      <c r="C40" s="259" t="s">
        <v>304</v>
      </c>
      <c r="D40" s="260"/>
      <c r="E40" s="182" t="s">
        <v>303</v>
      </c>
      <c r="F40" s="27"/>
      <c r="G40" s="133"/>
      <c r="H40" s="133"/>
      <c r="I40" s="133"/>
      <c r="J40" s="133"/>
      <c r="K40" s="180">
        <f t="shared" si="0"/>
        <v>0</v>
      </c>
      <c r="L40" s="180">
        <f t="shared" si="1"/>
        <v>0</v>
      </c>
      <c r="M40" s="180">
        <v>528.79999999999995</v>
      </c>
      <c r="N40" s="180">
        <f>+M40*1000/(31*10*13*60)*T40</f>
        <v>6.5607940446650126</v>
      </c>
      <c r="O40" s="180"/>
      <c r="P40" s="180">
        <f t="shared" si="2"/>
        <v>0</v>
      </c>
      <c r="Q40" s="180"/>
      <c r="R40" s="19">
        <f t="shared" si="3"/>
        <v>0</v>
      </c>
      <c r="S40" s="180">
        <f t="shared" si="4"/>
        <v>0</v>
      </c>
      <c r="T40" s="20">
        <v>3</v>
      </c>
      <c r="U40" s="20"/>
      <c r="V40" s="179"/>
      <c r="W40" s="20"/>
      <c r="X40" s="20"/>
      <c r="Y40" s="20"/>
      <c r="Z40" s="20"/>
      <c r="AA40" s="20"/>
      <c r="AB40" s="20"/>
      <c r="AC40" s="20"/>
    </row>
    <row r="41" spans="1:29" s="2" customFormat="1" ht="21.95" hidden="1" customHeight="1">
      <c r="A41" s="178">
        <v>300035</v>
      </c>
      <c r="B41" s="177" t="s">
        <v>60</v>
      </c>
      <c r="C41" s="248" t="s">
        <v>61</v>
      </c>
      <c r="D41" s="248" t="s">
        <v>62</v>
      </c>
      <c r="E41" s="182" t="s">
        <v>35</v>
      </c>
      <c r="F41" s="27"/>
      <c r="G41" s="133"/>
      <c r="H41" s="133"/>
      <c r="I41" s="133"/>
      <c r="J41" s="133"/>
      <c r="K41" s="180">
        <f t="shared" si="0"/>
        <v>0</v>
      </c>
      <c r="L41" s="180">
        <f t="shared" si="1"/>
        <v>0</v>
      </c>
      <c r="M41" s="180">
        <v>366.93</v>
      </c>
      <c r="N41" s="180">
        <f>+M41*1000/(35.8*10*13*60)*T41</f>
        <v>2.6280618822518265</v>
      </c>
      <c r="O41" s="180"/>
      <c r="P41" s="180">
        <f t="shared" si="2"/>
        <v>0</v>
      </c>
      <c r="Q41" s="180"/>
      <c r="R41" s="19">
        <f t="shared" si="3"/>
        <v>0</v>
      </c>
      <c r="S41" s="180">
        <f t="shared" si="4"/>
        <v>0</v>
      </c>
      <c r="T41" s="20">
        <v>2</v>
      </c>
      <c r="U41" s="20"/>
      <c r="V41" s="179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s="2" customFormat="1" ht="21.95" hidden="1" customHeight="1">
      <c r="A42" s="178">
        <v>300036</v>
      </c>
      <c r="B42" s="177" t="s">
        <v>60</v>
      </c>
      <c r="C42" s="248" t="s">
        <v>61</v>
      </c>
      <c r="D42" s="248" t="s">
        <v>62</v>
      </c>
      <c r="E42" s="182" t="s">
        <v>63</v>
      </c>
      <c r="F42" s="27"/>
      <c r="G42" s="133"/>
      <c r="H42" s="133"/>
      <c r="I42" s="133"/>
      <c r="J42" s="133"/>
      <c r="K42" s="180">
        <f t="shared" si="0"/>
        <v>0</v>
      </c>
      <c r="L42" s="180">
        <f t="shared" si="1"/>
        <v>0</v>
      </c>
      <c r="M42" s="180">
        <v>366.93</v>
      </c>
      <c r="N42" s="180">
        <f>+M42*1000/(35.8*10*13*60)*T42</f>
        <v>2.6280618822518265</v>
      </c>
      <c r="O42" s="180"/>
      <c r="P42" s="180">
        <f t="shared" si="2"/>
        <v>0</v>
      </c>
      <c r="Q42" s="180"/>
      <c r="R42" s="19">
        <f t="shared" si="3"/>
        <v>0</v>
      </c>
      <c r="S42" s="180">
        <f t="shared" si="4"/>
        <v>0</v>
      </c>
      <c r="T42" s="20">
        <v>2</v>
      </c>
      <c r="U42" s="20"/>
      <c r="V42" s="179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s="2" customFormat="1" ht="21.95" hidden="1" customHeight="1">
      <c r="A43" s="178">
        <v>300037</v>
      </c>
      <c r="B43" s="177" t="s">
        <v>60</v>
      </c>
      <c r="C43" s="248" t="s">
        <v>61</v>
      </c>
      <c r="D43" s="248" t="s">
        <v>62</v>
      </c>
      <c r="E43" s="182" t="s">
        <v>37</v>
      </c>
      <c r="F43" s="27"/>
      <c r="G43" s="133"/>
      <c r="H43" s="133"/>
      <c r="I43" s="133"/>
      <c r="J43" s="133"/>
      <c r="K43" s="180">
        <f t="shared" si="0"/>
        <v>0</v>
      </c>
      <c r="L43" s="180">
        <f t="shared" si="1"/>
        <v>0</v>
      </c>
      <c r="M43" s="180">
        <v>366.93</v>
      </c>
      <c r="N43" s="180">
        <f>+M43*1000/(35.8*10*13*60)*T43</f>
        <v>2.6280618822518265</v>
      </c>
      <c r="O43" s="180"/>
      <c r="P43" s="180">
        <f t="shared" si="2"/>
        <v>0</v>
      </c>
      <c r="Q43" s="180"/>
      <c r="R43" s="19">
        <f t="shared" si="3"/>
        <v>0</v>
      </c>
      <c r="S43" s="180">
        <f t="shared" si="4"/>
        <v>0</v>
      </c>
      <c r="T43" s="20">
        <v>2</v>
      </c>
      <c r="U43" s="20"/>
      <c r="V43" s="179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s="2" customFormat="1" ht="21.95" hidden="1" customHeight="1">
      <c r="A44" s="178">
        <v>300038</v>
      </c>
      <c r="B44" s="177" t="s">
        <v>60</v>
      </c>
      <c r="C44" s="248" t="s">
        <v>64</v>
      </c>
      <c r="D44" s="248" t="s">
        <v>65</v>
      </c>
      <c r="E44" s="182" t="s">
        <v>35</v>
      </c>
      <c r="F44" s="27"/>
      <c r="G44" s="133"/>
      <c r="H44" s="133"/>
      <c r="I44" s="133"/>
      <c r="J44" s="133"/>
      <c r="K44" s="180">
        <f t="shared" si="0"/>
        <v>0</v>
      </c>
      <c r="L44" s="180">
        <f t="shared" si="1"/>
        <v>0</v>
      </c>
      <c r="M44" s="180">
        <v>301.14</v>
      </c>
      <c r="N44" s="180">
        <f>+M44*1000/(35.8*10*13*60)*T44</f>
        <v>5.3921357971637294</v>
      </c>
      <c r="O44" s="180"/>
      <c r="P44" s="180">
        <f t="shared" si="2"/>
        <v>0</v>
      </c>
      <c r="Q44" s="180"/>
      <c r="R44" s="19">
        <f t="shared" si="3"/>
        <v>0</v>
      </c>
      <c r="S44" s="180">
        <f t="shared" si="4"/>
        <v>0</v>
      </c>
      <c r="T44" s="20">
        <v>5</v>
      </c>
      <c r="U44" s="20"/>
      <c r="V44" s="179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s="2" customFormat="1" ht="21.95" hidden="1" customHeight="1">
      <c r="A45" s="178">
        <v>300039</v>
      </c>
      <c r="B45" s="177" t="s">
        <v>60</v>
      </c>
      <c r="C45" s="248" t="s">
        <v>64</v>
      </c>
      <c r="D45" s="248" t="s">
        <v>65</v>
      </c>
      <c r="E45" s="182" t="s">
        <v>66</v>
      </c>
      <c r="F45" s="27"/>
      <c r="G45" s="133"/>
      <c r="H45" s="133"/>
      <c r="I45" s="133"/>
      <c r="J45" s="133"/>
      <c r="K45" s="180">
        <f t="shared" si="0"/>
        <v>0</v>
      </c>
      <c r="L45" s="180">
        <f t="shared" si="1"/>
        <v>0</v>
      </c>
      <c r="M45" s="180">
        <v>310.39999999999998</v>
      </c>
      <c r="N45" s="180">
        <f>+M45*1000/(35.8*10*13*60)*T45</f>
        <v>5.557942988110586</v>
      </c>
      <c r="O45" s="180"/>
      <c r="P45" s="180">
        <f t="shared" si="2"/>
        <v>0</v>
      </c>
      <c r="Q45" s="180"/>
      <c r="R45" s="19">
        <f t="shared" si="3"/>
        <v>0</v>
      </c>
      <c r="S45" s="180">
        <f t="shared" si="4"/>
        <v>0</v>
      </c>
      <c r="T45" s="20">
        <v>5</v>
      </c>
      <c r="U45" s="20"/>
      <c r="V45" s="179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78">
        <v>300416</v>
      </c>
      <c r="B46" s="177" t="s">
        <v>67</v>
      </c>
      <c r="C46" s="259" t="s">
        <v>68</v>
      </c>
      <c r="D46" s="260"/>
      <c r="E46" s="182" t="s">
        <v>69</v>
      </c>
      <c r="F46" s="181"/>
      <c r="G46" s="133"/>
      <c r="H46" s="133"/>
      <c r="I46" s="133"/>
      <c r="J46" s="133"/>
      <c r="K46" s="180">
        <f t="shared" si="0"/>
        <v>0</v>
      </c>
      <c r="L46" s="180">
        <f t="shared" si="1"/>
        <v>0</v>
      </c>
      <c r="M46" s="180">
        <v>385.6</v>
      </c>
      <c r="N46" s="180">
        <f>+M46*1000/(25.4*20*15*60)*T46</f>
        <v>2.5301837270341205</v>
      </c>
      <c r="O46" s="180"/>
      <c r="P46" s="180">
        <f t="shared" si="2"/>
        <v>0</v>
      </c>
      <c r="Q46" s="180"/>
      <c r="R46" s="19">
        <f t="shared" si="3"/>
        <v>0</v>
      </c>
      <c r="S46" s="180">
        <f t="shared" si="4"/>
        <v>0</v>
      </c>
      <c r="T46" s="20">
        <v>3</v>
      </c>
      <c r="U46" s="20"/>
      <c r="V46" s="179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78">
        <v>300417</v>
      </c>
      <c r="B47" s="177" t="s">
        <v>67</v>
      </c>
      <c r="C47" s="259" t="s">
        <v>68</v>
      </c>
      <c r="D47" s="260"/>
      <c r="E47" s="182" t="s">
        <v>70</v>
      </c>
      <c r="F47" s="181"/>
      <c r="G47" s="133"/>
      <c r="H47" s="133"/>
      <c r="I47" s="133"/>
      <c r="J47" s="133"/>
      <c r="K47" s="180">
        <f t="shared" si="0"/>
        <v>0</v>
      </c>
      <c r="L47" s="180">
        <f t="shared" si="1"/>
        <v>0</v>
      </c>
      <c r="M47" s="180">
        <v>385.6</v>
      </c>
      <c r="N47" s="180">
        <f>+M47*1000/(25.4*20*15*60)*T47</f>
        <v>2.5301837270341205</v>
      </c>
      <c r="O47" s="180"/>
      <c r="P47" s="180">
        <f t="shared" si="2"/>
        <v>0</v>
      </c>
      <c r="Q47" s="180"/>
      <c r="R47" s="19">
        <f t="shared" si="3"/>
        <v>0</v>
      </c>
      <c r="S47" s="180">
        <f t="shared" si="4"/>
        <v>0</v>
      </c>
      <c r="T47" s="20">
        <v>3</v>
      </c>
      <c r="U47" s="20"/>
      <c r="V47" s="179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78">
        <v>300418</v>
      </c>
      <c r="B48" s="177" t="s">
        <v>67</v>
      </c>
      <c r="C48" s="259" t="s">
        <v>68</v>
      </c>
      <c r="D48" s="260"/>
      <c r="E48" s="182" t="s">
        <v>71</v>
      </c>
      <c r="F48" s="181"/>
      <c r="G48" s="133"/>
      <c r="H48" s="133"/>
      <c r="I48" s="133"/>
      <c r="J48" s="133"/>
      <c r="K48" s="180">
        <f t="shared" si="0"/>
        <v>0</v>
      </c>
      <c r="L48" s="180">
        <f t="shared" si="1"/>
        <v>0</v>
      </c>
      <c r="M48" s="180">
        <v>385.6</v>
      </c>
      <c r="N48" s="180">
        <f>+M48*1000/(25.4*20*15*60)*T48</f>
        <v>2.5301837270341205</v>
      </c>
      <c r="O48" s="180"/>
      <c r="P48" s="180">
        <f t="shared" si="2"/>
        <v>0</v>
      </c>
      <c r="Q48" s="180"/>
      <c r="R48" s="19">
        <f t="shared" si="3"/>
        <v>0</v>
      </c>
      <c r="S48" s="180">
        <f t="shared" si="4"/>
        <v>0</v>
      </c>
      <c r="T48" s="20">
        <v>3</v>
      </c>
      <c r="U48" s="20"/>
      <c r="V48" s="179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78">
        <v>300419</v>
      </c>
      <c r="B49" s="177" t="s">
        <v>67</v>
      </c>
      <c r="C49" s="259" t="s">
        <v>68</v>
      </c>
      <c r="D49" s="260"/>
      <c r="E49" s="182" t="s">
        <v>72</v>
      </c>
      <c r="F49" s="181"/>
      <c r="G49" s="133"/>
      <c r="H49" s="133"/>
      <c r="I49" s="133"/>
      <c r="J49" s="133"/>
      <c r="K49" s="180">
        <f t="shared" si="0"/>
        <v>0</v>
      </c>
      <c r="L49" s="180">
        <f t="shared" si="1"/>
        <v>0</v>
      </c>
      <c r="M49" s="180">
        <v>385.6</v>
      </c>
      <c r="N49" s="180">
        <f>+M49*1000/(25.4*20*15*60)*T49</f>
        <v>2.5301837270341205</v>
      </c>
      <c r="O49" s="180"/>
      <c r="P49" s="180">
        <f t="shared" si="2"/>
        <v>0</v>
      </c>
      <c r="Q49" s="180"/>
      <c r="R49" s="19">
        <f t="shared" si="3"/>
        <v>0</v>
      </c>
      <c r="S49" s="180">
        <f t="shared" si="4"/>
        <v>0</v>
      </c>
      <c r="T49" s="20">
        <v>3</v>
      </c>
      <c r="U49" s="20"/>
      <c r="V49" s="179"/>
      <c r="W49" s="20"/>
      <c r="X49" s="20"/>
      <c r="Y49" s="20"/>
      <c r="Z49" s="20"/>
      <c r="AA49" s="20"/>
      <c r="AB49" s="20"/>
      <c r="AC49" s="20"/>
    </row>
    <row r="50" spans="1:29" s="2" customFormat="1" ht="21.95" hidden="1" customHeight="1">
      <c r="A50" s="178">
        <v>300260</v>
      </c>
      <c r="B50" s="177" t="s">
        <v>67</v>
      </c>
      <c r="C50" s="248" t="s">
        <v>73</v>
      </c>
      <c r="D50" s="248"/>
      <c r="E50" s="182" t="s">
        <v>74</v>
      </c>
      <c r="F50" s="27"/>
      <c r="G50" s="133"/>
      <c r="H50" s="133"/>
      <c r="I50" s="133"/>
      <c r="J50" s="133"/>
      <c r="K50" s="180">
        <f t="shared" si="0"/>
        <v>0</v>
      </c>
      <c r="L50" s="180">
        <f t="shared" si="1"/>
        <v>0</v>
      </c>
      <c r="M50" s="180">
        <v>434.33</v>
      </c>
      <c r="N50" s="180">
        <f>+M50*1000/(42.7*10*15*60)*T50</f>
        <v>2.2603695029924538</v>
      </c>
      <c r="O50" s="180"/>
      <c r="P50" s="180">
        <f t="shared" si="2"/>
        <v>0</v>
      </c>
      <c r="Q50" s="180"/>
      <c r="R50" s="19">
        <f t="shared" si="3"/>
        <v>0</v>
      </c>
      <c r="S50" s="180">
        <f t="shared" si="4"/>
        <v>0</v>
      </c>
      <c r="T50" s="20">
        <v>2</v>
      </c>
      <c r="U50" s="20"/>
      <c r="V50" s="179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s="2" customFormat="1" ht="21.95" hidden="1" customHeight="1">
      <c r="A51" s="178">
        <v>300261</v>
      </c>
      <c r="B51" s="177" t="s">
        <v>67</v>
      </c>
      <c r="C51" s="248" t="s">
        <v>73</v>
      </c>
      <c r="D51" s="248"/>
      <c r="E51" s="182" t="s">
        <v>41</v>
      </c>
      <c r="F51" s="27"/>
      <c r="G51" s="133"/>
      <c r="H51" s="133"/>
      <c r="I51" s="133"/>
      <c r="J51" s="133"/>
      <c r="K51" s="180">
        <f t="shared" si="0"/>
        <v>0</v>
      </c>
      <c r="L51" s="180">
        <f t="shared" si="1"/>
        <v>0</v>
      </c>
      <c r="M51" s="180">
        <v>434.33</v>
      </c>
      <c r="N51" s="180">
        <f>+M51*1000/(42.7*10*15*60)*T51</f>
        <v>2.2603695029924538</v>
      </c>
      <c r="O51" s="180"/>
      <c r="P51" s="180">
        <f t="shared" si="2"/>
        <v>0</v>
      </c>
      <c r="Q51" s="180"/>
      <c r="R51" s="19">
        <f t="shared" si="3"/>
        <v>0</v>
      </c>
      <c r="S51" s="180">
        <f t="shared" si="4"/>
        <v>0</v>
      </c>
      <c r="T51" s="20">
        <v>2</v>
      </c>
      <c r="U51" s="20"/>
      <c r="V51" s="179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s="2" customFormat="1" ht="21.95" hidden="1" customHeight="1">
      <c r="A52" s="178">
        <v>300262</v>
      </c>
      <c r="B52" s="177" t="s">
        <v>67</v>
      </c>
      <c r="C52" s="248" t="s">
        <v>73</v>
      </c>
      <c r="D52" s="248"/>
      <c r="E52" s="182" t="s">
        <v>39</v>
      </c>
      <c r="F52" s="27"/>
      <c r="G52" s="133"/>
      <c r="H52" s="133"/>
      <c r="I52" s="133"/>
      <c r="J52" s="133"/>
      <c r="K52" s="180">
        <f t="shared" si="0"/>
        <v>0</v>
      </c>
      <c r="L52" s="180">
        <f t="shared" si="1"/>
        <v>0</v>
      </c>
      <c r="M52" s="180">
        <v>434.33</v>
      </c>
      <c r="N52" s="180">
        <f>+M52*1000/(42.7*10*15*60)*T52</f>
        <v>2.2603695029924538</v>
      </c>
      <c r="O52" s="180"/>
      <c r="P52" s="180">
        <f t="shared" si="2"/>
        <v>0</v>
      </c>
      <c r="Q52" s="180"/>
      <c r="R52" s="19">
        <f t="shared" si="3"/>
        <v>0</v>
      </c>
      <c r="S52" s="180">
        <f t="shared" si="4"/>
        <v>0</v>
      </c>
      <c r="T52" s="20">
        <v>2</v>
      </c>
      <c r="U52" s="20"/>
      <c r="V52" s="179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s="2" customFormat="1" ht="21.95" hidden="1" customHeight="1">
      <c r="A53" s="178">
        <v>300263</v>
      </c>
      <c r="B53" s="177" t="s">
        <v>67</v>
      </c>
      <c r="C53" s="248" t="s">
        <v>73</v>
      </c>
      <c r="D53" s="248"/>
      <c r="E53" s="182" t="s">
        <v>54</v>
      </c>
      <c r="F53" s="27"/>
      <c r="G53" s="133"/>
      <c r="H53" s="133"/>
      <c r="I53" s="133"/>
      <c r="J53" s="133"/>
      <c r="K53" s="180">
        <f t="shared" si="0"/>
        <v>0</v>
      </c>
      <c r="L53" s="180">
        <f t="shared" si="1"/>
        <v>0</v>
      </c>
      <c r="M53" s="180">
        <v>434.33</v>
      </c>
      <c r="N53" s="180">
        <f>+M53*1000/(42.7*10*15*60)*T53</f>
        <v>2.2603695029924538</v>
      </c>
      <c r="O53" s="180"/>
      <c r="P53" s="180">
        <f t="shared" si="2"/>
        <v>0</v>
      </c>
      <c r="Q53" s="180"/>
      <c r="R53" s="19">
        <f t="shared" si="3"/>
        <v>0</v>
      </c>
      <c r="S53" s="180">
        <f t="shared" si="4"/>
        <v>0</v>
      </c>
      <c r="T53" s="20">
        <v>2</v>
      </c>
      <c r="U53" s="20"/>
      <c r="V53" s="179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s="2" customFormat="1" ht="21.95" hidden="1" customHeight="1">
      <c r="A54" s="178">
        <v>300051</v>
      </c>
      <c r="B54" s="177" t="s">
        <v>67</v>
      </c>
      <c r="C54" s="248" t="s">
        <v>75</v>
      </c>
      <c r="D54" s="248" t="s">
        <v>76</v>
      </c>
      <c r="E54" s="182" t="s">
        <v>40</v>
      </c>
      <c r="F54" s="27"/>
      <c r="G54" s="133"/>
      <c r="H54" s="133"/>
      <c r="I54" s="133"/>
      <c r="J54" s="133"/>
      <c r="K54" s="180">
        <f t="shared" si="0"/>
        <v>0</v>
      </c>
      <c r="L54" s="180">
        <f t="shared" si="1"/>
        <v>0</v>
      </c>
      <c r="M54" s="180">
        <v>545.9</v>
      </c>
      <c r="N54" s="180">
        <f>+M54*1000/(41.5*10*16*60)*T54</f>
        <v>2.7404618473895583</v>
      </c>
      <c r="O54" s="180"/>
      <c r="P54" s="180">
        <f t="shared" si="2"/>
        <v>0</v>
      </c>
      <c r="Q54" s="180"/>
      <c r="R54" s="19">
        <f t="shared" si="3"/>
        <v>0</v>
      </c>
      <c r="S54" s="180">
        <f t="shared" si="4"/>
        <v>0</v>
      </c>
      <c r="T54" s="22">
        <v>2</v>
      </c>
      <c r="U54" s="20"/>
      <c r="V54" s="179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s="2" customFormat="1" ht="21.95" hidden="1" customHeight="1">
      <c r="A55" s="178">
        <v>300052</v>
      </c>
      <c r="B55" s="177" t="s">
        <v>67</v>
      </c>
      <c r="C55" s="248" t="s">
        <v>75</v>
      </c>
      <c r="D55" s="248" t="s">
        <v>76</v>
      </c>
      <c r="E55" s="182" t="s">
        <v>39</v>
      </c>
      <c r="F55" s="27"/>
      <c r="G55" s="133"/>
      <c r="H55" s="133"/>
      <c r="I55" s="133"/>
      <c r="J55" s="133"/>
      <c r="K55" s="180">
        <f t="shared" si="0"/>
        <v>0</v>
      </c>
      <c r="L55" s="180">
        <f t="shared" si="1"/>
        <v>0</v>
      </c>
      <c r="M55" s="180">
        <v>545.9</v>
      </c>
      <c r="N55" s="180">
        <f>+M55*1000/(41.5*10*16*60)*T55</f>
        <v>2.7404618473895583</v>
      </c>
      <c r="O55" s="180"/>
      <c r="P55" s="180">
        <f t="shared" si="2"/>
        <v>0</v>
      </c>
      <c r="Q55" s="180"/>
      <c r="R55" s="19">
        <f t="shared" si="3"/>
        <v>0</v>
      </c>
      <c r="S55" s="180">
        <f t="shared" si="4"/>
        <v>0</v>
      </c>
      <c r="T55" s="20">
        <v>2</v>
      </c>
      <c r="U55" s="20"/>
      <c r="V55" s="179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s="2" customFormat="1" ht="21.95" hidden="1" customHeight="1">
      <c r="A56" s="178">
        <v>300054</v>
      </c>
      <c r="B56" s="177" t="s">
        <v>67</v>
      </c>
      <c r="C56" s="248" t="s">
        <v>75</v>
      </c>
      <c r="D56" s="248" t="s">
        <v>76</v>
      </c>
      <c r="E56" s="182" t="s">
        <v>38</v>
      </c>
      <c r="F56" s="27"/>
      <c r="G56" s="133"/>
      <c r="H56" s="133"/>
      <c r="I56" s="133"/>
      <c r="J56" s="133"/>
      <c r="K56" s="180">
        <f t="shared" si="0"/>
        <v>0</v>
      </c>
      <c r="L56" s="180">
        <f t="shared" si="1"/>
        <v>0</v>
      </c>
      <c r="M56" s="180">
        <v>545.9</v>
      </c>
      <c r="N56" s="180">
        <f>+M56*1000/(41.5*10*16*60)*T56</f>
        <v>2.7404618473895583</v>
      </c>
      <c r="O56" s="180"/>
      <c r="P56" s="180">
        <f t="shared" si="2"/>
        <v>0</v>
      </c>
      <c r="Q56" s="180"/>
      <c r="R56" s="19">
        <f t="shared" si="3"/>
        <v>0</v>
      </c>
      <c r="S56" s="180">
        <f t="shared" si="4"/>
        <v>0</v>
      </c>
      <c r="T56" s="20">
        <v>2</v>
      </c>
      <c r="U56" s="20"/>
      <c r="V56" s="179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2" customFormat="1" ht="21.95" hidden="1" customHeight="1">
      <c r="A57" s="178">
        <v>300436</v>
      </c>
      <c r="B57" s="177" t="s">
        <v>67</v>
      </c>
      <c r="C57" s="248" t="s">
        <v>75</v>
      </c>
      <c r="D57" s="248" t="s">
        <v>76</v>
      </c>
      <c r="E57" s="182" t="s">
        <v>309</v>
      </c>
      <c r="F57" s="27"/>
      <c r="G57" s="133"/>
      <c r="H57" s="133"/>
      <c r="I57" s="133"/>
      <c r="J57" s="133"/>
      <c r="K57" s="180">
        <f t="shared" si="0"/>
        <v>0</v>
      </c>
      <c r="L57" s="180">
        <f t="shared" si="1"/>
        <v>0</v>
      </c>
      <c r="M57" s="180">
        <v>545.9</v>
      </c>
      <c r="N57" s="180">
        <f>+M57*1000/(41.5*10*16*60)*T57</f>
        <v>2.7404618473895583</v>
      </c>
      <c r="O57" s="180"/>
      <c r="P57" s="180">
        <f t="shared" si="2"/>
        <v>0</v>
      </c>
      <c r="Q57" s="180"/>
      <c r="R57" s="19">
        <f t="shared" si="3"/>
        <v>0</v>
      </c>
      <c r="S57" s="180">
        <f t="shared" si="4"/>
        <v>0</v>
      </c>
      <c r="T57" s="20">
        <v>2</v>
      </c>
      <c r="U57" s="20"/>
      <c r="V57" s="179"/>
      <c r="W57" s="20"/>
      <c r="X57" s="20"/>
      <c r="Y57" s="20"/>
      <c r="Z57" s="20"/>
      <c r="AA57" s="20"/>
      <c r="AB57" s="20"/>
      <c r="AC57" s="20"/>
    </row>
    <row r="58" spans="1:29" s="2" customFormat="1" ht="21.95" hidden="1" customHeight="1">
      <c r="A58" s="178">
        <v>300050</v>
      </c>
      <c r="B58" s="177" t="s">
        <v>67</v>
      </c>
      <c r="C58" s="248" t="s">
        <v>77</v>
      </c>
      <c r="D58" s="248" t="s">
        <v>78</v>
      </c>
      <c r="E58" s="182" t="s">
        <v>79</v>
      </c>
      <c r="F58" s="27"/>
      <c r="G58" s="133"/>
      <c r="H58" s="133"/>
      <c r="I58" s="133"/>
      <c r="J58" s="133"/>
      <c r="K58" s="180">
        <f t="shared" si="0"/>
        <v>0</v>
      </c>
      <c r="L58" s="180">
        <f t="shared" si="1"/>
        <v>0</v>
      </c>
      <c r="M58" s="180">
        <v>427.5</v>
      </c>
      <c r="N58" s="180">
        <f>+M58*1000/(45*10*14*60)*T58</f>
        <v>5.6547619047619051</v>
      </c>
      <c r="O58" s="180"/>
      <c r="P58" s="180">
        <f t="shared" si="2"/>
        <v>0</v>
      </c>
      <c r="Q58" s="180"/>
      <c r="R58" s="19">
        <f t="shared" si="3"/>
        <v>0</v>
      </c>
      <c r="S58" s="180">
        <f t="shared" si="4"/>
        <v>0</v>
      </c>
      <c r="T58" s="20">
        <v>5</v>
      </c>
      <c r="U58" s="20"/>
      <c r="V58" s="179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s="2" customFormat="1" ht="21.95" customHeight="1">
      <c r="A59" s="178">
        <v>300045</v>
      </c>
      <c r="B59" s="177">
        <v>4503</v>
      </c>
      <c r="C59" s="248" t="s">
        <v>77</v>
      </c>
      <c r="D59" s="248" t="s">
        <v>78</v>
      </c>
      <c r="E59" s="182" t="s">
        <v>35</v>
      </c>
      <c r="F59" s="27"/>
      <c r="G59" s="133">
        <v>10</v>
      </c>
      <c r="H59" s="133">
        <v>8.5714285714285715E-2</v>
      </c>
      <c r="I59" s="133">
        <f>10+H59-J59/350</f>
        <v>9.9428571428571431</v>
      </c>
      <c r="J59" s="133">
        <v>50</v>
      </c>
      <c r="K59" s="180">
        <f t="shared" si="0"/>
        <v>4066</v>
      </c>
      <c r="L59" s="180">
        <f t="shared" si="1"/>
        <v>4042.7657142857147</v>
      </c>
      <c r="M59" s="180">
        <v>406.6</v>
      </c>
      <c r="N59" s="180">
        <f>+M59*1000/(45*10*13*60)*T59</f>
        <v>5.7920227920227916</v>
      </c>
      <c r="O59" s="180"/>
      <c r="P59" s="180">
        <f t="shared" si="2"/>
        <v>57.589255189255184</v>
      </c>
      <c r="Q59" s="180">
        <v>11</v>
      </c>
      <c r="R59" s="19">
        <f t="shared" si="3"/>
        <v>66</v>
      </c>
      <c r="S59" s="180">
        <f t="shared" si="4"/>
        <v>8.4107448107448164</v>
      </c>
      <c r="T59" s="20">
        <v>5</v>
      </c>
      <c r="U59" s="20">
        <v>6</v>
      </c>
      <c r="V59" s="179">
        <f t="array" ref="V59">IF(ISERROR(L59/K59),"",L59/K59)</f>
        <v>0.99428571428571444</v>
      </c>
      <c r="W59" s="20"/>
      <c r="X59" s="20"/>
      <c r="Y59" s="20"/>
      <c r="Z59" s="20"/>
      <c r="AA59" s="20"/>
      <c r="AB59" s="20"/>
      <c r="AC59" s="20"/>
    </row>
    <row r="60" spans="1:29" s="2" customFormat="1" ht="21.95" hidden="1" customHeight="1">
      <c r="A60" s="178">
        <v>300422</v>
      </c>
      <c r="B60" s="177" t="s">
        <v>67</v>
      </c>
      <c r="C60" s="259" t="s">
        <v>301</v>
      </c>
      <c r="D60" s="260"/>
      <c r="E60" s="182" t="s">
        <v>54</v>
      </c>
      <c r="F60" s="27"/>
      <c r="G60" s="133"/>
      <c r="H60" s="133"/>
      <c r="I60" s="133"/>
      <c r="J60" s="133"/>
      <c r="K60" s="180">
        <f t="shared" si="0"/>
        <v>0</v>
      </c>
      <c r="L60" s="180">
        <f t="shared" si="1"/>
        <v>0</v>
      </c>
      <c r="M60" s="180">
        <v>429.8</v>
      </c>
      <c r="N60" s="180">
        <f>+M60*1000/(45*10*13*60)*T60</f>
        <v>3.6735042735042738</v>
      </c>
      <c r="O60" s="180"/>
      <c r="P60" s="180">
        <f t="shared" si="2"/>
        <v>0</v>
      </c>
      <c r="Q60" s="180"/>
      <c r="R60" s="19">
        <f t="shared" si="3"/>
        <v>0</v>
      </c>
      <c r="S60" s="180">
        <f t="shared" si="4"/>
        <v>0</v>
      </c>
      <c r="T60" s="20">
        <v>3</v>
      </c>
      <c r="U60" s="20"/>
      <c r="V60" s="179"/>
      <c r="W60" s="20"/>
      <c r="X60" s="20"/>
      <c r="Y60" s="20"/>
      <c r="Z60" s="20"/>
      <c r="AA60" s="20"/>
      <c r="AB60" s="20"/>
      <c r="AC60" s="20"/>
    </row>
    <row r="61" spans="1:29" s="2" customFormat="1" ht="21.95" hidden="1" customHeight="1">
      <c r="A61" s="178">
        <v>300421</v>
      </c>
      <c r="B61" s="177" t="s">
        <v>67</v>
      </c>
      <c r="C61" s="259" t="s">
        <v>301</v>
      </c>
      <c r="D61" s="260"/>
      <c r="E61" s="182" t="s">
        <v>80</v>
      </c>
      <c r="F61" s="27"/>
      <c r="G61" s="133"/>
      <c r="H61" s="133"/>
      <c r="I61" s="133"/>
      <c r="J61" s="133"/>
      <c r="K61" s="180">
        <f t="shared" si="0"/>
        <v>0</v>
      </c>
      <c r="L61" s="180">
        <f t="shared" si="1"/>
        <v>0</v>
      </c>
      <c r="M61" s="180">
        <v>429.8</v>
      </c>
      <c r="N61" s="180">
        <f>+M61*1000/(45*10*13*60)*T61</f>
        <v>3.6735042735042738</v>
      </c>
      <c r="O61" s="180"/>
      <c r="P61" s="180">
        <f t="shared" si="2"/>
        <v>0</v>
      </c>
      <c r="Q61" s="180"/>
      <c r="R61" s="19">
        <f t="shared" si="3"/>
        <v>0</v>
      </c>
      <c r="S61" s="180">
        <f t="shared" si="4"/>
        <v>0</v>
      </c>
      <c r="T61" s="20">
        <v>3</v>
      </c>
      <c r="U61" s="20"/>
      <c r="V61" s="179"/>
      <c r="W61" s="20"/>
      <c r="X61" s="20"/>
      <c r="Y61" s="20"/>
      <c r="Z61" s="20"/>
      <c r="AA61" s="20"/>
      <c r="AB61" s="20"/>
      <c r="AC61" s="20"/>
    </row>
    <row r="62" spans="1:29" s="2" customFormat="1" ht="21.95" hidden="1" customHeight="1">
      <c r="A62" s="178">
        <v>300149</v>
      </c>
      <c r="B62" s="177" t="s">
        <v>67</v>
      </c>
      <c r="C62" s="248" t="s">
        <v>81</v>
      </c>
      <c r="D62" s="248" t="s">
        <v>82</v>
      </c>
      <c r="E62" s="182" t="s">
        <v>80</v>
      </c>
      <c r="F62" s="27"/>
      <c r="G62" s="133"/>
      <c r="H62" s="133"/>
      <c r="I62" s="133"/>
      <c r="J62" s="133"/>
      <c r="K62" s="180">
        <f t="shared" si="0"/>
        <v>0</v>
      </c>
      <c r="L62" s="180">
        <f t="shared" si="1"/>
        <v>0</v>
      </c>
      <c r="M62" s="180">
        <v>589.1</v>
      </c>
      <c r="N62" s="180">
        <f>+M62*1000/(67.1*10*13*60)*T62</f>
        <v>3.3767052619511633</v>
      </c>
      <c r="O62" s="180"/>
      <c r="P62" s="180">
        <f t="shared" si="2"/>
        <v>0</v>
      </c>
      <c r="Q62" s="180"/>
      <c r="R62" s="19">
        <f t="shared" si="3"/>
        <v>0</v>
      </c>
      <c r="S62" s="180">
        <f t="shared" si="4"/>
        <v>0</v>
      </c>
      <c r="T62" s="20">
        <v>3</v>
      </c>
      <c r="U62" s="20"/>
      <c r="V62" s="179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s="2" customFormat="1" ht="21.95" hidden="1" customHeight="1">
      <c r="A63" s="178">
        <v>300150</v>
      </c>
      <c r="B63" s="177" t="s">
        <v>67</v>
      </c>
      <c r="C63" s="248" t="s">
        <v>81</v>
      </c>
      <c r="D63" s="248" t="s">
        <v>82</v>
      </c>
      <c r="E63" s="182" t="s">
        <v>54</v>
      </c>
      <c r="F63" s="27"/>
      <c r="G63" s="133"/>
      <c r="H63" s="133"/>
      <c r="I63" s="133"/>
      <c r="J63" s="133"/>
      <c r="K63" s="180">
        <f t="shared" si="0"/>
        <v>0</v>
      </c>
      <c r="L63" s="180">
        <f t="shared" si="1"/>
        <v>0</v>
      </c>
      <c r="M63" s="180">
        <v>589.1</v>
      </c>
      <c r="N63" s="180">
        <f>+M63*1000/(67.1*10*13*60)*T63</f>
        <v>3.3767052619511633</v>
      </c>
      <c r="O63" s="180"/>
      <c r="P63" s="180">
        <f t="shared" si="2"/>
        <v>0</v>
      </c>
      <c r="Q63" s="180"/>
      <c r="R63" s="19">
        <f t="shared" si="3"/>
        <v>0</v>
      </c>
      <c r="S63" s="180">
        <f t="shared" si="4"/>
        <v>0</v>
      </c>
      <c r="T63" s="20">
        <v>3</v>
      </c>
      <c r="U63" s="20"/>
      <c r="V63" s="179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s="2" customFormat="1" ht="21.95" hidden="1" customHeight="1">
      <c r="A64" s="178">
        <v>300330</v>
      </c>
      <c r="B64" s="177" t="s">
        <v>67</v>
      </c>
      <c r="C64" s="259" t="s">
        <v>83</v>
      </c>
      <c r="D64" s="260"/>
      <c r="E64" s="182" t="s">
        <v>84</v>
      </c>
      <c r="F64" s="27"/>
      <c r="G64" s="133"/>
      <c r="H64" s="133"/>
      <c r="I64" s="133"/>
      <c r="J64" s="133"/>
      <c r="K64" s="180">
        <f t="shared" si="0"/>
        <v>0</v>
      </c>
      <c r="L64" s="180">
        <f t="shared" si="1"/>
        <v>0</v>
      </c>
      <c r="M64" s="180">
        <v>416.3</v>
      </c>
      <c r="N64" s="180">
        <f t="shared" ref="N64:N70" si="6">+M64*1000/(45*10*18*60)*T64</f>
        <v>1.7131687242798355</v>
      </c>
      <c r="O64" s="180"/>
      <c r="P64" s="180">
        <f t="shared" si="2"/>
        <v>0</v>
      </c>
      <c r="Q64" s="180"/>
      <c r="R64" s="19">
        <f t="shared" si="3"/>
        <v>0</v>
      </c>
      <c r="S64" s="180">
        <f t="shared" si="4"/>
        <v>0</v>
      </c>
      <c r="T64" s="20">
        <v>2</v>
      </c>
      <c r="U64" s="20"/>
      <c r="V64" s="179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s="2" customFormat="1" ht="21.95" hidden="1" customHeight="1">
      <c r="A65" s="178">
        <v>300331</v>
      </c>
      <c r="B65" s="177" t="s">
        <v>67</v>
      </c>
      <c r="C65" s="259" t="s">
        <v>83</v>
      </c>
      <c r="D65" s="260"/>
      <c r="E65" s="182" t="s">
        <v>49</v>
      </c>
      <c r="F65" s="27"/>
      <c r="G65" s="133"/>
      <c r="H65" s="133"/>
      <c r="I65" s="133"/>
      <c r="J65" s="133"/>
      <c r="K65" s="180">
        <f t="shared" si="0"/>
        <v>0</v>
      </c>
      <c r="L65" s="180">
        <f t="shared" si="1"/>
        <v>0</v>
      </c>
      <c r="M65" s="180">
        <v>416.3</v>
      </c>
      <c r="N65" s="180">
        <f t="shared" si="6"/>
        <v>1.7131687242798355</v>
      </c>
      <c r="O65" s="180"/>
      <c r="P65" s="180">
        <f t="shared" si="2"/>
        <v>0</v>
      </c>
      <c r="Q65" s="180"/>
      <c r="R65" s="19">
        <f t="shared" si="3"/>
        <v>0</v>
      </c>
      <c r="S65" s="180">
        <f t="shared" si="4"/>
        <v>0</v>
      </c>
      <c r="T65" s="20">
        <v>2</v>
      </c>
      <c r="U65" s="20"/>
      <c r="V65" s="179"/>
      <c r="W65" s="20"/>
      <c r="X65" s="20"/>
      <c r="Y65" s="20"/>
      <c r="Z65" s="20"/>
      <c r="AA65" s="20"/>
      <c r="AB65" s="20"/>
      <c r="AC65" s="20"/>
    </row>
    <row r="66" spans="1:29" s="2" customFormat="1" ht="21.95" hidden="1" customHeight="1">
      <c r="A66" s="178">
        <v>300332</v>
      </c>
      <c r="B66" s="177" t="s">
        <v>67</v>
      </c>
      <c r="C66" s="259" t="s">
        <v>83</v>
      </c>
      <c r="D66" s="260"/>
      <c r="E66" s="182" t="s">
        <v>85</v>
      </c>
      <c r="F66" s="27"/>
      <c r="G66" s="133"/>
      <c r="H66" s="133"/>
      <c r="I66" s="133"/>
      <c r="J66" s="133"/>
      <c r="K66" s="180">
        <f t="shared" si="0"/>
        <v>0</v>
      </c>
      <c r="L66" s="180">
        <f t="shared" si="1"/>
        <v>0</v>
      </c>
      <c r="M66" s="180">
        <v>416.3</v>
      </c>
      <c r="N66" s="180">
        <f t="shared" si="6"/>
        <v>1.7131687242798355</v>
      </c>
      <c r="O66" s="180"/>
      <c r="P66" s="180">
        <f t="shared" si="2"/>
        <v>0</v>
      </c>
      <c r="Q66" s="180"/>
      <c r="R66" s="19">
        <f t="shared" si="3"/>
        <v>0</v>
      </c>
      <c r="S66" s="180">
        <f t="shared" si="4"/>
        <v>0</v>
      </c>
      <c r="T66" s="20">
        <v>2</v>
      </c>
      <c r="U66" s="20"/>
      <c r="V66" s="179"/>
      <c r="W66" s="20"/>
      <c r="X66" s="20"/>
      <c r="Y66" s="20"/>
      <c r="Z66" s="20"/>
      <c r="AA66" s="20"/>
      <c r="AB66" s="20"/>
      <c r="AC66" s="20"/>
    </row>
    <row r="67" spans="1:29" s="2" customFormat="1" ht="21.95" hidden="1" customHeight="1">
      <c r="A67" s="178">
        <v>300333</v>
      </c>
      <c r="B67" s="177" t="s">
        <v>67</v>
      </c>
      <c r="C67" s="259" t="s">
        <v>86</v>
      </c>
      <c r="D67" s="260"/>
      <c r="E67" s="182" t="s">
        <v>84</v>
      </c>
      <c r="F67" s="27"/>
      <c r="G67" s="133"/>
      <c r="H67" s="133"/>
      <c r="I67" s="133"/>
      <c r="J67" s="133"/>
      <c r="K67" s="180">
        <f t="shared" si="0"/>
        <v>0</v>
      </c>
      <c r="L67" s="180">
        <f t="shared" si="1"/>
        <v>0</v>
      </c>
      <c r="M67" s="180">
        <v>416.3</v>
      </c>
      <c r="N67" s="180">
        <f t="shared" si="6"/>
        <v>1.7131687242798355</v>
      </c>
      <c r="O67" s="180"/>
      <c r="P67" s="180">
        <f t="shared" si="2"/>
        <v>0</v>
      </c>
      <c r="Q67" s="180"/>
      <c r="R67" s="19">
        <f t="shared" si="3"/>
        <v>0</v>
      </c>
      <c r="S67" s="180">
        <f t="shared" si="4"/>
        <v>0</v>
      </c>
      <c r="T67" s="20">
        <v>2</v>
      </c>
      <c r="U67" s="20"/>
      <c r="V67" s="179"/>
      <c r="W67" s="20"/>
      <c r="X67" s="20"/>
      <c r="Y67" s="20"/>
      <c r="Z67" s="20"/>
      <c r="AA67" s="20"/>
      <c r="AB67" s="20"/>
      <c r="AC67" s="20"/>
    </row>
    <row r="68" spans="1:29" s="2" customFormat="1" ht="21.95" hidden="1" customHeight="1">
      <c r="A68" s="178">
        <v>300334</v>
      </c>
      <c r="B68" s="177" t="s">
        <v>67</v>
      </c>
      <c r="C68" s="259" t="s">
        <v>86</v>
      </c>
      <c r="D68" s="260"/>
      <c r="E68" s="182" t="s">
        <v>85</v>
      </c>
      <c r="F68" s="27"/>
      <c r="G68" s="133"/>
      <c r="H68" s="133"/>
      <c r="I68" s="133"/>
      <c r="J68" s="133"/>
      <c r="K68" s="180">
        <f t="shared" si="0"/>
        <v>0</v>
      </c>
      <c r="L68" s="180">
        <f t="shared" si="1"/>
        <v>0</v>
      </c>
      <c r="M68" s="180">
        <v>416.3</v>
      </c>
      <c r="N68" s="180">
        <f t="shared" si="6"/>
        <v>1.7131687242798355</v>
      </c>
      <c r="O68" s="180"/>
      <c r="P68" s="180">
        <f t="shared" si="2"/>
        <v>0</v>
      </c>
      <c r="Q68" s="180"/>
      <c r="R68" s="19">
        <f t="shared" si="3"/>
        <v>0</v>
      </c>
      <c r="S68" s="180">
        <f t="shared" si="4"/>
        <v>0</v>
      </c>
      <c r="T68" s="20">
        <v>2</v>
      </c>
      <c r="U68" s="20"/>
      <c r="V68" s="179"/>
      <c r="W68" s="20"/>
      <c r="X68" s="20"/>
      <c r="Y68" s="20"/>
      <c r="Z68" s="20"/>
      <c r="AA68" s="20"/>
      <c r="AB68" s="20"/>
      <c r="AC68" s="20"/>
    </row>
    <row r="69" spans="1:29" s="2" customFormat="1" ht="21.95" hidden="1" customHeight="1">
      <c r="A69" s="178">
        <v>300335</v>
      </c>
      <c r="B69" s="177" t="s">
        <v>67</v>
      </c>
      <c r="C69" s="259" t="s">
        <v>86</v>
      </c>
      <c r="D69" s="260"/>
      <c r="E69" s="182" t="s">
        <v>49</v>
      </c>
      <c r="F69" s="27"/>
      <c r="G69" s="133"/>
      <c r="H69" s="133"/>
      <c r="I69" s="133"/>
      <c r="J69" s="133"/>
      <c r="K69" s="180">
        <f t="shared" si="0"/>
        <v>0</v>
      </c>
      <c r="L69" s="180">
        <f t="shared" si="1"/>
        <v>0</v>
      </c>
      <c r="M69" s="180">
        <v>416.3</v>
      </c>
      <c r="N69" s="180">
        <f t="shared" si="6"/>
        <v>1.7131687242798355</v>
      </c>
      <c r="O69" s="180"/>
      <c r="P69" s="180">
        <f t="shared" si="2"/>
        <v>0</v>
      </c>
      <c r="Q69" s="180"/>
      <c r="R69" s="19">
        <f t="shared" si="3"/>
        <v>0</v>
      </c>
      <c r="S69" s="180">
        <f t="shared" si="4"/>
        <v>0</v>
      </c>
      <c r="T69" s="20">
        <v>2</v>
      </c>
      <c r="U69" s="20"/>
      <c r="V69" s="179"/>
      <c r="W69" s="20"/>
      <c r="X69" s="20"/>
      <c r="Y69" s="20"/>
      <c r="Z69" s="20"/>
      <c r="AA69" s="20"/>
      <c r="AB69" s="20"/>
      <c r="AC69" s="20"/>
    </row>
    <row r="70" spans="1:29" s="2" customFormat="1" ht="21.95" hidden="1" customHeight="1">
      <c r="A70" s="178">
        <v>300291</v>
      </c>
      <c r="B70" s="177" t="s">
        <v>87</v>
      </c>
      <c r="C70" s="248" t="s">
        <v>88</v>
      </c>
      <c r="D70" s="248" t="s">
        <v>89</v>
      </c>
      <c r="E70" s="182" t="s">
        <v>42</v>
      </c>
      <c r="F70" s="27"/>
      <c r="G70" s="133"/>
      <c r="H70" s="133"/>
      <c r="I70" s="133"/>
      <c r="J70" s="133"/>
      <c r="K70" s="180">
        <f t="shared" si="0"/>
        <v>0</v>
      </c>
      <c r="L70" s="180">
        <f t="shared" si="1"/>
        <v>0</v>
      </c>
      <c r="M70" s="180">
        <v>517.79999999999995</v>
      </c>
      <c r="N70" s="180">
        <f t="shared" si="6"/>
        <v>4.261728395061728</v>
      </c>
      <c r="O70" s="180"/>
      <c r="P70" s="180">
        <f t="shared" si="2"/>
        <v>0</v>
      </c>
      <c r="Q70" s="180"/>
      <c r="R70" s="19">
        <f t="shared" si="3"/>
        <v>0</v>
      </c>
      <c r="S70" s="180">
        <f t="shared" si="4"/>
        <v>0</v>
      </c>
      <c r="T70" s="20">
        <v>4</v>
      </c>
      <c r="U70" s="20"/>
      <c r="V70" s="179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s="2" customFormat="1" ht="21.95" hidden="1" customHeight="1">
      <c r="A71" s="178">
        <v>300292</v>
      </c>
      <c r="B71" s="177" t="s">
        <v>87</v>
      </c>
      <c r="C71" s="248" t="s">
        <v>88</v>
      </c>
      <c r="D71" s="248" t="s">
        <v>89</v>
      </c>
      <c r="E71" s="182" t="s">
        <v>41</v>
      </c>
      <c r="F71" s="27"/>
      <c r="G71" s="133"/>
      <c r="H71" s="133"/>
      <c r="I71" s="133"/>
      <c r="J71" s="133"/>
      <c r="K71" s="180">
        <f t="shared" si="0"/>
        <v>0</v>
      </c>
      <c r="L71" s="180">
        <f t="shared" si="1"/>
        <v>0</v>
      </c>
      <c r="M71" s="180">
        <v>517.79999999999995</v>
      </c>
      <c r="N71" s="180">
        <f>+M71*1000/(66.8*1*110*60)*T71</f>
        <v>4.6978769733260748</v>
      </c>
      <c r="O71" s="180"/>
      <c r="P71" s="180">
        <f t="shared" si="2"/>
        <v>0</v>
      </c>
      <c r="Q71" s="180"/>
      <c r="R71" s="19">
        <f t="shared" si="3"/>
        <v>0</v>
      </c>
      <c r="S71" s="180">
        <f t="shared" si="4"/>
        <v>0</v>
      </c>
      <c r="T71" s="20">
        <v>4</v>
      </c>
      <c r="U71" s="20"/>
      <c r="V71" s="179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s="2" customFormat="1" ht="21.95" hidden="1" customHeight="1">
      <c r="A72" s="178">
        <v>300293</v>
      </c>
      <c r="B72" s="177" t="s">
        <v>87</v>
      </c>
      <c r="C72" s="248" t="s">
        <v>88</v>
      </c>
      <c r="D72" s="248" t="s">
        <v>89</v>
      </c>
      <c r="E72" s="182" t="s">
        <v>57</v>
      </c>
      <c r="F72" s="27"/>
      <c r="G72" s="133"/>
      <c r="H72" s="133"/>
      <c r="I72" s="133"/>
      <c r="J72" s="133"/>
      <c r="K72" s="180">
        <f t="shared" si="0"/>
        <v>0</v>
      </c>
      <c r="L72" s="180">
        <f t="shared" si="1"/>
        <v>0</v>
      </c>
      <c r="M72" s="180">
        <v>517.9</v>
      </c>
      <c r="N72" s="180">
        <f>+M72*1000/(67.1*1*110*60)*T72</f>
        <v>4.6777762724111467</v>
      </c>
      <c r="O72" s="180"/>
      <c r="P72" s="180">
        <f t="shared" si="2"/>
        <v>0</v>
      </c>
      <c r="Q72" s="180"/>
      <c r="R72" s="19">
        <f t="shared" si="3"/>
        <v>0</v>
      </c>
      <c r="S72" s="180">
        <f t="shared" si="4"/>
        <v>0</v>
      </c>
      <c r="T72" s="20">
        <v>4</v>
      </c>
      <c r="U72" s="20"/>
      <c r="V72" s="179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s="2" customFormat="1" ht="21.95" hidden="1" customHeight="1">
      <c r="A73" s="178">
        <v>300290</v>
      </c>
      <c r="B73" s="177" t="s">
        <v>87</v>
      </c>
      <c r="C73" s="248" t="s">
        <v>88</v>
      </c>
      <c r="D73" s="248" t="s">
        <v>89</v>
      </c>
      <c r="E73" s="182" t="s">
        <v>35</v>
      </c>
      <c r="F73" s="27"/>
      <c r="G73" s="133"/>
      <c r="H73" s="133"/>
      <c r="I73" s="133"/>
      <c r="J73" s="133"/>
      <c r="K73" s="180">
        <f t="shared" si="0"/>
        <v>0</v>
      </c>
      <c r="L73" s="180">
        <f t="shared" si="1"/>
        <v>0</v>
      </c>
      <c r="M73" s="180">
        <v>520</v>
      </c>
      <c r="N73" s="180">
        <f>+M73*1000/(67.5*1*110*60)*T73</f>
        <v>4.6689113355780023</v>
      </c>
      <c r="O73" s="180"/>
      <c r="P73" s="180">
        <f t="shared" si="2"/>
        <v>0</v>
      </c>
      <c r="Q73" s="180"/>
      <c r="R73" s="19">
        <f t="shared" si="3"/>
        <v>0</v>
      </c>
      <c r="S73" s="180">
        <f t="shared" si="4"/>
        <v>0</v>
      </c>
      <c r="T73" s="20">
        <v>4</v>
      </c>
      <c r="U73" s="20"/>
      <c r="V73" s="179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2" customFormat="1" ht="21.95" hidden="1" customHeight="1">
      <c r="A74" s="178">
        <v>300389</v>
      </c>
      <c r="B74" s="177" t="s">
        <v>87</v>
      </c>
      <c r="C74" s="248" t="s">
        <v>316</v>
      </c>
      <c r="D74" s="248" t="s">
        <v>89</v>
      </c>
      <c r="E74" s="182" t="s">
        <v>35</v>
      </c>
      <c r="F74" s="27"/>
      <c r="G74" s="133"/>
      <c r="H74" s="133"/>
      <c r="I74" s="133"/>
      <c r="J74" s="133"/>
      <c r="K74" s="180">
        <f t="shared" si="0"/>
        <v>0</v>
      </c>
      <c r="L74" s="180">
        <f t="shared" si="1"/>
        <v>0</v>
      </c>
      <c r="M74" s="180">
        <v>429.4</v>
      </c>
      <c r="N74" s="180">
        <f>+M74*1000/(47*1*110*60)*T74</f>
        <v>5.5370728562217923</v>
      </c>
      <c r="O74" s="180"/>
      <c r="P74" s="180">
        <f t="shared" si="2"/>
        <v>0</v>
      </c>
      <c r="Q74" s="180"/>
      <c r="R74" s="19">
        <f t="shared" si="3"/>
        <v>0</v>
      </c>
      <c r="S74" s="180">
        <f t="shared" si="4"/>
        <v>0</v>
      </c>
      <c r="T74" s="20">
        <v>4</v>
      </c>
      <c r="U74" s="20"/>
      <c r="V74" s="179" t="str">
        <f t="array" ref="V74">IF(ISERROR(L74/K74),"",L74/K74)</f>
        <v/>
      </c>
      <c r="W74" s="20"/>
      <c r="X74" s="20"/>
      <c r="Y74" s="20"/>
      <c r="Z74" s="20"/>
      <c r="AA74" s="20"/>
      <c r="AB74" s="20"/>
      <c r="AC74" s="20"/>
    </row>
    <row r="75" spans="1:29" s="2" customFormat="1" ht="21.95" hidden="1" customHeight="1">
      <c r="A75" s="178">
        <v>300058</v>
      </c>
      <c r="B75" s="177" t="s">
        <v>87</v>
      </c>
      <c r="C75" s="248" t="s">
        <v>316</v>
      </c>
      <c r="D75" s="248" t="s">
        <v>89</v>
      </c>
      <c r="E75" s="182" t="s">
        <v>42</v>
      </c>
      <c r="F75" s="27"/>
      <c r="G75" s="133"/>
      <c r="H75" s="133"/>
      <c r="I75" s="133"/>
      <c r="J75" s="133"/>
      <c r="K75" s="180">
        <f t="shared" si="0"/>
        <v>0</v>
      </c>
      <c r="L75" s="180">
        <f t="shared" si="1"/>
        <v>0</v>
      </c>
      <c r="M75" s="180">
        <v>419.2</v>
      </c>
      <c r="N75" s="180">
        <f>+M75*1000/(51.5*1*110*60)*T75</f>
        <v>4.9332156516622536</v>
      </c>
      <c r="O75" s="180"/>
      <c r="P75" s="180">
        <f t="shared" si="2"/>
        <v>0</v>
      </c>
      <c r="Q75" s="180"/>
      <c r="R75" s="19">
        <f t="shared" si="3"/>
        <v>0</v>
      </c>
      <c r="S75" s="180">
        <f t="shared" si="4"/>
        <v>0</v>
      </c>
      <c r="T75" s="20">
        <v>4</v>
      </c>
      <c r="U75" s="20"/>
      <c r="V75" s="179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s="2" customFormat="1" ht="21.95" customHeight="1">
      <c r="A76" s="178">
        <v>300061</v>
      </c>
      <c r="B76" s="177">
        <v>5001</v>
      </c>
      <c r="C76" s="248" t="s">
        <v>317</v>
      </c>
      <c r="D76" s="248" t="s">
        <v>96</v>
      </c>
      <c r="E76" s="182" t="s">
        <v>41</v>
      </c>
      <c r="F76" s="27"/>
      <c r="G76" s="133">
        <v>8</v>
      </c>
      <c r="H76" s="133"/>
      <c r="I76" s="133">
        <v>8</v>
      </c>
      <c r="J76" s="133"/>
      <c r="K76" s="180">
        <f t="shared" si="0"/>
        <v>3347.2</v>
      </c>
      <c r="L76" s="180">
        <f t="shared" si="1"/>
        <v>3347.2</v>
      </c>
      <c r="M76" s="180">
        <v>418.4</v>
      </c>
      <c r="N76" s="180">
        <f>+M76*1000/(51*1*110*60)*T76</f>
        <v>4.9720736779560308</v>
      </c>
      <c r="O76" s="180">
        <v>0.5</v>
      </c>
      <c r="P76" s="180">
        <f t="shared" si="2"/>
        <v>42.276589423648247</v>
      </c>
      <c r="Q76" s="180">
        <v>8</v>
      </c>
      <c r="R76" s="19">
        <f t="shared" si="3"/>
        <v>40</v>
      </c>
      <c r="S76" s="180">
        <f t="shared" si="4"/>
        <v>-2.2765894236482467</v>
      </c>
      <c r="T76" s="20">
        <v>4</v>
      </c>
      <c r="U76" s="20">
        <v>5</v>
      </c>
      <c r="V76" s="179">
        <f t="array" ref="V76">IF(ISERROR(L76/K76),"",L76/K76)</f>
        <v>1</v>
      </c>
      <c r="W76" s="20"/>
      <c r="X76" s="20"/>
      <c r="Y76" s="20"/>
      <c r="Z76" s="20"/>
      <c r="AA76" s="20"/>
      <c r="AB76" s="20"/>
      <c r="AC76" s="20"/>
    </row>
    <row r="77" spans="1:29" s="2" customFormat="1" ht="21.95" hidden="1" customHeight="1">
      <c r="A77" s="178">
        <v>300064</v>
      </c>
      <c r="B77" s="177">
        <v>5002</v>
      </c>
      <c r="C77" s="248" t="s">
        <v>317</v>
      </c>
      <c r="D77" s="248" t="s">
        <v>96</v>
      </c>
      <c r="E77" s="182" t="s">
        <v>35</v>
      </c>
      <c r="F77" s="27"/>
      <c r="G77" s="133"/>
      <c r="H77" s="133"/>
      <c r="I77" s="133"/>
      <c r="J77" s="133"/>
      <c r="K77" s="180">
        <f t="shared" ref="K77:K153" si="7">G77*M77</f>
        <v>0</v>
      </c>
      <c r="L77" s="180">
        <f t="shared" ref="L77:L153" si="8">I77*M77</f>
        <v>0</v>
      </c>
      <c r="M77" s="180">
        <v>419.2</v>
      </c>
      <c r="N77" s="180">
        <f>+M77*1000/(51.9*1*110*60)*T77</f>
        <v>4.8951947217843168</v>
      </c>
      <c r="O77" s="180"/>
      <c r="P77" s="180">
        <f t="shared" ref="P77:P153" si="9">N77*I77+O77*U77</f>
        <v>0</v>
      </c>
      <c r="Q77" s="180"/>
      <c r="R77" s="19">
        <f t="shared" ref="R77:R153" si="10">Q77*U77</f>
        <v>0</v>
      </c>
      <c r="S77" s="180">
        <f t="shared" ref="S77:S153" si="11">R77-P77</f>
        <v>0</v>
      </c>
      <c r="T77" s="20">
        <v>4</v>
      </c>
      <c r="U77" s="20"/>
      <c r="V77" s="179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s="2" customFormat="1" ht="21.95" hidden="1" customHeight="1">
      <c r="A78" s="178">
        <v>300060</v>
      </c>
      <c r="B78" s="177" t="s">
        <v>87</v>
      </c>
      <c r="C78" s="248" t="s">
        <v>317</v>
      </c>
      <c r="D78" s="248" t="s">
        <v>96</v>
      </c>
      <c r="E78" s="182" t="s">
        <v>57</v>
      </c>
      <c r="F78" s="27"/>
      <c r="G78" s="133"/>
      <c r="H78" s="133"/>
      <c r="I78" s="133"/>
      <c r="J78" s="133"/>
      <c r="K78" s="180">
        <f t="shared" si="7"/>
        <v>0</v>
      </c>
      <c r="L78" s="180">
        <f t="shared" si="8"/>
        <v>0</v>
      </c>
      <c r="M78" s="180">
        <v>416.9</v>
      </c>
      <c r="N78" s="180">
        <f>+M78*1000/(51*1*110*60)*T78</f>
        <v>4.9542483660130721</v>
      </c>
      <c r="O78" s="180"/>
      <c r="P78" s="180">
        <f t="shared" si="9"/>
        <v>0</v>
      </c>
      <c r="Q78" s="180"/>
      <c r="R78" s="19">
        <f t="shared" si="10"/>
        <v>0</v>
      </c>
      <c r="S78" s="180">
        <f t="shared" si="11"/>
        <v>0</v>
      </c>
      <c r="T78" s="20">
        <v>4</v>
      </c>
      <c r="U78" s="20"/>
      <c r="V78" s="179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s="2" customFormat="1" ht="21.95" hidden="1" customHeight="1">
      <c r="A79" s="178">
        <v>300068</v>
      </c>
      <c r="B79" s="177" t="s">
        <v>87</v>
      </c>
      <c r="C79" s="248" t="s">
        <v>98</v>
      </c>
      <c r="D79" s="248" t="s">
        <v>99</v>
      </c>
      <c r="E79" s="182" t="s">
        <v>37</v>
      </c>
      <c r="F79" s="27"/>
      <c r="G79" s="133"/>
      <c r="H79" s="133"/>
      <c r="I79" s="133"/>
      <c r="J79" s="133"/>
      <c r="K79" s="180">
        <f t="shared" si="7"/>
        <v>0</v>
      </c>
      <c r="L79" s="180">
        <f t="shared" si="8"/>
        <v>0</v>
      </c>
      <c r="M79" s="180">
        <v>438.4</v>
      </c>
      <c r="N79" s="180">
        <f>+M79*1000/(50*1*120*60)*T79</f>
        <v>4.8711111111111114</v>
      </c>
      <c r="O79" s="180"/>
      <c r="P79" s="180">
        <f t="shared" si="9"/>
        <v>0</v>
      </c>
      <c r="Q79" s="180"/>
      <c r="R79" s="19">
        <f t="shared" si="10"/>
        <v>0</v>
      </c>
      <c r="S79" s="180">
        <f t="shared" si="11"/>
        <v>0</v>
      </c>
      <c r="T79" s="20">
        <v>4</v>
      </c>
      <c r="U79" s="20"/>
      <c r="V79" s="179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s="2" customFormat="1" ht="21.95" hidden="1" customHeight="1">
      <c r="A80" s="178">
        <v>300065</v>
      </c>
      <c r="B80" s="177" t="s">
        <v>87</v>
      </c>
      <c r="C80" s="248" t="s">
        <v>98</v>
      </c>
      <c r="D80" s="248" t="s">
        <v>99</v>
      </c>
      <c r="E80" s="182" t="s">
        <v>35</v>
      </c>
      <c r="F80" s="27"/>
      <c r="G80" s="133"/>
      <c r="H80" s="133"/>
      <c r="I80" s="133"/>
      <c r="J80" s="133"/>
      <c r="K80" s="180">
        <f t="shared" si="7"/>
        <v>0</v>
      </c>
      <c r="L80" s="180">
        <f t="shared" si="8"/>
        <v>0</v>
      </c>
      <c r="M80" s="180">
        <v>438.8</v>
      </c>
      <c r="N80" s="180">
        <f>+M80*1000/(50*1*120*60)*T80</f>
        <v>4.8755555555555556</v>
      </c>
      <c r="O80" s="180"/>
      <c r="P80" s="180">
        <f t="shared" si="9"/>
        <v>0</v>
      </c>
      <c r="Q80" s="180"/>
      <c r="R80" s="19">
        <f t="shared" si="10"/>
        <v>0</v>
      </c>
      <c r="S80" s="180">
        <f t="shared" si="11"/>
        <v>0</v>
      </c>
      <c r="T80" s="20">
        <v>4</v>
      </c>
      <c r="U80" s="178"/>
      <c r="V80" s="179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s="2" customFormat="1" ht="21.95" hidden="1" customHeight="1">
      <c r="A81" s="178">
        <v>300066</v>
      </c>
      <c r="B81" s="177" t="s">
        <v>87</v>
      </c>
      <c r="C81" s="248" t="s">
        <v>98</v>
      </c>
      <c r="D81" s="248" t="s">
        <v>99</v>
      </c>
      <c r="E81" s="182" t="s">
        <v>66</v>
      </c>
      <c r="F81" s="27"/>
      <c r="G81" s="133"/>
      <c r="H81" s="133"/>
      <c r="I81" s="133"/>
      <c r="J81" s="133"/>
      <c r="K81" s="180">
        <f t="shared" si="7"/>
        <v>0</v>
      </c>
      <c r="L81" s="180">
        <f t="shared" si="8"/>
        <v>0</v>
      </c>
      <c r="M81" s="180">
        <v>438.4</v>
      </c>
      <c r="N81" s="180">
        <f>+M81*1000/(50*1*120*60)*T81</f>
        <v>4.8711111111111114</v>
      </c>
      <c r="O81" s="180"/>
      <c r="P81" s="180">
        <f t="shared" si="9"/>
        <v>0</v>
      </c>
      <c r="Q81" s="180"/>
      <c r="R81" s="19">
        <f t="shared" si="10"/>
        <v>0</v>
      </c>
      <c r="S81" s="180">
        <f t="shared" si="11"/>
        <v>0</v>
      </c>
      <c r="T81" s="20">
        <v>4</v>
      </c>
      <c r="U81" s="178"/>
      <c r="V81" s="179"/>
      <c r="W81" s="20"/>
      <c r="X81" s="20"/>
      <c r="Y81" s="20"/>
      <c r="Z81" s="20"/>
      <c r="AA81" s="20"/>
      <c r="AB81" s="20"/>
      <c r="AC81" s="20"/>
    </row>
    <row r="82" spans="1:29" s="2" customFormat="1" ht="21.95" hidden="1" customHeight="1">
      <c r="A82" s="178">
        <v>300067</v>
      </c>
      <c r="B82" s="177" t="s">
        <v>87</v>
      </c>
      <c r="C82" s="248" t="s">
        <v>98</v>
      </c>
      <c r="D82" s="248" t="s">
        <v>99</v>
      </c>
      <c r="E82" s="182" t="s">
        <v>41</v>
      </c>
      <c r="F82" s="27"/>
      <c r="G82" s="133"/>
      <c r="H82" s="133"/>
      <c r="I82" s="133"/>
      <c r="J82" s="133"/>
      <c r="K82" s="180">
        <f t="shared" si="7"/>
        <v>0</v>
      </c>
      <c r="L82" s="180">
        <f t="shared" si="8"/>
        <v>0</v>
      </c>
      <c r="M82" s="180">
        <v>438.8</v>
      </c>
      <c r="N82" s="180">
        <f>+M82*1000/(50*1*120*60)*T82</f>
        <v>4.8755555555555556</v>
      </c>
      <c r="O82" s="180"/>
      <c r="P82" s="180">
        <f t="shared" si="9"/>
        <v>0</v>
      </c>
      <c r="Q82" s="180"/>
      <c r="R82" s="19">
        <f t="shared" si="10"/>
        <v>0</v>
      </c>
      <c r="S82" s="180">
        <f t="shared" si="11"/>
        <v>0</v>
      </c>
      <c r="T82" s="20">
        <v>4</v>
      </c>
      <c r="U82" s="20"/>
      <c r="V82" s="179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2" customFormat="1" ht="21.95" hidden="1" customHeight="1">
      <c r="A83" s="178">
        <v>300437</v>
      </c>
      <c r="B83" s="177" t="s">
        <v>87</v>
      </c>
      <c r="C83" s="248" t="s">
        <v>98</v>
      </c>
      <c r="D83" s="248" t="s">
        <v>99</v>
      </c>
      <c r="E83" s="182" t="s">
        <v>310</v>
      </c>
      <c r="F83" s="27"/>
      <c r="G83" s="133"/>
      <c r="H83" s="133"/>
      <c r="I83" s="133"/>
      <c r="J83" s="133"/>
      <c r="K83" s="180">
        <f t="shared" si="7"/>
        <v>0</v>
      </c>
      <c r="L83" s="180">
        <f t="shared" si="8"/>
        <v>0</v>
      </c>
      <c r="M83" s="180">
        <v>438.8</v>
      </c>
      <c r="N83" s="180">
        <f>+M83*1000/(50*1*120*60)*T83</f>
        <v>4.8755555555555556</v>
      </c>
      <c r="O83" s="180"/>
      <c r="P83" s="180">
        <f t="shared" si="9"/>
        <v>0</v>
      </c>
      <c r="Q83" s="180"/>
      <c r="R83" s="19">
        <f t="shared" si="10"/>
        <v>0</v>
      </c>
      <c r="S83" s="180">
        <f t="shared" si="11"/>
        <v>0</v>
      </c>
      <c r="T83" s="20">
        <v>4</v>
      </c>
      <c r="U83" s="20"/>
      <c r="V83" s="179"/>
      <c r="W83" s="20"/>
      <c r="X83" s="20"/>
      <c r="Y83" s="20"/>
      <c r="Z83" s="20"/>
      <c r="AA83" s="20"/>
      <c r="AB83" s="20"/>
      <c r="AC83" s="20"/>
    </row>
    <row r="84" spans="1:29" s="2" customFormat="1" ht="21.95" hidden="1" customHeight="1">
      <c r="A84" s="178">
        <v>300384</v>
      </c>
      <c r="B84" s="177" t="s">
        <v>87</v>
      </c>
      <c r="C84" s="248" t="s">
        <v>100</v>
      </c>
      <c r="D84" s="248" t="s">
        <v>101</v>
      </c>
      <c r="E84" s="182" t="s">
        <v>35</v>
      </c>
      <c r="F84" s="181"/>
      <c r="G84" s="133"/>
      <c r="H84" s="133"/>
      <c r="I84" s="133"/>
      <c r="J84" s="133"/>
      <c r="K84" s="180">
        <f t="shared" si="7"/>
        <v>0</v>
      </c>
      <c r="L84" s="180">
        <f t="shared" si="8"/>
        <v>0</v>
      </c>
      <c r="M84" s="180">
        <v>415.5</v>
      </c>
      <c r="N84" s="180">
        <f>+M84*1000/(51*1*110*60)*T84</f>
        <v>8.6408199643493759</v>
      </c>
      <c r="O84" s="180"/>
      <c r="P84" s="180">
        <f t="shared" si="9"/>
        <v>0</v>
      </c>
      <c r="Q84" s="180"/>
      <c r="R84" s="19">
        <f t="shared" si="10"/>
        <v>0</v>
      </c>
      <c r="S84" s="180">
        <f t="shared" si="11"/>
        <v>0</v>
      </c>
      <c r="T84" s="20">
        <v>7</v>
      </c>
      <c r="U84" s="20"/>
      <c r="V84" s="179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78">
        <v>300383</v>
      </c>
      <c r="B85" s="177" t="s">
        <v>87</v>
      </c>
      <c r="C85" s="248" t="s">
        <v>100</v>
      </c>
      <c r="D85" s="248" t="s">
        <v>102</v>
      </c>
      <c r="E85" s="182" t="s">
        <v>41</v>
      </c>
      <c r="F85" s="181"/>
      <c r="G85" s="133"/>
      <c r="H85" s="133"/>
      <c r="I85" s="133"/>
      <c r="J85" s="133"/>
      <c r="K85" s="180">
        <f t="shared" si="7"/>
        <v>0</v>
      </c>
      <c r="L85" s="180">
        <f t="shared" si="8"/>
        <v>0</v>
      </c>
      <c r="M85" s="180">
        <v>415.5</v>
      </c>
      <c r="N85" s="180">
        <f>+M85*1000/(51*1*110*60)*T85</f>
        <v>8.6408199643493759</v>
      </c>
      <c r="O85" s="180"/>
      <c r="P85" s="180">
        <f t="shared" si="9"/>
        <v>0</v>
      </c>
      <c r="Q85" s="180"/>
      <c r="R85" s="19">
        <f t="shared" si="10"/>
        <v>0</v>
      </c>
      <c r="S85" s="180">
        <f t="shared" si="11"/>
        <v>0</v>
      </c>
      <c r="T85" s="20">
        <v>7</v>
      </c>
      <c r="U85" s="20"/>
      <c r="V85" s="179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78">
        <v>300386</v>
      </c>
      <c r="B86" s="177" t="s">
        <v>87</v>
      </c>
      <c r="C86" s="248" t="s">
        <v>100</v>
      </c>
      <c r="D86" s="248" t="s">
        <v>103</v>
      </c>
      <c r="E86" s="182" t="s">
        <v>66</v>
      </c>
      <c r="F86" s="181"/>
      <c r="G86" s="133"/>
      <c r="H86" s="133"/>
      <c r="I86" s="133"/>
      <c r="J86" s="133"/>
      <c r="K86" s="180">
        <f t="shared" si="7"/>
        <v>0</v>
      </c>
      <c r="L86" s="180">
        <f t="shared" si="8"/>
        <v>0</v>
      </c>
      <c r="M86" s="180">
        <v>415.5</v>
      </c>
      <c r="N86" s="180">
        <f>+M86*1000/(51*1*110*60)*T86</f>
        <v>8.6408199643493759</v>
      </c>
      <c r="O86" s="180"/>
      <c r="P86" s="180">
        <f t="shared" si="9"/>
        <v>0</v>
      </c>
      <c r="Q86" s="180"/>
      <c r="R86" s="19">
        <f t="shared" si="10"/>
        <v>0</v>
      </c>
      <c r="S86" s="180">
        <f t="shared" si="11"/>
        <v>0</v>
      </c>
      <c r="T86" s="20">
        <v>7</v>
      </c>
      <c r="U86" s="20"/>
      <c r="V86" s="179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78">
        <v>300385</v>
      </c>
      <c r="B87" s="177" t="s">
        <v>87</v>
      </c>
      <c r="C87" s="248" t="s">
        <v>100</v>
      </c>
      <c r="D87" s="248" t="s">
        <v>104</v>
      </c>
      <c r="E87" s="182" t="s">
        <v>105</v>
      </c>
      <c r="F87" s="181"/>
      <c r="G87" s="133"/>
      <c r="H87" s="133"/>
      <c r="I87" s="133"/>
      <c r="J87" s="133"/>
      <c r="K87" s="180">
        <f t="shared" si="7"/>
        <v>0</v>
      </c>
      <c r="L87" s="180">
        <f t="shared" si="8"/>
        <v>0</v>
      </c>
      <c r="M87" s="180">
        <v>415.5</v>
      </c>
      <c r="N87" s="180">
        <f>+M87*1000/(51*1*110*60)*T87</f>
        <v>8.6408199643493759</v>
      </c>
      <c r="O87" s="180"/>
      <c r="P87" s="180">
        <f t="shared" si="9"/>
        <v>0</v>
      </c>
      <c r="Q87" s="180"/>
      <c r="R87" s="19">
        <f t="shared" si="10"/>
        <v>0</v>
      </c>
      <c r="S87" s="180">
        <f t="shared" si="11"/>
        <v>0</v>
      </c>
      <c r="T87" s="20">
        <v>7</v>
      </c>
      <c r="U87" s="20"/>
      <c r="V87" s="179"/>
      <c r="W87" s="20"/>
      <c r="X87" s="20"/>
      <c r="Y87" s="20"/>
      <c r="Z87" s="20"/>
      <c r="AA87" s="20"/>
      <c r="AB87" s="20"/>
      <c r="AC87" s="20"/>
    </row>
    <row r="88" spans="1:29" s="2" customFormat="1" ht="21.95" hidden="1" customHeight="1">
      <c r="A88" s="178">
        <v>300352</v>
      </c>
      <c r="B88" s="177" t="s">
        <v>87</v>
      </c>
      <c r="C88" s="248" t="s">
        <v>106</v>
      </c>
      <c r="D88" s="248" t="s">
        <v>101</v>
      </c>
      <c r="E88" s="182" t="s">
        <v>35</v>
      </c>
      <c r="F88" s="27"/>
      <c r="G88" s="133"/>
      <c r="H88" s="133"/>
      <c r="I88" s="133"/>
      <c r="J88" s="133"/>
      <c r="K88" s="180">
        <f t="shared" si="7"/>
        <v>0</v>
      </c>
      <c r="L88" s="180">
        <f t="shared" si="8"/>
        <v>0</v>
      </c>
      <c r="M88" s="180">
        <v>515.9</v>
      </c>
      <c r="N88" s="180">
        <f>+M88*1000/(80*1*110*60)*T88</f>
        <v>6.8395833333333336</v>
      </c>
      <c r="O88" s="180"/>
      <c r="P88" s="180">
        <f t="shared" si="9"/>
        <v>0</v>
      </c>
      <c r="Q88" s="180"/>
      <c r="R88" s="19">
        <f t="shared" si="10"/>
        <v>0</v>
      </c>
      <c r="S88" s="180">
        <f t="shared" si="11"/>
        <v>0</v>
      </c>
      <c r="T88" s="20">
        <v>7</v>
      </c>
      <c r="U88" s="20"/>
      <c r="V88" s="179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s="2" customFormat="1" ht="21.95" hidden="1" customHeight="1">
      <c r="A89" s="178">
        <v>300353</v>
      </c>
      <c r="B89" s="177" t="s">
        <v>87</v>
      </c>
      <c r="C89" s="248" t="s">
        <v>106</v>
      </c>
      <c r="D89" s="248" t="s">
        <v>101</v>
      </c>
      <c r="E89" s="182" t="s">
        <v>105</v>
      </c>
      <c r="F89" s="27"/>
      <c r="G89" s="133"/>
      <c r="H89" s="133"/>
      <c r="I89" s="133"/>
      <c r="J89" s="133"/>
      <c r="K89" s="180">
        <f t="shared" si="7"/>
        <v>0</v>
      </c>
      <c r="L89" s="180">
        <f t="shared" si="8"/>
        <v>0</v>
      </c>
      <c r="M89" s="180">
        <v>515.9</v>
      </c>
      <c r="N89" s="180">
        <f>+M89*1000/(80*1*110*60)*T89</f>
        <v>6.8395833333333336</v>
      </c>
      <c r="O89" s="180"/>
      <c r="P89" s="180">
        <f t="shared" si="9"/>
        <v>0</v>
      </c>
      <c r="Q89" s="180"/>
      <c r="R89" s="19">
        <f t="shared" si="10"/>
        <v>0</v>
      </c>
      <c r="S89" s="180">
        <f t="shared" si="11"/>
        <v>0</v>
      </c>
      <c r="T89" s="20">
        <v>7</v>
      </c>
      <c r="U89" s="20"/>
      <c r="V89" s="179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s="2" customFormat="1" ht="21.95" hidden="1" customHeight="1">
      <c r="A90" s="178">
        <v>300351</v>
      </c>
      <c r="B90" s="177" t="s">
        <v>87</v>
      </c>
      <c r="C90" s="248" t="s">
        <v>106</v>
      </c>
      <c r="D90" s="248" t="s">
        <v>101</v>
      </c>
      <c r="E90" s="182" t="s">
        <v>41</v>
      </c>
      <c r="F90" s="27"/>
      <c r="G90" s="133"/>
      <c r="H90" s="133"/>
      <c r="I90" s="133"/>
      <c r="J90" s="133"/>
      <c r="K90" s="180">
        <f t="shared" si="7"/>
        <v>0</v>
      </c>
      <c r="L90" s="180">
        <f t="shared" si="8"/>
        <v>0</v>
      </c>
      <c r="M90" s="180">
        <v>515.9</v>
      </c>
      <c r="N90" s="180">
        <f>+M90*1000/(80*1*110*60)*T90</f>
        <v>6.8395833333333336</v>
      </c>
      <c r="O90" s="180"/>
      <c r="P90" s="180">
        <f t="shared" si="9"/>
        <v>0</v>
      </c>
      <c r="Q90" s="180"/>
      <c r="R90" s="19">
        <f t="shared" si="10"/>
        <v>0</v>
      </c>
      <c r="S90" s="180">
        <f t="shared" si="11"/>
        <v>0</v>
      </c>
      <c r="T90" s="20">
        <v>7</v>
      </c>
      <c r="U90" s="20"/>
      <c r="V90" s="179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s="2" customFormat="1" ht="21.95" hidden="1" customHeight="1">
      <c r="A91" s="178">
        <v>300354</v>
      </c>
      <c r="B91" s="177" t="s">
        <v>87</v>
      </c>
      <c r="C91" s="248" t="s">
        <v>106</v>
      </c>
      <c r="D91" s="248" t="s">
        <v>101</v>
      </c>
      <c r="E91" s="182" t="s">
        <v>66</v>
      </c>
      <c r="F91" s="27"/>
      <c r="G91" s="133"/>
      <c r="H91" s="133"/>
      <c r="I91" s="133"/>
      <c r="J91" s="133"/>
      <c r="K91" s="180">
        <f t="shared" si="7"/>
        <v>0</v>
      </c>
      <c r="L91" s="180">
        <f t="shared" si="8"/>
        <v>0</v>
      </c>
      <c r="M91" s="180">
        <v>515.9</v>
      </c>
      <c r="N91" s="180">
        <f>+M91*1000/(80*1*110*60)*T91</f>
        <v>6.8395833333333336</v>
      </c>
      <c r="O91" s="180"/>
      <c r="P91" s="180">
        <f t="shared" si="9"/>
        <v>0</v>
      </c>
      <c r="Q91" s="180"/>
      <c r="R91" s="19">
        <f t="shared" si="10"/>
        <v>0</v>
      </c>
      <c r="S91" s="180">
        <f t="shared" si="11"/>
        <v>0</v>
      </c>
      <c r="T91" s="20">
        <v>7</v>
      </c>
      <c r="U91" s="20"/>
      <c r="V91" s="179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s="2" customFormat="1" ht="21.95" hidden="1" customHeight="1">
      <c r="A92" s="178">
        <v>300250</v>
      </c>
      <c r="B92" s="177" t="s">
        <v>87</v>
      </c>
      <c r="C92" s="248" t="s">
        <v>107</v>
      </c>
      <c r="D92" s="248" t="s">
        <v>101</v>
      </c>
      <c r="E92" s="182" t="s">
        <v>35</v>
      </c>
      <c r="F92" s="27"/>
      <c r="G92" s="133"/>
      <c r="H92" s="133"/>
      <c r="I92" s="133"/>
      <c r="J92" s="133"/>
      <c r="K92" s="180">
        <f t="shared" si="7"/>
        <v>0</v>
      </c>
      <c r="L92" s="180">
        <f t="shared" si="8"/>
        <v>0</v>
      </c>
      <c r="M92" s="180">
        <v>412.5</v>
      </c>
      <c r="N92" s="180">
        <f>+M92*1000/(84*1*110*60)*T92</f>
        <v>5.2083333333333339</v>
      </c>
      <c r="O92" s="180"/>
      <c r="P92" s="180">
        <f t="shared" si="9"/>
        <v>0</v>
      </c>
      <c r="Q92" s="180"/>
      <c r="R92" s="19">
        <f t="shared" si="10"/>
        <v>0</v>
      </c>
      <c r="S92" s="180">
        <f t="shared" si="11"/>
        <v>0</v>
      </c>
      <c r="T92" s="20">
        <v>7</v>
      </c>
      <c r="U92" s="20"/>
      <c r="V92" s="179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s="2" customFormat="1" ht="21.95" hidden="1" customHeight="1">
      <c r="A93" s="178">
        <v>300251</v>
      </c>
      <c r="B93" s="177" t="s">
        <v>87</v>
      </c>
      <c r="C93" s="248" t="s">
        <v>107</v>
      </c>
      <c r="D93" s="248" t="s">
        <v>101</v>
      </c>
      <c r="E93" s="182" t="s">
        <v>105</v>
      </c>
      <c r="F93" s="27"/>
      <c r="G93" s="133"/>
      <c r="H93" s="133"/>
      <c r="I93" s="133"/>
      <c r="J93" s="133"/>
      <c r="K93" s="180">
        <f t="shared" si="7"/>
        <v>0</v>
      </c>
      <c r="L93" s="180">
        <f t="shared" si="8"/>
        <v>0</v>
      </c>
      <c r="M93" s="180">
        <v>412.5</v>
      </c>
      <c r="N93" s="180">
        <f>+M93*1000/(84*1*110*60)*T93</f>
        <v>5.2083333333333339</v>
      </c>
      <c r="O93" s="180"/>
      <c r="P93" s="180">
        <f t="shared" si="9"/>
        <v>0</v>
      </c>
      <c r="Q93" s="180"/>
      <c r="R93" s="19">
        <f t="shared" si="10"/>
        <v>0</v>
      </c>
      <c r="S93" s="180">
        <f t="shared" si="11"/>
        <v>0</v>
      </c>
      <c r="T93" s="20">
        <v>7</v>
      </c>
      <c r="U93" s="20"/>
      <c r="V93" s="179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s="2" customFormat="1" ht="21.95" hidden="1" customHeight="1">
      <c r="A94" s="178">
        <v>300254</v>
      </c>
      <c r="B94" s="177" t="s">
        <v>87</v>
      </c>
      <c r="C94" s="248" t="s">
        <v>107</v>
      </c>
      <c r="D94" s="248" t="s">
        <v>101</v>
      </c>
      <c r="E94" s="182" t="s">
        <v>41</v>
      </c>
      <c r="F94" s="27"/>
      <c r="G94" s="133"/>
      <c r="H94" s="133"/>
      <c r="I94" s="133"/>
      <c r="J94" s="133"/>
      <c r="K94" s="180">
        <f t="shared" si="7"/>
        <v>0</v>
      </c>
      <c r="L94" s="180">
        <f t="shared" si="8"/>
        <v>0</v>
      </c>
      <c r="M94" s="180">
        <v>412.5</v>
      </c>
      <c r="N94" s="180">
        <f>+M94*1000/(84*1*110*60)*T94</f>
        <v>5.2083333333333339</v>
      </c>
      <c r="O94" s="180"/>
      <c r="P94" s="180">
        <f t="shared" si="9"/>
        <v>0</v>
      </c>
      <c r="Q94" s="180"/>
      <c r="R94" s="19">
        <f t="shared" si="10"/>
        <v>0</v>
      </c>
      <c r="S94" s="180">
        <f t="shared" si="11"/>
        <v>0</v>
      </c>
      <c r="T94" s="20">
        <v>7</v>
      </c>
      <c r="U94" s="20"/>
      <c r="V94" s="179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s="2" customFormat="1" ht="21.95" hidden="1" customHeight="1">
      <c r="A95" s="178">
        <v>300253</v>
      </c>
      <c r="B95" s="177" t="s">
        <v>87</v>
      </c>
      <c r="C95" s="248" t="s">
        <v>107</v>
      </c>
      <c r="D95" s="248" t="s">
        <v>101</v>
      </c>
      <c r="E95" s="182" t="s">
        <v>66</v>
      </c>
      <c r="F95" s="27"/>
      <c r="G95" s="133"/>
      <c r="H95" s="133"/>
      <c r="I95" s="133"/>
      <c r="J95" s="133"/>
      <c r="K95" s="180">
        <f t="shared" si="7"/>
        <v>0</v>
      </c>
      <c r="L95" s="180">
        <f t="shared" si="8"/>
        <v>0</v>
      </c>
      <c r="M95" s="180">
        <v>412.5</v>
      </c>
      <c r="N95" s="180">
        <f>+M95*1000/(84*1*110*60)*T95</f>
        <v>5.2083333333333339</v>
      </c>
      <c r="O95" s="180"/>
      <c r="P95" s="180">
        <f t="shared" si="9"/>
        <v>0</v>
      </c>
      <c r="Q95" s="180"/>
      <c r="R95" s="19">
        <f t="shared" si="10"/>
        <v>0</v>
      </c>
      <c r="S95" s="180">
        <f t="shared" si="11"/>
        <v>0</v>
      </c>
      <c r="T95" s="20">
        <v>7</v>
      </c>
      <c r="U95" s="20"/>
      <c r="V95" s="179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s="2" customFormat="1" ht="23.25" hidden="1" customHeight="1">
      <c r="A96" s="178">
        <v>300255</v>
      </c>
      <c r="B96" s="177" t="s">
        <v>87</v>
      </c>
      <c r="C96" s="248" t="s">
        <v>107</v>
      </c>
      <c r="D96" s="248" t="s">
        <v>101</v>
      </c>
      <c r="E96" s="182" t="s">
        <v>108</v>
      </c>
      <c r="F96" s="27"/>
      <c r="G96" s="133"/>
      <c r="H96" s="133"/>
      <c r="I96" s="133"/>
      <c r="J96" s="133"/>
      <c r="K96" s="180">
        <f t="shared" si="7"/>
        <v>0</v>
      </c>
      <c r="L96" s="180">
        <f t="shared" si="8"/>
        <v>0</v>
      </c>
      <c r="M96" s="180">
        <v>412.5</v>
      </c>
      <c r="N96" s="180">
        <f>+M96*1000/(84*1*110*60)*T96</f>
        <v>5.2083333333333339</v>
      </c>
      <c r="O96" s="180"/>
      <c r="P96" s="180">
        <f t="shared" si="9"/>
        <v>0</v>
      </c>
      <c r="Q96" s="180"/>
      <c r="R96" s="19">
        <f t="shared" si="10"/>
        <v>0</v>
      </c>
      <c r="S96" s="180">
        <f t="shared" si="11"/>
        <v>0</v>
      </c>
      <c r="T96" s="20">
        <v>7</v>
      </c>
      <c r="U96" s="20"/>
      <c r="V96" s="179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5" customFormat="1" ht="23.25" hidden="1" customHeight="1">
      <c r="A97" s="178">
        <v>300392</v>
      </c>
      <c r="B97" s="177" t="s">
        <v>87</v>
      </c>
      <c r="C97" s="259" t="s">
        <v>109</v>
      </c>
      <c r="D97" s="260"/>
      <c r="E97" s="182" t="s">
        <v>105</v>
      </c>
      <c r="F97" s="187"/>
      <c r="G97" s="133"/>
      <c r="H97" s="133"/>
      <c r="I97" s="133"/>
      <c r="J97" s="133"/>
      <c r="K97" s="180">
        <f t="shared" si="7"/>
        <v>0</v>
      </c>
      <c r="L97" s="180">
        <f t="shared" si="8"/>
        <v>0</v>
      </c>
      <c r="M97" s="180">
        <v>523</v>
      </c>
      <c r="N97" s="180">
        <f>+M97*1000/(98*1*80*60)*T97</f>
        <v>7.7827380952380958</v>
      </c>
      <c r="O97" s="180"/>
      <c r="P97" s="180">
        <f t="shared" si="9"/>
        <v>0</v>
      </c>
      <c r="Q97" s="180"/>
      <c r="R97" s="19">
        <f t="shared" si="10"/>
        <v>0</v>
      </c>
      <c r="S97" s="180">
        <f t="shared" si="11"/>
        <v>0</v>
      </c>
      <c r="T97" s="20">
        <v>7</v>
      </c>
      <c r="U97" s="20"/>
      <c r="V97" s="179" t="str">
        <f t="array" ref="V97">IF(ISERROR(L97/K97),"",L97/K97)</f>
        <v/>
      </c>
      <c r="W97" s="20"/>
      <c r="X97" s="20"/>
      <c r="Y97" s="20"/>
      <c r="Z97" s="20"/>
      <c r="AA97" s="20"/>
      <c r="AB97" s="20"/>
      <c r="AC97" s="20"/>
    </row>
    <row r="98" spans="1:29" s="2" customFormat="1" ht="21.95" hidden="1" customHeight="1">
      <c r="A98" s="178">
        <v>300088</v>
      </c>
      <c r="B98" s="177" t="s">
        <v>87</v>
      </c>
      <c r="C98" s="248" t="s">
        <v>318</v>
      </c>
      <c r="D98" s="248" t="s">
        <v>96</v>
      </c>
      <c r="E98" s="182" t="s">
        <v>39</v>
      </c>
      <c r="F98" s="27"/>
      <c r="G98" s="133"/>
      <c r="H98" s="133"/>
      <c r="I98" s="133"/>
      <c r="J98" s="133"/>
      <c r="K98" s="180">
        <f t="shared" si="7"/>
        <v>0</v>
      </c>
      <c r="L98" s="180">
        <f t="shared" si="8"/>
        <v>0</v>
      </c>
      <c r="M98" s="180">
        <v>617.79999999999995</v>
      </c>
      <c r="N98" s="180">
        <f>+M98*1000/(123*1*80*60)*T98</f>
        <v>3.1392276422764223</v>
      </c>
      <c r="O98" s="180"/>
      <c r="P98" s="180">
        <f t="shared" si="9"/>
        <v>0</v>
      </c>
      <c r="Q98" s="180"/>
      <c r="R98" s="19">
        <f t="shared" si="10"/>
        <v>0</v>
      </c>
      <c r="S98" s="180">
        <f t="shared" si="11"/>
        <v>0</v>
      </c>
      <c r="T98" s="20">
        <v>3</v>
      </c>
      <c r="U98" s="20"/>
      <c r="V98" s="179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s="2" customFormat="1" ht="21.95" hidden="1" customHeight="1">
      <c r="A99" s="178">
        <v>300089</v>
      </c>
      <c r="B99" s="177" t="s">
        <v>87</v>
      </c>
      <c r="C99" s="248" t="s">
        <v>318</v>
      </c>
      <c r="D99" s="248" t="s">
        <v>96</v>
      </c>
      <c r="E99" s="182" t="s">
        <v>42</v>
      </c>
      <c r="F99" s="27"/>
      <c r="G99" s="133"/>
      <c r="H99" s="133"/>
      <c r="I99" s="133"/>
      <c r="J99" s="133"/>
      <c r="K99" s="180">
        <f t="shared" si="7"/>
        <v>0</v>
      </c>
      <c r="L99" s="180">
        <f t="shared" si="8"/>
        <v>0</v>
      </c>
      <c r="M99" s="180">
        <v>618.6</v>
      </c>
      <c r="N99" s="180">
        <f>+M99*1000/(124*1*80*60)*T99</f>
        <v>3.117943548387097</v>
      </c>
      <c r="O99" s="180"/>
      <c r="P99" s="180">
        <f t="shared" si="9"/>
        <v>0</v>
      </c>
      <c r="Q99" s="180"/>
      <c r="R99" s="19">
        <f t="shared" si="10"/>
        <v>0</v>
      </c>
      <c r="S99" s="180">
        <f t="shared" si="11"/>
        <v>0</v>
      </c>
      <c r="T99" s="20">
        <v>3</v>
      </c>
      <c r="U99" s="20"/>
      <c r="V99" s="179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s="2" customFormat="1" ht="22.5" hidden="1" customHeight="1">
      <c r="A100" s="178">
        <v>300128</v>
      </c>
      <c r="B100" s="177" t="s">
        <v>87</v>
      </c>
      <c r="C100" s="248" t="s">
        <v>112</v>
      </c>
      <c r="D100" s="248" t="s">
        <v>113</v>
      </c>
      <c r="E100" s="182" t="s">
        <v>35</v>
      </c>
      <c r="F100" s="27"/>
      <c r="G100" s="133"/>
      <c r="H100" s="133"/>
      <c r="I100" s="133"/>
      <c r="J100" s="133"/>
      <c r="K100" s="180">
        <f t="shared" si="7"/>
        <v>0</v>
      </c>
      <c r="L100" s="180">
        <f t="shared" si="8"/>
        <v>0</v>
      </c>
      <c r="M100" s="180">
        <v>621.29999999999995</v>
      </c>
      <c r="N100" s="180">
        <f t="shared" ref="N100:N105" si="12">+M100*1000/(130.5*1*80*60)*T100</f>
        <v>3.9674329501915708</v>
      </c>
      <c r="O100" s="180"/>
      <c r="P100" s="180">
        <f t="shared" si="9"/>
        <v>0</v>
      </c>
      <c r="Q100" s="180"/>
      <c r="R100" s="19">
        <f t="shared" si="10"/>
        <v>0</v>
      </c>
      <c r="S100" s="180">
        <f t="shared" si="11"/>
        <v>0</v>
      </c>
      <c r="T100" s="20">
        <v>4</v>
      </c>
      <c r="U100" s="20"/>
      <c r="V100" s="179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s="2" customFormat="1" ht="21.95" hidden="1" customHeight="1">
      <c r="A101" s="178">
        <v>300129</v>
      </c>
      <c r="B101" s="177">
        <v>5001</v>
      </c>
      <c r="C101" s="248" t="s">
        <v>112</v>
      </c>
      <c r="D101" s="248" t="s">
        <v>113</v>
      </c>
      <c r="E101" s="182" t="s">
        <v>41</v>
      </c>
      <c r="F101" s="27"/>
      <c r="G101" s="133"/>
      <c r="H101" s="133"/>
      <c r="I101" s="133"/>
      <c r="J101" s="133"/>
      <c r="K101" s="180">
        <f t="shared" si="7"/>
        <v>0</v>
      </c>
      <c r="L101" s="180">
        <f t="shared" si="8"/>
        <v>0</v>
      </c>
      <c r="M101" s="180">
        <v>621.29999999999995</v>
      </c>
      <c r="N101" s="180">
        <f t="shared" si="12"/>
        <v>3.9674329501915708</v>
      </c>
      <c r="O101" s="180"/>
      <c r="P101" s="180">
        <f t="shared" si="9"/>
        <v>0</v>
      </c>
      <c r="Q101" s="180"/>
      <c r="R101" s="19">
        <f t="shared" si="10"/>
        <v>0</v>
      </c>
      <c r="S101" s="180">
        <f t="shared" si="11"/>
        <v>0</v>
      </c>
      <c r="T101" s="20">
        <v>4</v>
      </c>
      <c r="U101" s="20"/>
      <c r="V101" s="179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>
        <v>5001</v>
      </c>
      <c r="C102" s="248" t="s">
        <v>112</v>
      </c>
      <c r="D102" s="248" t="s">
        <v>113</v>
      </c>
      <c r="E102" s="166" t="s">
        <v>37</v>
      </c>
      <c r="F102" s="13"/>
      <c r="G102" s="133">
        <v>3</v>
      </c>
      <c r="H102" s="133"/>
      <c r="I102" s="133">
        <v>3</v>
      </c>
      <c r="J102" s="110"/>
      <c r="K102" s="164">
        <f t="shared" si="7"/>
        <v>1863.8999999999999</v>
      </c>
      <c r="L102" s="164">
        <f t="shared" si="8"/>
        <v>1863.8999999999999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11.902298850574713</v>
      </c>
      <c r="Q102" s="164">
        <v>3</v>
      </c>
      <c r="R102" s="19">
        <f t="shared" si="10"/>
        <v>15</v>
      </c>
      <c r="S102" s="164">
        <f t="shared" si="11"/>
        <v>3.0977011494252871</v>
      </c>
      <c r="T102" s="20">
        <v>4</v>
      </c>
      <c r="U102" s="20">
        <v>5</v>
      </c>
      <c r="V102" s="161">
        <f t="array" ref="V102">IF(ISERROR(L102/K102),"",L102/K102)</f>
        <v>1</v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34.33</v>
      </c>
      <c r="H199" s="164">
        <f t="array" ref="H199">SUM(IF(ISERROR(H6:H198),“”,H6:H198))</f>
        <v>0.56904761904761902</v>
      </c>
      <c r="I199" s="164">
        <f t="array" ref="I199">SUM(IF(ISERROR(I6:I198),“”,I6:I198))</f>
        <v>34.276190476190479</v>
      </c>
      <c r="J199" s="164">
        <f t="array" ref="J199">SUM(IF(ISERROR(J6:J198),“”,J6:J198))</f>
        <v>80</v>
      </c>
      <c r="K199" s="164">
        <f t="array" ref="K199">SUM(IF(ISERROR(K6:K198),“”,K6:K198))</f>
        <v>14267.58</v>
      </c>
      <c r="L199" s="56">
        <f>SUM(L6:L198)</f>
        <v>14246.399047619047</v>
      </c>
      <c r="M199" s="164"/>
      <c r="N199" s="164"/>
      <c r="O199" s="164">
        <f>SUM(O6:O190)</f>
        <v>1.5</v>
      </c>
      <c r="P199" s="56">
        <f>SUM((P6:P190),(W204:X209))</f>
        <v>281.55850153839242</v>
      </c>
      <c r="Q199" s="164"/>
      <c r="R199" s="56">
        <f>SUM((R6:R190),(Y204:Z209))</f>
        <v>354</v>
      </c>
      <c r="S199" s="164">
        <f t="array" ref="S199">SUM(IF(ISERROR(S6:S198),“”,S6:S198))</f>
        <v>-4.5585015383924414</v>
      </c>
      <c r="T199" s="164"/>
      <c r="U199" s="164"/>
      <c r="V199" s="161">
        <f>IF(ISERROR(L199/K199),"",L199/K199)</f>
        <v>0.99851544884409593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0.79536299869602378</v>
      </c>
      <c r="P200" s="274"/>
      <c r="Q200" s="274"/>
      <c r="R200" s="275"/>
      <c r="S200" s="44"/>
      <c r="T200" s="45"/>
      <c r="U200" s="45"/>
      <c r="V200" s="45"/>
      <c r="W200" s="276">
        <f>SUM(W199:AC199)</f>
        <v>2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70</v>
      </c>
      <c r="F202" s="279"/>
      <c r="G202" s="279">
        <v>70</v>
      </c>
      <c r="H202" s="279"/>
      <c r="I202" s="279">
        <f>G202-E202</f>
        <v>0</v>
      </c>
      <c r="J202" s="279"/>
      <c r="K202" s="281">
        <f t="array" ref="K202">IF(ISERROR(I202/E202),"",I202/E202)</f>
        <v>0</v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2429</v>
      </c>
      <c r="F203" s="279"/>
      <c r="G203" s="279">
        <v>2429</v>
      </c>
      <c r="H203" s="279"/>
      <c r="I203" s="279">
        <f>G203-E203</f>
        <v>0</v>
      </c>
      <c r="J203" s="279"/>
      <c r="K203" s="281">
        <f t="array" ref="K203">IF(ISERROR(I203/E203),"",I203/E203)</f>
        <v>0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17</v>
      </c>
      <c r="T203" s="284"/>
      <c r="U203" s="284">
        <v>16</v>
      </c>
      <c r="V203" s="284"/>
      <c r="W203" s="283">
        <f t="shared" ref="W203:W210" si="28">S203*11</f>
        <v>187</v>
      </c>
      <c r="X203" s="283"/>
      <c r="Y203" s="283">
        <f t="shared" ref="Y203:Y210" si="29">U203*11</f>
        <v>176</v>
      </c>
      <c r="Z203" s="283"/>
      <c r="AA203" s="283">
        <f t="shared" ref="AA203:AA210" si="30">Y203-W203</f>
        <v>-11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>
        <v>738</v>
      </c>
      <c r="F204" s="279"/>
      <c r="G204" s="279">
        <v>738</v>
      </c>
      <c r="H204" s="279"/>
      <c r="I204" s="279">
        <f>G204-E204</f>
        <v>0</v>
      </c>
      <c r="J204" s="279"/>
      <c r="K204" s="281">
        <f t="array" ref="K204">IF(ISERROR(I204/E204),"",I204/E204)</f>
        <v>0</v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3</v>
      </c>
      <c r="T204" s="284"/>
      <c r="U204" s="284">
        <v>7</v>
      </c>
      <c r="V204" s="284"/>
      <c r="W204" s="283">
        <f t="shared" si="28"/>
        <v>33</v>
      </c>
      <c r="X204" s="283"/>
      <c r="Y204" s="283">
        <f t="shared" si="29"/>
        <v>77</v>
      </c>
      <c r="Z204" s="283"/>
      <c r="AA204" s="283">
        <f t="shared" si="30"/>
        <v>44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8"/>
        <v>8.25</v>
      </c>
      <c r="X205" s="283"/>
      <c r="Y205" s="283">
        <f t="shared" si="29"/>
        <v>0</v>
      </c>
      <c r="Z205" s="283"/>
      <c r="AA205" s="283">
        <f t="shared" si="30"/>
        <v>-8.25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149309</v>
      </c>
      <c r="H206" s="286"/>
      <c r="I206" s="325">
        <v>149244</v>
      </c>
      <c r="J206" s="326"/>
      <c r="K206" s="289">
        <f>G206-I206</f>
        <v>65</v>
      </c>
      <c r="L206" s="289"/>
      <c r="M206" s="290">
        <f t="array" ref="M206">IF(ISERROR(K206/L199),"",K206/(L199/1000))</f>
        <v>4.5625564595471042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0</v>
      </c>
      <c r="V206" s="284"/>
      <c r="W206" s="283">
        <f t="shared" si="28"/>
        <v>8.25</v>
      </c>
      <c r="X206" s="283"/>
      <c r="Y206" s="283">
        <f t="shared" si="29"/>
        <v>0</v>
      </c>
      <c r="Z206" s="283"/>
      <c r="AA206" s="283">
        <f t="shared" si="30"/>
        <v>-8.25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28562.5*120+44854.9*60</f>
        <v>6118794</v>
      </c>
      <c r="H207" s="286"/>
      <c r="I207" s="325">
        <v>6117360</v>
      </c>
      <c r="J207" s="326"/>
      <c r="K207" s="289">
        <f>G207-I207</f>
        <v>1434</v>
      </c>
      <c r="L207" s="289"/>
      <c r="M207" s="290">
        <f t="array" ref="M207">IF(ISERROR(K207/L199),"",K207/(L199/1000))</f>
        <v>100.65701481523919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1</v>
      </c>
      <c r="V207" s="284"/>
      <c r="W207" s="283">
        <f t="shared" si="28"/>
        <v>16.5</v>
      </c>
      <c r="X207" s="283"/>
      <c r="Y207" s="283">
        <f t="shared" si="29"/>
        <v>11</v>
      </c>
      <c r="Z207" s="283"/>
      <c r="AA207" s="283">
        <f t="shared" si="30"/>
        <v>-5.5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+I208+11</f>
        <v>27819</v>
      </c>
      <c r="H208" s="286"/>
      <c r="I208" s="285">
        <v>27808</v>
      </c>
      <c r="J208" s="286"/>
      <c r="K208" s="289">
        <f>G208-I208</f>
        <v>11</v>
      </c>
      <c r="L208" s="289"/>
      <c r="M208" s="293">
        <f t="array" ref="M208">IF(ISERROR(K208/L199),"",K208/(L199/1000))</f>
        <v>0.77212493930797155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1</v>
      </c>
      <c r="V208" s="284"/>
      <c r="W208" s="283">
        <f t="shared" si="28"/>
        <v>11</v>
      </c>
      <c r="X208" s="283"/>
      <c r="Y208" s="283">
        <f t="shared" si="29"/>
        <v>11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f>1.76+1.6/2</f>
        <v>2.56</v>
      </c>
      <c r="L209" s="292"/>
      <c r="M209" s="294">
        <f t="array" ref="M209">IF(ISERROR((K209+K210)/L199),"",((K209+K210)*1000)/(L199/1000))</f>
        <v>179.69453132985518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8</v>
      </c>
      <c r="V209" s="284"/>
      <c r="W209" s="283">
        <f t="shared" si="28"/>
        <v>33</v>
      </c>
      <c r="X209" s="283"/>
      <c r="Y209" s="283">
        <f t="shared" si="29"/>
        <v>88</v>
      </c>
      <c r="Z209" s="283"/>
      <c r="AA209" s="283">
        <f t="shared" si="30"/>
        <v>55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27</v>
      </c>
      <c r="T210" s="284"/>
      <c r="U210" s="284">
        <f>SUM(U203:V209)</f>
        <v>33</v>
      </c>
      <c r="V210" s="284"/>
      <c r="W210" s="283">
        <f t="shared" si="28"/>
        <v>297</v>
      </c>
      <c r="X210" s="283"/>
      <c r="Y210" s="283">
        <f t="shared" si="29"/>
        <v>363</v>
      </c>
      <c r="Z210" s="283"/>
      <c r="AA210" s="283">
        <f t="shared" si="30"/>
        <v>66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4.296875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39.246278368096547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>
        <v>3002</v>
      </c>
      <c r="C223" s="259" t="s">
        <v>313</v>
      </c>
      <c r="D223" s="260"/>
      <c r="E223" s="166" t="s">
        <v>314</v>
      </c>
      <c r="F223" s="13"/>
      <c r="G223" s="133">
        <v>10</v>
      </c>
      <c r="H223" s="133"/>
      <c r="I223" s="133">
        <v>10</v>
      </c>
      <c r="J223" s="133"/>
      <c r="K223" s="164">
        <f t="shared" si="31"/>
        <v>2134</v>
      </c>
      <c r="L223" s="164">
        <f t="shared" si="32"/>
        <v>2134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40.756302521008401</v>
      </c>
      <c r="Q223" s="164">
        <v>0.5</v>
      </c>
      <c r="R223" s="19">
        <f t="shared" si="35"/>
        <v>1</v>
      </c>
      <c r="S223" s="164">
        <f t="shared" si="36"/>
        <v>-39.756302521008401</v>
      </c>
      <c r="T223" s="20">
        <v>3</v>
      </c>
      <c r="U223" s="20">
        <v>2</v>
      </c>
      <c r="V223" s="186">
        <f t="array" ref="V223">IF(ISERROR(L223/K223),"",L223/K223)</f>
        <v>1</v>
      </c>
      <c r="W223" s="20"/>
      <c r="X223" s="153"/>
      <c r="Y223" s="153"/>
      <c r="Z223" s="165"/>
      <c r="AA223" s="20">
        <v>2</v>
      </c>
      <c r="AB223" s="20"/>
      <c r="AC223" s="20"/>
    </row>
    <row r="224" spans="1:29" ht="21.75" customHeight="1">
      <c r="A224" s="160"/>
      <c r="B224" s="153">
        <v>3002</v>
      </c>
      <c r="C224" s="259" t="s">
        <v>313</v>
      </c>
      <c r="D224" s="260"/>
      <c r="E224" s="166" t="s">
        <v>315</v>
      </c>
      <c r="F224" s="13"/>
      <c r="G224" s="133">
        <v>9</v>
      </c>
      <c r="H224" s="133"/>
      <c r="I224" s="133">
        <v>9</v>
      </c>
      <c r="J224" s="133"/>
      <c r="K224" s="164">
        <f t="shared" si="31"/>
        <v>1920.6000000000001</v>
      </c>
      <c r="L224" s="164">
        <f t="shared" si="32"/>
        <v>1920.6000000000001</v>
      </c>
      <c r="M224" s="164">
        <v>213.4</v>
      </c>
      <c r="N224" s="164">
        <f>+M224*1000/(15.4*10*17*60)*T224</f>
        <v>4.0756302521008401</v>
      </c>
      <c r="O224" s="164">
        <v>0.5</v>
      </c>
      <c r="P224" s="164">
        <f t="shared" si="34"/>
        <v>37.680672268907557</v>
      </c>
      <c r="Q224" s="164">
        <v>10.5</v>
      </c>
      <c r="R224" s="19">
        <f t="shared" si="35"/>
        <v>21</v>
      </c>
      <c r="S224" s="164">
        <f t="shared" si="36"/>
        <v>-16.680672268907557</v>
      </c>
      <c r="T224" s="20">
        <v>3</v>
      </c>
      <c r="U224" s="20">
        <v>2</v>
      </c>
      <c r="V224" s="186">
        <f t="array" ref="V224">IF(ISERROR(L224/K224),"",L224/K224)</f>
        <v>1</v>
      </c>
      <c r="W224" s="20"/>
      <c r="X224" s="153"/>
      <c r="Y224" s="153"/>
      <c r="Z224" s="165"/>
      <c r="AA224" s="20"/>
      <c r="AB224" s="20"/>
      <c r="AC224" s="20"/>
    </row>
    <row r="225" spans="1:29" s="2" customFormat="1" ht="21.7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33"/>
      <c r="H225" s="133"/>
      <c r="I225" s="133"/>
      <c r="J225" s="133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33"/>
      <c r="H226" s="133"/>
      <c r="I226" s="133"/>
      <c r="J226" s="133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33"/>
      <c r="H227" s="133"/>
      <c r="I227" s="133"/>
      <c r="J227" s="133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33"/>
      <c r="H228" s="133"/>
      <c r="I228" s="133"/>
      <c r="J228" s="133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33"/>
      <c r="H229" s="133"/>
      <c r="I229" s="133"/>
      <c r="J229" s="133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33"/>
      <c r="H230" s="133"/>
      <c r="I230" s="133"/>
      <c r="J230" s="133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33"/>
      <c r="H231" s="133"/>
      <c r="I231" s="133"/>
      <c r="J231" s="133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33"/>
      <c r="H232" s="133"/>
      <c r="I232" s="133"/>
      <c r="J232" s="133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33"/>
      <c r="H233" s="133"/>
      <c r="I233" s="133"/>
      <c r="J233" s="133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33"/>
      <c r="H234" s="133"/>
      <c r="I234" s="133"/>
      <c r="J234" s="133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33"/>
      <c r="H235" s="133"/>
      <c r="I235" s="133"/>
      <c r="J235" s="133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33"/>
      <c r="H236" s="133"/>
      <c r="I236" s="133"/>
      <c r="J236" s="133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33"/>
      <c r="H237" s="133"/>
      <c r="I237" s="133"/>
      <c r="J237" s="133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33"/>
      <c r="H238" s="133"/>
      <c r="I238" s="133"/>
      <c r="J238" s="133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33"/>
      <c r="H239" s="133"/>
      <c r="I239" s="133"/>
      <c r="J239" s="133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33"/>
      <c r="H240" s="133"/>
      <c r="I240" s="133"/>
      <c r="J240" s="133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33"/>
      <c r="H241" s="133"/>
      <c r="I241" s="133"/>
      <c r="J241" s="133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33"/>
      <c r="H242" s="133"/>
      <c r="I242" s="133"/>
      <c r="J242" s="133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33"/>
      <c r="H243" s="133"/>
      <c r="I243" s="133"/>
      <c r="J243" s="133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33"/>
      <c r="H244" s="133"/>
      <c r="I244" s="133"/>
      <c r="J244" s="133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33"/>
      <c r="H245" s="133"/>
      <c r="I245" s="133"/>
      <c r="J245" s="133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33"/>
      <c r="H246" s="133"/>
      <c r="I246" s="133"/>
      <c r="J246" s="133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33"/>
      <c r="H247" s="133"/>
      <c r="I247" s="133"/>
      <c r="J247" s="133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33"/>
      <c r="H248" s="133"/>
      <c r="I248" s="133"/>
      <c r="J248" s="133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33"/>
      <c r="H249" s="133"/>
      <c r="I249" s="133"/>
      <c r="J249" s="133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33"/>
      <c r="H250" s="133"/>
      <c r="I250" s="133"/>
      <c r="J250" s="133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33"/>
      <c r="H251" s="133"/>
      <c r="I251" s="133"/>
      <c r="J251" s="133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33"/>
      <c r="H252" s="133"/>
      <c r="I252" s="133"/>
      <c r="J252" s="133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33"/>
      <c r="H253" s="133"/>
      <c r="I253" s="133"/>
      <c r="J253" s="133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33"/>
      <c r="H254" s="133"/>
      <c r="I254" s="133"/>
      <c r="J254" s="133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33"/>
      <c r="H255" s="133"/>
      <c r="I255" s="133"/>
      <c r="J255" s="133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33"/>
      <c r="H256" s="133"/>
      <c r="I256" s="133"/>
      <c r="J256" s="133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33"/>
      <c r="H257" s="133"/>
      <c r="I257" s="133"/>
      <c r="J257" s="133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33"/>
      <c r="H258" s="133"/>
      <c r="I258" s="133"/>
      <c r="J258" s="133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33"/>
      <c r="H259" s="133"/>
      <c r="I259" s="133"/>
      <c r="J259" s="133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33"/>
      <c r="H260" s="133"/>
      <c r="I260" s="133"/>
      <c r="J260" s="133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33"/>
      <c r="H261" s="133"/>
      <c r="I261" s="133"/>
      <c r="J261" s="133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33"/>
      <c r="H262" s="133"/>
      <c r="I262" s="133"/>
      <c r="J262" s="133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33"/>
      <c r="H263" s="133"/>
      <c r="I263" s="133"/>
      <c r="J263" s="133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33"/>
      <c r="H264" s="133"/>
      <c r="I264" s="133"/>
      <c r="J264" s="133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33"/>
      <c r="H265" s="133"/>
      <c r="I265" s="133"/>
      <c r="J265" s="133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33"/>
      <c r="H266" s="133"/>
      <c r="I266" s="133"/>
      <c r="J266" s="133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33"/>
      <c r="H267" s="133"/>
      <c r="I267" s="133"/>
      <c r="J267" s="133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>
        <v>4503</v>
      </c>
      <c r="C268" s="248" t="s">
        <v>77</v>
      </c>
      <c r="D268" s="248" t="s">
        <v>78</v>
      </c>
      <c r="E268" s="166" t="s">
        <v>35</v>
      </c>
      <c r="F268" s="165"/>
      <c r="G268" s="133">
        <v>10</v>
      </c>
      <c r="H268" s="133">
        <v>0.14285714285714285</v>
      </c>
      <c r="I268" s="133">
        <f>9+H268</f>
        <v>9.1428571428571423</v>
      </c>
      <c r="J268" s="133"/>
      <c r="K268" s="164">
        <f t="shared" si="31"/>
        <v>4066</v>
      </c>
      <c r="L268" s="164">
        <f t="shared" si="32"/>
        <v>3717.4857142857145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52.955636955636948</v>
      </c>
      <c r="Q268" s="164">
        <v>11</v>
      </c>
      <c r="R268" s="19">
        <f t="shared" si="35"/>
        <v>55</v>
      </c>
      <c r="S268" s="164">
        <f t="shared" si="36"/>
        <v>2.0443630443630525</v>
      </c>
      <c r="T268" s="20">
        <v>5</v>
      </c>
      <c r="U268" s="20">
        <v>5</v>
      </c>
      <c r="V268" s="161">
        <f t="array" ref="V268">IF(ISERROR(L268/K268),"",L268/K268)</f>
        <v>0.91428571428571437</v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33"/>
      <c r="H269" s="133"/>
      <c r="I269" s="133"/>
      <c r="J269" s="133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33"/>
      <c r="H270" s="133"/>
      <c r="I270" s="133"/>
      <c r="J270" s="133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33"/>
      <c r="H271" s="133"/>
      <c r="I271" s="133"/>
      <c r="J271" s="133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33"/>
      <c r="H272" s="133"/>
      <c r="I272" s="133"/>
      <c r="J272" s="133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33"/>
      <c r="H273" s="133"/>
      <c r="I273" s="133"/>
      <c r="J273" s="133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33"/>
      <c r="H274" s="133"/>
      <c r="I274" s="133"/>
      <c r="J274" s="133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33"/>
      <c r="H275" s="133"/>
      <c r="I275" s="133"/>
      <c r="J275" s="133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33"/>
      <c r="H276" s="133"/>
      <c r="I276" s="133"/>
      <c r="J276" s="133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33"/>
      <c r="H277" s="133"/>
      <c r="I277" s="133"/>
      <c r="J277" s="133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33"/>
      <c r="H278" s="133"/>
      <c r="I278" s="133"/>
      <c r="J278" s="133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33"/>
      <c r="H279" s="133"/>
      <c r="I279" s="133"/>
      <c r="J279" s="133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33"/>
      <c r="H280" s="133"/>
      <c r="I280" s="133"/>
      <c r="J280" s="133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33"/>
      <c r="H281" s="133"/>
      <c r="I281" s="133"/>
      <c r="J281" s="133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33"/>
      <c r="H282" s="133"/>
      <c r="I282" s="133"/>
      <c r="J282" s="133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33"/>
      <c r="H283" s="133"/>
      <c r="I283" s="133"/>
      <c r="J283" s="133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33"/>
      <c r="H284" s="133"/>
      <c r="I284" s="133"/>
      <c r="J284" s="133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33"/>
      <c r="H285" s="133"/>
      <c r="I285" s="133"/>
      <c r="J285" s="133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85" t="s">
        <v>323</v>
      </c>
      <c r="C286" s="248" t="s">
        <v>317</v>
      </c>
      <c r="D286" s="248" t="s">
        <v>96</v>
      </c>
      <c r="E286" s="166" t="s">
        <v>35</v>
      </c>
      <c r="F286" s="165"/>
      <c r="G286" s="133">
        <v>10</v>
      </c>
      <c r="H286" s="133"/>
      <c r="I286" s="133">
        <v>10</v>
      </c>
      <c r="J286" s="133"/>
      <c r="K286" s="164">
        <f t="shared" ref="K286:K362" si="38">G286*M286</f>
        <v>4192</v>
      </c>
      <c r="L286" s="164">
        <f t="shared" ref="L286:L362" si="39">I286*M286</f>
        <v>4192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48.95194721784317</v>
      </c>
      <c r="Q286" s="164">
        <v>10</v>
      </c>
      <c r="R286" s="19">
        <f t="shared" ref="R286:R362" si="41">Q286*U286</f>
        <v>50</v>
      </c>
      <c r="S286" s="164">
        <f t="shared" ref="S286:S362" si="42">R286-P286</f>
        <v>1.0480527821568302</v>
      </c>
      <c r="T286" s="20">
        <v>4</v>
      </c>
      <c r="U286" s="20">
        <v>5</v>
      </c>
      <c r="V286" s="161">
        <f t="array" ref="V286">IF(ISERROR(L286/K286),"",L286/K286)</f>
        <v>1</v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33"/>
      <c r="H287" s="133"/>
      <c r="I287" s="133"/>
      <c r="J287" s="133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33"/>
      <c r="H288" s="133"/>
      <c r="I288" s="133"/>
      <c r="J288" s="133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33"/>
      <c r="H289" s="133"/>
      <c r="I289" s="133"/>
      <c r="J289" s="133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33"/>
      <c r="H290" s="133"/>
      <c r="I290" s="133"/>
      <c r="J290" s="133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33"/>
      <c r="H291" s="133"/>
      <c r="I291" s="133"/>
      <c r="J291" s="133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33"/>
      <c r="H292" s="133"/>
      <c r="I292" s="133"/>
      <c r="J292" s="133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33"/>
      <c r="H293" s="133"/>
      <c r="I293" s="133"/>
      <c r="J293" s="133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33"/>
      <c r="H294" s="133"/>
      <c r="I294" s="133"/>
      <c r="J294" s="133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33"/>
      <c r="H295" s="133"/>
      <c r="I295" s="133"/>
      <c r="J295" s="133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33"/>
      <c r="H296" s="133"/>
      <c r="I296" s="133"/>
      <c r="J296" s="133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33"/>
      <c r="H297" s="133"/>
      <c r="I297" s="133"/>
      <c r="J297" s="133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33"/>
      <c r="H298" s="133"/>
      <c r="I298" s="133"/>
      <c r="J298" s="133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33"/>
      <c r="H299" s="133"/>
      <c r="I299" s="133"/>
      <c r="J299" s="133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33"/>
      <c r="H300" s="133"/>
      <c r="I300" s="133"/>
      <c r="J300" s="133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33"/>
      <c r="H301" s="133"/>
      <c r="I301" s="133"/>
      <c r="J301" s="133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33"/>
      <c r="H302" s="133"/>
      <c r="I302" s="133"/>
      <c r="J302" s="133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33"/>
      <c r="H303" s="133"/>
      <c r="I303" s="133"/>
      <c r="J303" s="133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33"/>
      <c r="H304" s="133"/>
      <c r="I304" s="133"/>
      <c r="J304" s="133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33"/>
      <c r="H305" s="133"/>
      <c r="I305" s="133"/>
      <c r="J305" s="133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33"/>
      <c r="H306" s="133"/>
      <c r="I306" s="133"/>
      <c r="J306" s="133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33"/>
      <c r="H307" s="133"/>
      <c r="I307" s="133"/>
      <c r="J307" s="133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33"/>
      <c r="H308" s="133"/>
      <c r="I308" s="133"/>
      <c r="J308" s="133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33"/>
      <c r="H309" s="133"/>
      <c r="I309" s="133"/>
      <c r="J309" s="133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85" t="s">
        <v>323</v>
      </c>
      <c r="C310" s="248" t="s">
        <v>112</v>
      </c>
      <c r="D310" s="248" t="s">
        <v>113</v>
      </c>
      <c r="E310" s="166" t="s">
        <v>41</v>
      </c>
      <c r="F310" s="165"/>
      <c r="G310" s="133">
        <v>9</v>
      </c>
      <c r="H310" s="133"/>
      <c r="I310" s="133">
        <v>9</v>
      </c>
      <c r="J310" s="133"/>
      <c r="K310" s="164">
        <f t="shared" si="38"/>
        <v>5591.7</v>
      </c>
      <c r="L310" s="164">
        <f t="shared" si="39"/>
        <v>5591.7</v>
      </c>
      <c r="M310" s="164">
        <v>621.29999999999995</v>
      </c>
      <c r="N310" s="164">
        <f t="shared" si="43"/>
        <v>3.9674329501915708</v>
      </c>
      <c r="O310" s="164">
        <v>0.5</v>
      </c>
      <c r="P310" s="164">
        <f t="shared" si="40"/>
        <v>37.706896551724135</v>
      </c>
      <c r="Q310" s="164">
        <v>12</v>
      </c>
      <c r="R310" s="19">
        <f t="shared" si="41"/>
        <v>48</v>
      </c>
      <c r="S310" s="164">
        <f t="shared" si="42"/>
        <v>10.293103448275865</v>
      </c>
      <c r="T310" s="20">
        <v>4</v>
      </c>
      <c r="U310" s="20">
        <v>4</v>
      </c>
      <c r="V310" s="161">
        <f t="array" ref="V310">IF(ISERROR(L310/K310),"",L310/K310)</f>
        <v>1</v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48</v>
      </c>
      <c r="H408" s="164">
        <f t="array" ref="H408">SUM(IF(ISERROR(H215:H407),“”,H215:H407))</f>
        <v>0.14285714285714285</v>
      </c>
      <c r="I408" s="164">
        <f t="array" ref="I408">SUM(IF(ISERROR(I215:I407),“”,I215:I407))</f>
        <v>47.142857142857139</v>
      </c>
      <c r="J408" s="164">
        <f t="array" ref="J408">SUM(IF(ISERROR(J215:J407),“”,J215:J407))</f>
        <v>0</v>
      </c>
      <c r="K408" s="164">
        <f t="array" ref="K408">SUM(IF(ISERROR(K215:K407),“”,K215:K407))</f>
        <v>17904.3</v>
      </c>
      <c r="L408" s="117">
        <f>SUM(L215:L399)</f>
        <v>17555.785714285714</v>
      </c>
      <c r="M408" s="164"/>
      <c r="N408" s="164"/>
      <c r="O408" s="164">
        <f t="array" ref="O408">SUM(IF(ISERROR(O215:O407),“”,O215:O407))</f>
        <v>1</v>
      </c>
      <c r="P408" s="56">
        <f>SUM((P215:P399),(W413:X418))</f>
        <v>308.05145551512021</v>
      </c>
      <c r="Q408" s="164"/>
      <c r="R408" s="56">
        <f>SUM((R215:R399),(Y413:Z418))</f>
        <v>283</v>
      </c>
      <c r="S408" s="164">
        <f t="array" ref="S408">SUM(IF(ISERROR(S215:S407),“”,S215:S407))</f>
        <v>-43.05145551512021</v>
      </c>
      <c r="T408" s="164"/>
      <c r="U408" s="164"/>
      <c r="V408" s="161">
        <f t="array" ref="V408">IF(ISERROR(L408/K408),"",L408/K408)</f>
        <v>0.9805346042171833</v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2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>
        <f t="array" ref="O409">IF(ISERROR(P408/R408),"",P408/R408)</f>
        <v>1.0885210442230395</v>
      </c>
      <c r="P409" s="274"/>
      <c r="Q409" s="274"/>
      <c r="R409" s="275"/>
      <c r="S409" s="44"/>
      <c r="T409" s="45"/>
      <c r="U409" s="45"/>
      <c r="V409" s="45"/>
      <c r="W409" s="276">
        <f>SUM(W408:AC408)</f>
        <v>2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>
        <v>63</v>
      </c>
      <c r="F411" s="279"/>
      <c r="G411" s="279">
        <v>63</v>
      </c>
      <c r="H411" s="279"/>
      <c r="I411" s="279">
        <f>G411-E411</f>
        <v>0</v>
      </c>
      <c r="J411" s="279"/>
      <c r="K411" s="281">
        <f t="array" ref="K411">IF(ISERROR(I411/E411),"",I411/E411)</f>
        <v>0</v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>
        <v>2637</v>
      </c>
      <c r="F412" s="279"/>
      <c r="G412" s="279">
        <v>2637</v>
      </c>
      <c r="H412" s="279"/>
      <c r="I412" s="279">
        <f>G412-E412</f>
        <v>0</v>
      </c>
      <c r="J412" s="279"/>
      <c r="K412" s="281">
        <f t="array" ref="K412">IF(ISERROR(I412/E412),"",I412/E412)</f>
        <v>0</v>
      </c>
      <c r="L412" s="281"/>
      <c r="M412" s="266"/>
      <c r="N412" s="267"/>
      <c r="O412" s="321"/>
      <c r="P412" s="321"/>
      <c r="Q412" s="283" t="s">
        <v>193</v>
      </c>
      <c r="R412" s="283"/>
      <c r="S412" s="284">
        <v>16</v>
      </c>
      <c r="T412" s="284"/>
      <c r="U412" s="284">
        <v>16</v>
      </c>
      <c r="V412" s="284"/>
      <c r="W412" s="283">
        <f>S412*9</f>
        <v>144</v>
      </c>
      <c r="X412" s="283"/>
      <c r="Y412" s="283">
        <f>U412*9</f>
        <v>144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>
        <v>3</v>
      </c>
      <c r="T413" s="284"/>
      <c r="U413" s="284">
        <v>4</v>
      </c>
      <c r="V413" s="284"/>
      <c r="W413" s="283">
        <f t="shared" ref="W413:W419" si="60">S413*9</f>
        <v>27</v>
      </c>
      <c r="X413" s="283"/>
      <c r="Y413" s="283">
        <f t="shared" ref="Y413:Y419" si="61">U413*9</f>
        <v>36</v>
      </c>
      <c r="Z413" s="283"/>
      <c r="AA413" s="283">
        <f t="shared" si="59"/>
        <v>9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358">
        <v>0.75</v>
      </c>
      <c r="T414" s="359"/>
      <c r="U414" s="284">
        <v>0</v>
      </c>
      <c r="V414" s="284"/>
      <c r="W414" s="283">
        <f t="shared" si="60"/>
        <v>6.75</v>
      </c>
      <c r="X414" s="283"/>
      <c r="Y414" s="283">
        <f t="shared" si="61"/>
        <v>0</v>
      </c>
      <c r="Z414" s="283"/>
      <c r="AA414" s="283">
        <f t="shared" si="59"/>
        <v>-6.75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>
        <v>149362</v>
      </c>
      <c r="H415" s="324"/>
      <c r="I415" s="325">
        <v>149309</v>
      </c>
      <c r="J415" s="326"/>
      <c r="K415" s="289">
        <f>G415-I415</f>
        <v>53</v>
      </c>
      <c r="L415" s="289"/>
      <c r="M415" s="290">
        <f t="array" ref="M415">IF(ISERROR(K415/L408),"",K415/(L408/1000))</f>
        <v>3.0189477624389189</v>
      </c>
      <c r="N415" s="290"/>
      <c r="O415" s="321"/>
      <c r="P415" s="321"/>
      <c r="Q415" s="283" t="s">
        <v>205</v>
      </c>
      <c r="R415" s="283"/>
      <c r="S415" s="358">
        <v>0.75</v>
      </c>
      <c r="T415" s="359"/>
      <c r="U415" s="284">
        <v>0</v>
      </c>
      <c r="V415" s="284"/>
      <c r="W415" s="283">
        <f t="shared" si="60"/>
        <v>6.75</v>
      </c>
      <c r="X415" s="283"/>
      <c r="Y415" s="283">
        <f t="shared" si="61"/>
        <v>0</v>
      </c>
      <c r="Z415" s="283"/>
      <c r="AA415" s="283">
        <f t="shared" si="59"/>
        <v>-6.75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>
        <f>44861.5*60+28568.2*120</f>
        <v>6119874</v>
      </c>
      <c r="H416" s="323"/>
      <c r="I416" s="322">
        <v>6118794</v>
      </c>
      <c r="J416" s="323"/>
      <c r="K416" s="289">
        <f>G416-I416</f>
        <v>1080</v>
      </c>
      <c r="L416" s="289"/>
      <c r="M416" s="290">
        <f t="array" ref="M416">IF(ISERROR(K416/L408),"",K416/(L408/1000))</f>
        <v>61.51818081951005</v>
      </c>
      <c r="N416" s="290"/>
      <c r="O416" s="321"/>
      <c r="P416" s="321"/>
      <c r="Q416" s="283" t="s">
        <v>208</v>
      </c>
      <c r="R416" s="283"/>
      <c r="S416" s="358">
        <v>1.5</v>
      </c>
      <c r="T416" s="359"/>
      <c r="U416" s="284">
        <v>0</v>
      </c>
      <c r="V416" s="284"/>
      <c r="W416" s="283">
        <f t="shared" si="60"/>
        <v>13.5</v>
      </c>
      <c r="X416" s="283"/>
      <c r="Y416" s="283">
        <f t="shared" si="61"/>
        <v>0</v>
      </c>
      <c r="Z416" s="283"/>
      <c r="AA416" s="283">
        <f t="shared" si="59"/>
        <v>-13.5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>
        <f>+I417+11</f>
        <v>27830</v>
      </c>
      <c r="H417" s="324"/>
      <c r="I417" s="327">
        <v>27819</v>
      </c>
      <c r="J417" s="328"/>
      <c r="K417" s="289">
        <f>G417-I417</f>
        <v>11</v>
      </c>
      <c r="L417" s="289"/>
      <c r="M417" s="293">
        <f t="array" ref="M417">IF(ISERROR(K417/L408),"",K417/(L408/1000))</f>
        <v>0.62657406390241721</v>
      </c>
      <c r="N417" s="293"/>
      <c r="O417" s="321"/>
      <c r="P417" s="321"/>
      <c r="Q417" s="283" t="s">
        <v>211</v>
      </c>
      <c r="R417" s="283"/>
      <c r="S417" s="358">
        <v>1</v>
      </c>
      <c r="T417" s="359"/>
      <c r="U417" s="284">
        <v>1</v>
      </c>
      <c r="V417" s="284"/>
      <c r="W417" s="283">
        <f t="shared" si="60"/>
        <v>9</v>
      </c>
      <c r="X417" s="283"/>
      <c r="Y417" s="283">
        <f t="shared" si="61"/>
        <v>9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>
        <f>1.6+1.6/2</f>
        <v>2.4000000000000004</v>
      </c>
      <c r="L418" s="301"/>
      <c r="M418" s="294">
        <f t="array" ref="M418">IF(ISERROR((K418+K419)/L408),"",((K418+K419)*1000)/(L408/1000))</f>
        <v>136.70706848780014</v>
      </c>
      <c r="N418" s="295"/>
      <c r="O418" s="321"/>
      <c r="P418" s="321"/>
      <c r="Q418" s="283" t="s">
        <v>214</v>
      </c>
      <c r="R418" s="283"/>
      <c r="S418" s="358">
        <v>3</v>
      </c>
      <c r="T418" s="359"/>
      <c r="U418" s="284">
        <v>7</v>
      </c>
      <c r="V418" s="284"/>
      <c r="W418" s="283">
        <f t="shared" si="60"/>
        <v>27</v>
      </c>
      <c r="X418" s="283"/>
      <c r="Y418" s="283">
        <f t="shared" si="61"/>
        <v>63</v>
      </c>
      <c r="Z418" s="283"/>
      <c r="AA418" s="283">
        <f t="shared" si="59"/>
        <v>36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26</v>
      </c>
      <c r="T419" s="284"/>
      <c r="U419" s="284">
        <f>SUM(U412:V418)</f>
        <v>28</v>
      </c>
      <c r="V419" s="284"/>
      <c r="W419" s="283">
        <f t="shared" si="60"/>
        <v>234</v>
      </c>
      <c r="X419" s="283"/>
      <c r="Y419" s="283">
        <f t="shared" si="61"/>
        <v>252</v>
      </c>
      <c r="Z419" s="283"/>
      <c r="AA419" s="283">
        <f t="shared" si="59"/>
        <v>18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>
        <f>IF(ISERROR(K417/K418),"",K417/K418)</f>
        <v>4.583333333333333</v>
      </c>
      <c r="N420" s="303"/>
      <c r="O420" s="321"/>
      <c r="P420" s="321"/>
      <c r="Q420" s="280" t="s">
        <v>219</v>
      </c>
      <c r="R420" s="280"/>
      <c r="S420" s="330">
        <f t="array" ref="S420">IF(ISERROR(L408/Y419),"",L408/Y419)</f>
        <v>69.665816326530617</v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32171.879999999997</v>
      </c>
      <c r="D423" s="337"/>
      <c r="E423" s="333" t="s">
        <v>226</v>
      </c>
      <c r="F423" s="333"/>
      <c r="G423" s="333">
        <f>L199+L408</f>
        <v>31802.184761904762</v>
      </c>
      <c r="H423" s="333"/>
      <c r="I423" s="340" t="s">
        <v>227</v>
      </c>
      <c r="J423" s="340"/>
      <c r="K423" s="339">
        <f>IF(ISERROR(G423/C423),"",G423/C423)</f>
        <v>0.98850874620646245</v>
      </c>
      <c r="L423" s="339"/>
      <c r="M423" s="333" t="s">
        <v>228</v>
      </c>
      <c r="N423" s="333"/>
      <c r="O423" s="334">
        <f>IF(ISERROR(G423/G424),"",G423/G424)</f>
        <v>49.924936831875605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589.60995705351263</v>
      </c>
      <c r="D424" s="337"/>
      <c r="E424" s="338" t="s">
        <v>18</v>
      </c>
      <c r="F424" s="338"/>
      <c r="G424" s="333">
        <f>R199+R408</f>
        <v>637</v>
      </c>
      <c r="H424" s="333"/>
      <c r="I424" s="313" t="s">
        <v>176</v>
      </c>
      <c r="J424" s="313"/>
      <c r="K424" s="339">
        <f>IF(ISERROR(C424/G424),"",C424/G424)</f>
        <v>0.92560432818447824</v>
      </c>
      <c r="L424" s="339"/>
      <c r="M424" s="279" t="s">
        <v>230</v>
      </c>
      <c r="N424" s="279"/>
      <c r="O424" s="333">
        <f>W200+W409</f>
        <v>4</v>
      </c>
      <c r="P424" s="279"/>
      <c r="Q424" s="279" t="s">
        <v>231</v>
      </c>
      <c r="R424" s="279"/>
      <c r="S424" s="339">
        <f t="array" ref="S424">IF(ISERROR(O424/G424),"",O424/G424)</f>
        <v>6.2794348508634227E-3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118</v>
      </c>
      <c r="D426" s="337"/>
      <c r="E426" s="333" t="s">
        <v>234</v>
      </c>
      <c r="F426" s="333"/>
      <c r="G426" s="293">
        <f t="array" ref="G426">IF(ISERROR(C426/G423),"",C426/(G423/1000))</f>
        <v>3.7104369049937089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2514</v>
      </c>
      <c r="D427" s="337"/>
      <c r="E427" s="333" t="s">
        <v>236</v>
      </c>
      <c r="F427" s="333"/>
      <c r="G427" s="293">
        <f>IF(ISERROR(C427/G423),"",C427/(G423/1000))</f>
        <v>79.051172704696484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22</v>
      </c>
      <c r="D428" s="337"/>
      <c r="E428" s="333" t="s">
        <v>238</v>
      </c>
      <c r="F428" s="333"/>
      <c r="G428" s="293">
        <f>IF(ISERROR(C428/G423),"",C428/(G423/1000))</f>
        <v>0.69177637211747123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4.9600000000000009</v>
      </c>
      <c r="D429" s="337"/>
      <c r="E429" s="333" t="s">
        <v>240</v>
      </c>
      <c r="F429" s="333"/>
      <c r="G429" s="341">
        <f>IF(ISERROR(C429/G423),"",C429/(G423/1000))</f>
        <v>0.15596412753193897</v>
      </c>
      <c r="H429" s="341"/>
      <c r="I429" s="333" t="s">
        <v>241</v>
      </c>
      <c r="J429" s="333"/>
      <c r="K429" s="342">
        <f>IF(ISERROR(C428/C429),"",C428/C429)</f>
        <v>4.4354838709677411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133</v>
      </c>
      <c r="D432" s="346"/>
      <c r="E432" s="333" t="s">
        <v>247</v>
      </c>
      <c r="F432" s="351"/>
      <c r="G432" s="347">
        <f>+G411+G202</f>
        <v>133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>
        <f t="array" ref="O432">IF(ISERROR(K432/C432),"",K432/C432)</f>
        <v>0</v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5066</v>
      </c>
      <c r="D433" s="346"/>
      <c r="E433" s="333" t="s">
        <v>251</v>
      </c>
      <c r="F433" s="333"/>
      <c r="G433" s="347">
        <f>+G412+G203</f>
        <v>5066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>
        <f t="array" ref="O433">IF(ISERROR(K433/C433),"",K433/C433)</f>
        <v>0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738</v>
      </c>
      <c r="D434" s="346"/>
      <c r="E434" s="333" t="s">
        <v>255</v>
      </c>
      <c r="F434" s="351"/>
      <c r="G434" s="347">
        <f>+G413+G204</f>
        <v>738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>
        <f t="array" ref="O434">IF(ISERROR(K434/C434),"",K434/C434)</f>
        <v>0</v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>
        <v>8</v>
      </c>
      <c r="J440" s="83">
        <f t="shared" si="63"/>
        <v>15</v>
      </c>
      <c r="K440" s="67">
        <v>1</v>
      </c>
      <c r="L440" s="67"/>
      <c r="M440" s="67"/>
      <c r="N440" s="67"/>
      <c r="O440" s="67"/>
      <c r="P440" s="118"/>
      <c r="Q440" s="83">
        <f t="shared" si="64"/>
        <v>14</v>
      </c>
      <c r="R440" s="158">
        <f t="shared" si="65"/>
        <v>154</v>
      </c>
      <c r="S440" s="101">
        <f t="array" ref="S440">IF(ISERROR(Q440/J440),"",Q440/J440)</f>
        <v>0.93333333333333335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8</v>
      </c>
      <c r="J443" s="84">
        <f t="shared" si="63"/>
        <v>34</v>
      </c>
      <c r="K443" s="68">
        <f t="shared" si="67"/>
        <v>1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33</v>
      </c>
      <c r="R443" s="158">
        <f t="shared" si="65"/>
        <v>363</v>
      </c>
      <c r="S443" s="120">
        <f t="array" ref="S443">IF(ISERROR(Q443/J443),"",Q443/J443)</f>
        <v>0.97058823529411764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>
        <v>1</v>
      </c>
      <c r="L444" s="67"/>
      <c r="M444" s="67"/>
      <c r="N444" s="67"/>
      <c r="O444" s="67"/>
      <c r="P444" s="67"/>
      <c r="Q444" s="83">
        <f t="shared" si="64"/>
        <v>4</v>
      </c>
      <c r="R444" s="158">
        <f>Q444*11.5-M444-N444</f>
        <v>46</v>
      </c>
      <c r="S444" s="101">
        <f t="array" ref="S444">IF(ISERROR(Q444/J444),"",Q444/J444)</f>
        <v>0.8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26</v>
      </c>
      <c r="D447" s="67">
        <v>24</v>
      </c>
      <c r="E447" s="67">
        <v>2</v>
      </c>
      <c r="F447" s="67"/>
      <c r="G447" s="67"/>
      <c r="H447" s="67">
        <v>3</v>
      </c>
      <c r="I447" s="67">
        <v>7</v>
      </c>
      <c r="J447" s="83">
        <f t="shared" si="63"/>
        <v>16</v>
      </c>
      <c r="K447" s="67">
        <v>2</v>
      </c>
      <c r="L447" s="67"/>
      <c r="M447" s="67"/>
      <c r="N447" s="67"/>
      <c r="O447" s="67"/>
      <c r="P447" s="67"/>
      <c r="Q447" s="83">
        <f t="shared" si="64"/>
        <v>14</v>
      </c>
      <c r="R447" s="158">
        <f t="shared" si="68"/>
        <v>161</v>
      </c>
      <c r="S447" s="101">
        <f t="array" ref="S447">IF(ISERROR(Q447/J447),"",Q447/J447)</f>
        <v>0.875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42</v>
      </c>
      <c r="D450" s="69">
        <v>40</v>
      </c>
      <c r="E450" s="69">
        <f t="shared" ref="E450:I450" si="69">SUM(E444:E449)</f>
        <v>2</v>
      </c>
      <c r="F450" s="69">
        <f t="shared" si="69"/>
        <v>0</v>
      </c>
      <c r="G450" s="69">
        <f t="shared" si="69"/>
        <v>0</v>
      </c>
      <c r="H450" s="69">
        <f t="shared" si="69"/>
        <v>3</v>
      </c>
      <c r="I450" s="69">
        <f t="shared" si="69"/>
        <v>7</v>
      </c>
      <c r="J450" s="85">
        <f t="shared" si="63"/>
        <v>32</v>
      </c>
      <c r="K450" s="69">
        <f t="shared" ref="K450:P450" si="70">SUM(K444:K449)</f>
        <v>3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29</v>
      </c>
      <c r="R450" s="158">
        <f t="shared" si="68"/>
        <v>333.5</v>
      </c>
      <c r="S450" s="122">
        <f t="array" ref="S450">IF(ISERROR(Q450/J450),"",Q450/J450)</f>
        <v>0.90625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56</v>
      </c>
      <c r="D452" s="69">
        <v>54</v>
      </c>
      <c r="E452" s="69">
        <f>+E443+E450+E451</f>
        <v>2</v>
      </c>
      <c r="F452" s="69">
        <f>+F443+F450+F451</f>
        <v>0</v>
      </c>
      <c r="G452" s="69">
        <f>+G443+G450+G451</f>
        <v>0</v>
      </c>
      <c r="H452" s="69">
        <f>+H443+H450+H451</f>
        <v>3</v>
      </c>
      <c r="I452" s="69">
        <f>+I443+I450+I451</f>
        <v>15</v>
      </c>
      <c r="J452" s="85">
        <f t="shared" si="63"/>
        <v>38</v>
      </c>
      <c r="K452" s="69">
        <f t="shared" ref="K452:P452" si="71">+K443+K450+K451</f>
        <v>4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34</v>
      </c>
      <c r="R452" s="67">
        <f>R443+R450+R451</f>
        <v>718.5</v>
      </c>
      <c r="S452" s="123">
        <f t="array" ref="S452">IF(ISERROR(Q452/J452),"",Q452/J452)</f>
        <v>0.89473684210526316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C491"/>
  <sheetViews>
    <sheetView workbookViewId="0">
      <pane xSplit="5" ySplit="13" topLeftCell="N438" activePane="bottomRight" state="frozen"/>
      <selection pane="topRight" activeCell="F1" sqref="F1"/>
      <selection pane="bottomLeft" activeCell="A14" sqref="A14"/>
      <selection pane="bottomRight" activeCell="C437" sqref="C437:C452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hidden="1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hidden="1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hidden="1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hidden="1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hidden="1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hidden="1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hidden="1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hidden="1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>
        <v>3002</v>
      </c>
      <c r="C14" s="259" t="s">
        <v>313</v>
      </c>
      <c r="D14" s="260"/>
      <c r="E14" s="166" t="s">
        <v>314</v>
      </c>
      <c r="F14" s="13"/>
      <c r="G14" s="133">
        <v>14</v>
      </c>
      <c r="H14" s="133"/>
      <c r="I14" s="133">
        <v>1</v>
      </c>
      <c r="J14" s="133"/>
      <c r="K14" s="164">
        <f t="shared" si="0"/>
        <v>2987.6</v>
      </c>
      <c r="L14" s="164">
        <f t="shared" si="1"/>
        <v>213.4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4.0756302521008401</v>
      </c>
      <c r="Q14" s="164">
        <v>1.5</v>
      </c>
      <c r="R14" s="19">
        <f t="shared" si="3"/>
        <v>3</v>
      </c>
      <c r="S14" s="164">
        <f t="shared" si="4"/>
        <v>-1.0756302521008401</v>
      </c>
      <c r="T14" s="20">
        <v>3</v>
      </c>
      <c r="U14" s="20">
        <v>2</v>
      </c>
      <c r="V14" s="161"/>
      <c r="W14" s="20"/>
      <c r="X14" s="153"/>
      <c r="Y14" s="153"/>
      <c r="Z14" s="165"/>
      <c r="AA14" s="20">
        <v>2</v>
      </c>
      <c r="AB14" s="20"/>
      <c r="AC14" s="20"/>
    </row>
    <row r="15" spans="1:29" ht="21.95" hidden="1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hidden="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hidden="1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hidden="1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hidden="1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hidden="1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hidden="1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hidden="1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hidden="1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hidden="1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hidden="1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hidden="1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hidden="1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hidden="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hidden="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hidden="1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hidden="1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hidden="1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hidden="1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hidden="1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hidden="1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hidden="1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hidden="1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hidden="1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hidden="1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hidden="1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hidden="1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hidden="1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hidden="1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hidden="1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hidden="1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hidden="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hidden="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hidden="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hidden="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hidden="1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hidden="1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hidden="1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hidden="1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hidden="1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hidden="1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hidden="1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hidden="1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hidden="1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hidden="1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hidden="1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hidden="1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hidden="1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hidden="1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hidden="1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hidden="1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hidden="1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hidden="1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hidden="1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hidden="1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hidden="1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hidden="1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hidden="1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hidden="1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hidden="1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hidden="1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hidden="1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hidden="1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hidden="1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hidden="1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hidden="1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hidden="1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hidden="1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hidden="1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hidden="1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hidden="1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hidden="1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hidden="1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hidden="1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hidden="1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hidden="1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hidden="1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hidden="1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hidden="1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hidden="1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hidden="1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hidden="1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hidden="1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hidden="1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hidden="1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hidden="1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hidden="1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hidden="1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hidden="1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hidden="1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hidden="1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hidden="1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hidden="1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hidden="1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hidden="1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hidden="1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hidden="1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hidden="1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hidden="1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hidden="1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hidden="1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hidden="1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hidden="1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hidden="1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hidden="1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hidden="1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hidden="1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hidden="1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hidden="1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hidden="1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hidden="1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hidden="1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hidden="1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hidden="1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hidden="1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hidden="1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hidden="1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hidden="1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hidden="1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hidden="1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hidden="1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hidden="1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hidden="1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hidden="1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hidden="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hidden="1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hidden="1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hidden="1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hidden="1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hidden="1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hidden="1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hidden="1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hidden="1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hidden="1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hidden="1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hidden="1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hidden="1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hidden="1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hidden="1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hidden="1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hidden="1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hidden="1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hidden="1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hidden="1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hidden="1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hidden="1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hidden="1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hidden="1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hidden="1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hidden="1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hidden="1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hidden="1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hidden="1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hidden="1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hidden="1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hidden="1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hidden="1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hidden="1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hidden="1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hidden="1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hidden="1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hidden="1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hidden="1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hidden="1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hidden="1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hidden="1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hidden="1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hidden="1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hidden="1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hidden="1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hidden="1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hidden="1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hidden="1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hidden="1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hidden="1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hidden="1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hidden="1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hidden="1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hidden="1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hidden="1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hidden="1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hidden="1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hidden="1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hidden="1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14</v>
      </c>
      <c r="H199" s="164">
        <f t="array" ref="H199">SUM(IF(ISERROR(H6:H198),“”,H6:H198))</f>
        <v>0</v>
      </c>
      <c r="I199" s="164">
        <f t="array" ref="I199">SUM(IF(ISERROR(I6:I198),“”,I6:I198))</f>
        <v>1</v>
      </c>
      <c r="J199" s="164">
        <f t="array" ref="J199">SUM(IF(ISERROR(J6:J198),“”,J6:J198))</f>
        <v>0</v>
      </c>
      <c r="K199" s="164">
        <f t="array" ref="K199">SUM(IF(ISERROR(K6:K198),“”,K6:K198))</f>
        <v>2987.6</v>
      </c>
      <c r="L199" s="56">
        <f>SUM(L6:L198)</f>
        <v>213.4</v>
      </c>
      <c r="M199" s="164"/>
      <c r="N199" s="164"/>
      <c r="O199" s="164">
        <f>SUM(O6:O190)</f>
        <v>0</v>
      </c>
      <c r="P199" s="56">
        <f>SUM((P6:P190),(W204:X209))</f>
        <v>92.075630252100837</v>
      </c>
      <c r="Q199" s="164"/>
      <c r="R199" s="56">
        <f>SUM((R6:R190),(Y204:Z209))</f>
        <v>14</v>
      </c>
      <c r="S199" s="164">
        <f t="array" ref="S199">SUM(IF(ISERROR(S6:S198),“”,S6:S198))</f>
        <v>-1.0756302521008401</v>
      </c>
      <c r="T199" s="164"/>
      <c r="U199" s="164"/>
      <c r="V199" s="161">
        <f>IF(ISERROR(L199/K199),"",L199/K199)</f>
        <v>7.1428571428571438E-2</v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2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>
        <f>IF(ISERROR(P199/R199),"",P199/R199)</f>
        <v>6.5768307322929171</v>
      </c>
      <c r="P200" s="274"/>
      <c r="Q200" s="274"/>
      <c r="R200" s="275"/>
      <c r="S200" s="44"/>
      <c r="T200" s="45"/>
      <c r="U200" s="45"/>
      <c r="V200" s="45"/>
      <c r="W200" s="276">
        <f>SUM(W199:AC199)</f>
        <v>2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>
        <v>0</v>
      </c>
      <c r="F202" s="279"/>
      <c r="G202" s="279">
        <v>0</v>
      </c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>
        <v>11.8</v>
      </c>
      <c r="F203" s="279"/>
      <c r="G203" s="279">
        <v>11.8</v>
      </c>
      <c r="H203" s="279"/>
      <c r="I203" s="279">
        <f>G203-E203</f>
        <v>0</v>
      </c>
      <c r="J203" s="279"/>
      <c r="K203" s="281">
        <f t="array" ref="K203">IF(ISERROR(I203/E203),"",I203/E203)</f>
        <v>0</v>
      </c>
      <c r="L203" s="281"/>
      <c r="M203" s="266"/>
      <c r="N203" s="267"/>
      <c r="O203" s="282"/>
      <c r="P203" s="282"/>
      <c r="Q203" s="283" t="s">
        <v>193</v>
      </c>
      <c r="R203" s="283"/>
      <c r="S203" s="284">
        <v>3</v>
      </c>
      <c r="T203" s="284"/>
      <c r="U203" s="284">
        <v>2</v>
      </c>
      <c r="V203" s="284"/>
      <c r="W203" s="283">
        <f t="shared" ref="W203:W210" si="28">S203*11</f>
        <v>33</v>
      </c>
      <c r="X203" s="283"/>
      <c r="Y203" s="283">
        <f t="shared" ref="Y203:Y210" si="29">U203*11</f>
        <v>22</v>
      </c>
      <c r="Z203" s="283"/>
      <c r="AA203" s="283">
        <f t="shared" ref="AA203:AA210" si="30">Y203-W203</f>
        <v>-11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>
        <v>1</v>
      </c>
      <c r="T204" s="284"/>
      <c r="U204" s="284">
        <v>1</v>
      </c>
      <c r="V204" s="284"/>
      <c r="W204" s="283">
        <f t="shared" si="28"/>
        <v>11</v>
      </c>
      <c r="X204" s="283"/>
      <c r="Y204" s="283">
        <f t="shared" si="29"/>
        <v>11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358">
        <v>0.75</v>
      </c>
      <c r="T205" s="359"/>
      <c r="U205" s="284">
        <v>0</v>
      </c>
      <c r="V205" s="284"/>
      <c r="W205" s="283">
        <f t="shared" si="28"/>
        <v>8.25</v>
      </c>
      <c r="X205" s="283"/>
      <c r="Y205" s="283">
        <f t="shared" si="29"/>
        <v>0</v>
      </c>
      <c r="Z205" s="283"/>
      <c r="AA205" s="283">
        <f t="shared" si="30"/>
        <v>-8.25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>
        <v>149384</v>
      </c>
      <c r="H206" s="286"/>
      <c r="I206" s="325">
        <v>149362</v>
      </c>
      <c r="J206" s="326"/>
      <c r="K206" s="289">
        <f>G206-I206</f>
        <v>22</v>
      </c>
      <c r="L206" s="289"/>
      <c r="M206" s="290">
        <f t="array" ref="M206">IF(ISERROR(K206/L199),"",K206/(L199/1000))</f>
        <v>103.09278350515464</v>
      </c>
      <c r="N206" s="290"/>
      <c r="O206" s="282"/>
      <c r="P206" s="282"/>
      <c r="Q206" s="283" t="s">
        <v>205</v>
      </c>
      <c r="R206" s="283"/>
      <c r="S206" s="358">
        <v>0.75</v>
      </c>
      <c r="T206" s="359"/>
      <c r="U206" s="284">
        <v>0</v>
      </c>
      <c r="V206" s="284"/>
      <c r="W206" s="283">
        <f t="shared" si="28"/>
        <v>8.25</v>
      </c>
      <c r="X206" s="283"/>
      <c r="Y206" s="283">
        <f t="shared" si="29"/>
        <v>0</v>
      </c>
      <c r="Z206" s="283"/>
      <c r="AA206" s="283">
        <f t="shared" si="30"/>
        <v>-8.25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>
        <f>28569.7*120+44863.2*60</f>
        <v>6120156</v>
      </c>
      <c r="H207" s="286"/>
      <c r="I207" s="325">
        <v>6119874</v>
      </c>
      <c r="J207" s="326"/>
      <c r="K207" s="289">
        <f>G207-I207</f>
        <v>282</v>
      </c>
      <c r="L207" s="289"/>
      <c r="M207" s="290">
        <f t="array" ref="M207">IF(ISERROR(K207/L199),"",K207/(L199/1000))</f>
        <v>1321.4620431115277</v>
      </c>
      <c r="N207" s="290"/>
      <c r="O207" s="282"/>
      <c r="P207" s="282"/>
      <c r="Q207" s="283" t="s">
        <v>208</v>
      </c>
      <c r="R207" s="283"/>
      <c r="S207" s="358">
        <v>1.5</v>
      </c>
      <c r="T207" s="359"/>
      <c r="U207" s="284">
        <v>0</v>
      </c>
      <c r="V207" s="284"/>
      <c r="W207" s="283">
        <f t="shared" si="28"/>
        <v>16.5</v>
      </c>
      <c r="X207" s="283"/>
      <c r="Y207" s="283">
        <f t="shared" si="29"/>
        <v>0</v>
      </c>
      <c r="Z207" s="283"/>
      <c r="AA207" s="283">
        <f t="shared" si="30"/>
        <v>-16.5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>
        <f>+I208+3</f>
        <v>27833</v>
      </c>
      <c r="H208" s="286"/>
      <c r="I208" s="285">
        <v>27830</v>
      </c>
      <c r="J208" s="286"/>
      <c r="K208" s="289">
        <f>G208-I208</f>
        <v>3</v>
      </c>
      <c r="L208" s="289"/>
      <c r="M208" s="293">
        <f t="array" ref="M208">IF(ISERROR(K208/L199),"",K208/(L199/1000))</f>
        <v>14.058106841611997</v>
      </c>
      <c r="N208" s="293"/>
      <c r="O208" s="282"/>
      <c r="P208" s="282"/>
      <c r="Q208" s="283" t="s">
        <v>211</v>
      </c>
      <c r="R208" s="283"/>
      <c r="S208" s="358">
        <v>1</v>
      </c>
      <c r="T208" s="359"/>
      <c r="U208" s="284">
        <v>0</v>
      </c>
      <c r="V208" s="284"/>
      <c r="W208" s="283">
        <f t="shared" si="28"/>
        <v>11</v>
      </c>
      <c r="X208" s="283"/>
      <c r="Y208" s="283">
        <f t="shared" si="29"/>
        <v>0</v>
      </c>
      <c r="Z208" s="283"/>
      <c r="AA208" s="283">
        <f t="shared" si="30"/>
        <v>-11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>
        <v>0.2</v>
      </c>
      <c r="L209" s="292"/>
      <c r="M209" s="294">
        <f t="array" ref="M209">IF(ISERROR((K209+K210)/L199),"",((K209+K210)*1000)/(L199/1000))</f>
        <v>937.20712277413304</v>
      </c>
      <c r="N209" s="295"/>
      <c r="O209" s="282"/>
      <c r="P209" s="282"/>
      <c r="Q209" s="283" t="s">
        <v>214</v>
      </c>
      <c r="R209" s="283"/>
      <c r="S209" s="358">
        <v>3</v>
      </c>
      <c r="T209" s="359"/>
      <c r="U209" s="284">
        <v>0</v>
      </c>
      <c r="V209" s="284"/>
      <c r="W209" s="283">
        <f t="shared" si="28"/>
        <v>33</v>
      </c>
      <c r="X209" s="283"/>
      <c r="Y209" s="283">
        <f t="shared" si="29"/>
        <v>0</v>
      </c>
      <c r="Z209" s="283"/>
      <c r="AA209" s="283">
        <f t="shared" si="30"/>
        <v>-33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11</v>
      </c>
      <c r="T210" s="284"/>
      <c r="U210" s="284">
        <f>SUM(U203:V209)</f>
        <v>3</v>
      </c>
      <c r="V210" s="284"/>
      <c r="W210" s="283">
        <f t="shared" si="28"/>
        <v>121</v>
      </c>
      <c r="X210" s="283"/>
      <c r="Y210" s="283">
        <f t="shared" si="29"/>
        <v>33</v>
      </c>
      <c r="Z210" s="283"/>
      <c r="AA210" s="283">
        <f t="shared" si="30"/>
        <v>-88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>
        <f>IF(ISERROR(K208/K209),"",K208/K209)</f>
        <v>15</v>
      </c>
      <c r="N211" s="303"/>
      <c r="O211" s="282"/>
      <c r="P211" s="282"/>
      <c r="Q211" s="280" t="s">
        <v>219</v>
      </c>
      <c r="R211" s="280"/>
      <c r="S211" s="304">
        <f t="array" ref="S211">IF(ISERROR(L199/Y210),"",L199/Y210)</f>
        <v>6.4666666666666668</v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hidden="1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hidden="1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hidden="1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hidden="1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hidden="1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hidden="1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hidden="1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hidden="1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hidden="1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hidden="1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hidden="1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hidden="1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hidden="1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hidden="1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hidden="1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hidden="1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hidden="1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hidden="1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hidden="1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hidden="1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hidden="1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hidden="1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hidden="1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hidden="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hidden="1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hidden="1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hidden="1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hidden="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hidden="1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hidden="1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hidden="1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hidden="1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hidden="1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hidden="1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hidden="1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hidden="1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hidden="1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hidden="1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hidden="1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hidden="1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hidden="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hidden="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hidden="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hidden="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hidden="1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hidden="1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hidden="1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hidden="1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hidden="1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hidden="1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hidden="1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hidden="1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hidden="1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hidden="1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hidden="1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hidden="1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hidden="1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hidden="1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hidden="1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hidden="1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hidden="1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hidden="1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hidden="1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hidden="1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hidden="1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hidden="1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hidden="1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hidden="1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hidden="1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hidden="1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hidden="1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hidden="1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hidden="1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hidden="1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hidden="1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hidden="1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hidden="1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hidden="1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hidden="1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hidden="1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hidden="1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hidden="1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hidden="1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hidden="1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hidden="1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hidden="1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hidden="1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hidden="1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hidden="1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hidden="1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hidden="1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hidden="1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hidden="1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hidden="1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hidden="1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hidden="1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hidden="1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hidden="1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hidden="1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hidden="1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hidden="1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hidden="1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hidden="1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hidden="1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hidden="1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hidden="1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hidden="1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hidden="1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hidden="1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hidden="1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hidden="1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hidden="1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hidden="1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hidden="1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hidden="1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hidden="1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hidden="1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hidden="1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hidden="1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hidden="1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hidden="1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hidden="1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hidden="1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hidden="1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hidden="1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hidden="1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hidden="1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hidden="1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hidden="1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hidden="1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hidden="1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hidden="1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hidden="1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hidden="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hidden="1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hidden="1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hidden="1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hidden="1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hidden="1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hidden="1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hidden="1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hidden="1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hidden="1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hidden="1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hidden="1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hidden="1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hidden="1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hidden="1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hidden="1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hidden="1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hidden="1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hidden="1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hidden="1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hidden="1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hidden="1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hidden="1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hidden="1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hidden="1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hidden="1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hidden="1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hidden="1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hidden="1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hidden="1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hidden="1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hidden="1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hidden="1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hidden="1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hidden="1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hidden="1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hidden="1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hidden="1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hidden="1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hidden="1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hidden="1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hidden="1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hidden="1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hidden="1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hidden="1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hidden="1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hidden="1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hidden="1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hidden="1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hidden="1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hidden="1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hidden="1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hidden="1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hidden="1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hidden="1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hidden="1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hidden="1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hidden="1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hidden="1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hidden="1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hidden="1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hidden="1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hidden="1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hidden="1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hidden="1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hidden="1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hidden="1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hidden="1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hidden="1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hidden="1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hidden="1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hidden="1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hidden="1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2987.6</v>
      </c>
      <c r="D423" s="337"/>
      <c r="E423" s="333" t="s">
        <v>226</v>
      </c>
      <c r="F423" s="333"/>
      <c r="G423" s="333">
        <f>L199+L408</f>
        <v>213.4</v>
      </c>
      <c r="H423" s="333"/>
      <c r="I423" s="340" t="s">
        <v>227</v>
      </c>
      <c r="J423" s="340"/>
      <c r="K423" s="339">
        <f>IF(ISERROR(G423/C423),"",G423/C423)</f>
        <v>7.1428571428571438E-2</v>
      </c>
      <c r="L423" s="339"/>
      <c r="M423" s="333" t="s">
        <v>228</v>
      </c>
      <c r="N423" s="333"/>
      <c r="O423" s="334">
        <f>IF(ISERROR(G423/G424),"",G423/G424)</f>
        <v>15.242857142857144</v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92.075630252100837</v>
      </c>
      <c r="D424" s="337"/>
      <c r="E424" s="338" t="s">
        <v>18</v>
      </c>
      <c r="F424" s="338"/>
      <c r="G424" s="333">
        <f>R199+R408</f>
        <v>14</v>
      </c>
      <c r="H424" s="333"/>
      <c r="I424" s="313" t="s">
        <v>176</v>
      </c>
      <c r="J424" s="313"/>
      <c r="K424" s="339">
        <f>IF(ISERROR(C424/G424),"",C424/G424)</f>
        <v>6.5768307322929171</v>
      </c>
      <c r="L424" s="339"/>
      <c r="M424" s="279" t="s">
        <v>230</v>
      </c>
      <c r="N424" s="279"/>
      <c r="O424" s="333">
        <f>W200+W409</f>
        <v>2</v>
      </c>
      <c r="P424" s="279"/>
      <c r="Q424" s="279" t="s">
        <v>231</v>
      </c>
      <c r="R424" s="279"/>
      <c r="S424" s="339">
        <f t="array" ref="S424">IF(ISERROR(O424/G424),"",O424/G424)</f>
        <v>0.14285714285714285</v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22</v>
      </c>
      <c r="D426" s="337"/>
      <c r="E426" s="333" t="s">
        <v>234</v>
      </c>
      <c r="F426" s="333"/>
      <c r="G426" s="293">
        <f t="array" ref="G426">IF(ISERROR(C426/G423),"",C426/(G423/1000))</f>
        <v>103.09278350515464</v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282</v>
      </c>
      <c r="D427" s="337"/>
      <c r="E427" s="333" t="s">
        <v>236</v>
      </c>
      <c r="F427" s="333"/>
      <c r="G427" s="293">
        <f>IF(ISERROR(C427/G423),"",C427/(G423/1000))</f>
        <v>1321.4620431115277</v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3</v>
      </c>
      <c r="D428" s="337"/>
      <c r="E428" s="333" t="s">
        <v>238</v>
      </c>
      <c r="F428" s="333"/>
      <c r="G428" s="293">
        <f>IF(ISERROR(C428/G423),"",C428/(G423/1000))</f>
        <v>14.058106841611997</v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0.2</v>
      </c>
      <c r="D429" s="337"/>
      <c r="E429" s="333" t="s">
        <v>240</v>
      </c>
      <c r="F429" s="333"/>
      <c r="G429" s="341">
        <f>IF(ISERROR(C429/G423),"",C429/(G423/1000))</f>
        <v>0.93720712277413309</v>
      </c>
      <c r="H429" s="341"/>
      <c r="I429" s="333" t="s">
        <v>241</v>
      </c>
      <c r="J429" s="333"/>
      <c r="K429" s="342">
        <f>IF(ISERROR(C428/C429),"",C428/C429)</f>
        <v>15</v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>
        <f>IF(ISERROR(C430/G423),"",C430/(G423/1000))</f>
        <v>0</v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11.8</v>
      </c>
      <c r="D433" s="346"/>
      <c r="E433" s="333" t="s">
        <v>251</v>
      </c>
      <c r="F433" s="333"/>
      <c r="G433" s="347">
        <f>+G412+G203</f>
        <v>11.8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>
        <f t="array" ref="O433">IF(ISERROR(K433/C433),"",K433/C433)</f>
        <v>0</v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7</v>
      </c>
      <c r="D437" s="67">
        <v>7</v>
      </c>
      <c r="E437" s="153"/>
      <c r="F437" s="153"/>
      <c r="G437" s="153"/>
      <c r="H437" s="154"/>
      <c r="I437" s="154"/>
      <c r="J437" s="83">
        <f t="shared" ref="J437:J452" si="63">C437-H437-I437</f>
        <v>7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7</v>
      </c>
      <c r="R437" s="158">
        <f>Q437*11-M437-N437</f>
        <v>77</v>
      </c>
      <c r="S437" s="101">
        <f t="array" ref="S437">IF(ISERROR(Q437/J437),"",Q437/J437)</f>
        <v>1</v>
      </c>
      <c r="T437" s="119">
        <f t="array" ref="T437">IF(ISERROR((O437:P437)/C437),"",SUM(O437:P437)/C437)</f>
        <v>0</v>
      </c>
      <c r="U437" s="101">
        <f t="array" ref="U437">IF(ISERROR((O437:P437)/C437),"",SUM(O437:P437)/C437)</f>
        <v>0</v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6</v>
      </c>
      <c r="D438" s="67">
        <v>6</v>
      </c>
      <c r="E438" s="153"/>
      <c r="F438" s="153"/>
      <c r="G438" s="153"/>
      <c r="H438" s="154"/>
      <c r="I438" s="154"/>
      <c r="J438" s="83">
        <f t="shared" si="63"/>
        <v>6</v>
      </c>
      <c r="K438" s="67"/>
      <c r="L438" s="67"/>
      <c r="M438" s="67"/>
      <c r="N438" s="67"/>
      <c r="O438" s="67"/>
      <c r="P438" s="118"/>
      <c r="Q438" s="83">
        <f t="shared" si="64"/>
        <v>6</v>
      </c>
      <c r="R438" s="158">
        <f t="shared" ref="R438:R443" si="65">Q438*11-M438-N438</f>
        <v>66</v>
      </c>
      <c r="S438" s="101">
        <f t="array" ref="S438">IF(ISERROR(Q438/J438),"",Q438/J438)</f>
        <v>1</v>
      </c>
      <c r="T438" s="119">
        <f t="array" ref="T438">IF(ISERROR((O438:P438)/C438),"",SUM(O438:P438)/C438)</f>
        <v>0</v>
      </c>
      <c r="U438" s="101">
        <f t="array" ref="U438">IF(ISERROR((O438:P438)/C438),"",SUM(O438:P438)/C438)</f>
        <v>0</v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3</v>
      </c>
      <c r="D439" s="67">
        <v>3</v>
      </c>
      <c r="E439" s="153"/>
      <c r="F439" s="153"/>
      <c r="G439" s="153"/>
      <c r="H439" s="154"/>
      <c r="I439" s="154"/>
      <c r="J439" s="83">
        <f t="shared" si="63"/>
        <v>3</v>
      </c>
      <c r="K439" s="67"/>
      <c r="L439" s="67"/>
      <c r="M439" s="67"/>
      <c r="N439" s="67"/>
      <c r="O439" s="67"/>
      <c r="P439" s="118"/>
      <c r="Q439" s="83">
        <f t="shared" si="64"/>
        <v>3</v>
      </c>
      <c r="R439" s="158">
        <f t="shared" si="65"/>
        <v>33</v>
      </c>
      <c r="S439" s="101">
        <f t="array" ref="S439">IF(ISERROR(Q439/J439),"",Q439/J439)</f>
        <v>1</v>
      </c>
      <c r="T439" s="119">
        <f t="array" ref="T439">IF(ISERROR((O439:P439)/C439),"",SUM(O439:P439)/C439)</f>
        <v>0</v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23</v>
      </c>
      <c r="D440" s="67">
        <v>23</v>
      </c>
      <c r="E440" s="153"/>
      <c r="F440" s="153"/>
      <c r="G440" s="153"/>
      <c r="H440" s="154"/>
      <c r="I440" s="154"/>
      <c r="J440" s="83">
        <f t="shared" si="63"/>
        <v>23</v>
      </c>
      <c r="K440" s="67"/>
      <c r="L440" s="67"/>
      <c r="M440" s="67"/>
      <c r="N440" s="67"/>
      <c r="O440" s="67"/>
      <c r="P440" s="118"/>
      <c r="Q440" s="83">
        <f t="shared" si="64"/>
        <v>23</v>
      </c>
      <c r="R440" s="158">
        <f t="shared" si="65"/>
        <v>253</v>
      </c>
      <c r="S440" s="101">
        <f t="array" ref="S440">IF(ISERROR(Q440/J440),"",Q440/J440)</f>
        <v>1</v>
      </c>
      <c r="T440" s="119">
        <f t="array" ref="T440">IF(ISERROR((O440:P440)/C440),"",SUM(O440:P440)/C440)</f>
        <v>0</v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1</v>
      </c>
      <c r="D441" s="67">
        <v>1</v>
      </c>
      <c r="E441" s="153"/>
      <c r="F441" s="153"/>
      <c r="G441" s="153"/>
      <c r="H441" s="154"/>
      <c r="I441" s="154"/>
      <c r="J441" s="83">
        <f t="shared" si="63"/>
        <v>1</v>
      </c>
      <c r="K441" s="67"/>
      <c r="L441" s="67"/>
      <c r="M441" s="67"/>
      <c r="N441" s="67"/>
      <c r="O441" s="67"/>
      <c r="P441" s="118"/>
      <c r="Q441" s="83">
        <f t="shared" si="64"/>
        <v>1</v>
      </c>
      <c r="R441" s="158">
        <f t="shared" si="65"/>
        <v>11</v>
      </c>
      <c r="S441" s="101">
        <f t="array" ref="S441">IF(ISERROR(Q441/J441),"",Q441/J441)</f>
        <v>1</v>
      </c>
      <c r="T441" s="119">
        <f t="array" ref="T441">IF(ISERROR((O441:P441)/C441),"",SUM(O441:P441)/C441)</f>
        <v>0</v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2</v>
      </c>
      <c r="D442" s="67">
        <v>2</v>
      </c>
      <c r="E442" s="67"/>
      <c r="F442" s="67"/>
      <c r="G442" s="67"/>
      <c r="H442" s="67"/>
      <c r="I442" s="67"/>
      <c r="J442" s="83">
        <f t="shared" si="63"/>
        <v>2</v>
      </c>
      <c r="K442" s="67"/>
      <c r="L442" s="67"/>
      <c r="M442" s="67"/>
      <c r="N442" s="67"/>
      <c r="O442" s="67"/>
      <c r="P442" s="67"/>
      <c r="Q442" s="83">
        <f t="shared" si="64"/>
        <v>2</v>
      </c>
      <c r="R442" s="158">
        <f t="shared" si="65"/>
        <v>22</v>
      </c>
      <c r="S442" s="101">
        <f t="array" ref="S442">IF(ISERROR(Q442/J442),"",Q442/J442)</f>
        <v>1</v>
      </c>
      <c r="T442" s="119">
        <f t="array" ref="T442">IF(ISERROR((O442:P442)/C442),"",SUM(O442:P442)/C442)</f>
        <v>0</v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42</v>
      </c>
      <c r="D443" s="68">
        <v>42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42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42</v>
      </c>
      <c r="R443" s="158">
        <f t="shared" si="65"/>
        <v>462</v>
      </c>
      <c r="S443" s="120">
        <f t="array" ref="S443">IF(ISERROR(Q443/J443),"",Q443/J443)</f>
        <v>1</v>
      </c>
      <c r="T443" s="121">
        <f t="array" ref="T443">IF(ISERROR((O443:P443)/C443),"",SUM(O443:P443)/C443)</f>
        <v>0</v>
      </c>
      <c r="U443" s="101">
        <f t="array" ref="U443">IF(ISERROR((O443:P443)/C443),"",SUM(O443:P443)/C443)</f>
        <v>0</v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5</v>
      </c>
      <c r="D444" s="67">
        <v>5</v>
      </c>
      <c r="E444" s="67"/>
      <c r="F444" s="67"/>
      <c r="G444" s="67"/>
      <c r="H444" s="67"/>
      <c r="I444" s="67"/>
      <c r="J444" s="83">
        <f t="shared" si="63"/>
        <v>5</v>
      </c>
      <c r="K444" s="67"/>
      <c r="L444" s="67"/>
      <c r="M444" s="67"/>
      <c r="N444" s="67"/>
      <c r="O444" s="67"/>
      <c r="P444" s="67"/>
      <c r="Q444" s="83">
        <f t="shared" si="64"/>
        <v>5</v>
      </c>
      <c r="R444" s="158">
        <f>Q444*11.5-M444-N444</f>
        <v>57.5</v>
      </c>
      <c r="S444" s="101">
        <f t="array" ref="S444">IF(ISERROR(Q444/J444),"",Q444/J444)</f>
        <v>1</v>
      </c>
      <c r="T444" s="101">
        <f t="array" ref="T444">IF(ISERROR((O444:P444)/C444),"",SUM(O444:P444)/C444)</f>
        <v>0</v>
      </c>
      <c r="U444" s="101">
        <f t="array" ref="U444">IF(ISERROR((O444:P444)/C444),"",SUM(O444:P444)/C444)</f>
        <v>0</v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5</v>
      </c>
      <c r="D445" s="67">
        <v>5</v>
      </c>
      <c r="E445" s="67"/>
      <c r="F445" s="67"/>
      <c r="G445" s="67"/>
      <c r="H445" s="67"/>
      <c r="I445" s="67"/>
      <c r="J445" s="83">
        <f t="shared" si="63"/>
        <v>5</v>
      </c>
      <c r="K445" s="67"/>
      <c r="L445" s="67"/>
      <c r="M445" s="67"/>
      <c r="N445" s="67"/>
      <c r="O445" s="67"/>
      <c r="P445" s="67"/>
      <c r="Q445" s="83">
        <f t="shared" si="64"/>
        <v>5</v>
      </c>
      <c r="R445" s="158">
        <f t="shared" ref="R445:R450" si="68">Q445*11.5-M445-N445</f>
        <v>57.5</v>
      </c>
      <c r="S445" s="101">
        <f t="array" ref="S445">IF(ISERROR(Q445/J445),"",Q445/J445)</f>
        <v>1</v>
      </c>
      <c r="T445" s="101">
        <f t="array" ref="T445">IF(ISERROR((O445:P445)/C445),"",SUM(O445:P445)/C445)</f>
        <v>0</v>
      </c>
      <c r="U445" s="101">
        <f t="array" ref="U445">IF(ISERROR((O445:P445)/C445),"",SUM(O445:P445)/C445)</f>
        <v>0</v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3</v>
      </c>
      <c r="D446" s="67">
        <v>3</v>
      </c>
      <c r="E446" s="67"/>
      <c r="F446" s="67"/>
      <c r="G446" s="67"/>
      <c r="H446" s="67"/>
      <c r="I446" s="67"/>
      <c r="J446" s="83">
        <f t="shared" si="63"/>
        <v>3</v>
      </c>
      <c r="K446" s="67"/>
      <c r="L446" s="67"/>
      <c r="M446" s="67"/>
      <c r="N446" s="67"/>
      <c r="P446" s="67"/>
      <c r="Q446" s="83">
        <f t="shared" si="64"/>
        <v>3</v>
      </c>
      <c r="R446" s="158">
        <f t="shared" si="68"/>
        <v>34.5</v>
      </c>
      <c r="S446" s="101">
        <f t="array" ref="S446">IF(ISERROR(Q446/J446),"",Q446/J446)</f>
        <v>1</v>
      </c>
      <c r="T446" s="101">
        <f t="array" ref="T446">IF(ISERROR((O446:P446)/C446),"",SUM(O446:P446)/C446)</f>
        <v>0</v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26</v>
      </c>
      <c r="D447" s="67">
        <v>26</v>
      </c>
      <c r="E447" s="67"/>
      <c r="F447" s="67"/>
      <c r="G447" s="67"/>
      <c r="H447" s="67"/>
      <c r="I447" s="67"/>
      <c r="J447" s="83">
        <f t="shared" si="63"/>
        <v>26</v>
      </c>
      <c r="K447" s="67"/>
      <c r="L447" s="67"/>
      <c r="M447" s="67"/>
      <c r="N447" s="67"/>
      <c r="O447" s="67"/>
      <c r="P447" s="67"/>
      <c r="Q447" s="83">
        <f t="shared" si="64"/>
        <v>26</v>
      </c>
      <c r="R447" s="158">
        <f t="shared" si="68"/>
        <v>299</v>
      </c>
      <c r="S447" s="101">
        <f t="array" ref="S447">IF(ISERROR(Q447/J447),"",Q447/J447)</f>
        <v>1</v>
      </c>
      <c r="T447" s="101">
        <f t="array" ref="T447">IF(ISERROR((O447:P447)/C447),"",SUM(O447:P447)/C447)</f>
        <v>0</v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1</v>
      </c>
      <c r="D448" s="67">
        <v>1</v>
      </c>
      <c r="E448" s="67"/>
      <c r="F448" s="67"/>
      <c r="G448" s="67"/>
      <c r="H448" s="67"/>
      <c r="I448" s="67"/>
      <c r="J448" s="83">
        <f t="shared" si="63"/>
        <v>1</v>
      </c>
      <c r="K448" s="67"/>
      <c r="L448" s="67"/>
      <c r="M448" s="110"/>
      <c r="N448" s="67"/>
      <c r="O448" s="67"/>
      <c r="P448" s="67"/>
      <c r="Q448" s="83">
        <f t="shared" si="64"/>
        <v>1</v>
      </c>
      <c r="R448" s="158">
        <f t="shared" si="68"/>
        <v>11.5</v>
      </c>
      <c r="S448" s="101">
        <f t="array" ref="S448">IF(ISERROR(Q448/J448),"",Q448/J448)</f>
        <v>1</v>
      </c>
      <c r="T448" s="101">
        <f t="array" ref="T448">IF(ISERROR((O448:P448)/C448),"",SUM(O448:P448)/C448)</f>
        <v>0</v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2</v>
      </c>
      <c r="D449" s="67">
        <v>2</v>
      </c>
      <c r="E449" s="67"/>
      <c r="F449" s="67"/>
      <c r="G449" s="67"/>
      <c r="H449" s="67"/>
      <c r="I449" s="67"/>
      <c r="J449" s="83">
        <f t="shared" si="63"/>
        <v>2</v>
      </c>
      <c r="K449" s="67"/>
      <c r="L449" s="67"/>
      <c r="M449" s="67"/>
      <c r="N449" s="67"/>
      <c r="O449" s="67"/>
      <c r="P449" s="67"/>
      <c r="Q449" s="83">
        <f t="shared" si="64"/>
        <v>2</v>
      </c>
      <c r="R449" s="158">
        <f t="shared" si="68"/>
        <v>23</v>
      </c>
      <c r="S449" s="101">
        <f t="array" ref="S449">IF(ISERROR(Q449/J449),"",Q449/J449)</f>
        <v>1</v>
      </c>
      <c r="T449" s="101">
        <f t="array" ref="T449">IF(ISERROR((O449:P449)/C449),"",SUM(O449:P449)/C449)</f>
        <v>0</v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42</v>
      </c>
      <c r="D450" s="69">
        <v>42</v>
      </c>
      <c r="E450" s="69">
        <f t="shared" ref="E450:I450" si="69">SUM(E444:E449)</f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42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42</v>
      </c>
      <c r="R450" s="158">
        <f t="shared" si="68"/>
        <v>483</v>
      </c>
      <c r="S450" s="122">
        <f t="array" ref="S450">IF(ISERROR(Q450/J450),"",Q450/J450)</f>
        <v>1</v>
      </c>
      <c r="T450" s="122">
        <f t="array" ref="T450">IF(ISERROR((O450:P450)/C450),"",SUM(O450:P450)/C450)</f>
        <v>0</v>
      </c>
      <c r="U450" s="101">
        <f t="array" ref="U450">IF(ISERROR((O450:P450)/C450),"",SUM(O450:P450)/C450)</f>
        <v>0</v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2</v>
      </c>
      <c r="D451" s="67">
        <v>2</v>
      </c>
      <c r="E451" s="153"/>
      <c r="F451" s="153"/>
      <c r="G451" s="153"/>
      <c r="H451" s="154"/>
      <c r="I451" s="83"/>
      <c r="J451" s="83">
        <f t="shared" si="63"/>
        <v>2</v>
      </c>
      <c r="K451" s="154"/>
      <c r="L451" s="154"/>
      <c r="M451" s="154"/>
      <c r="N451" s="154"/>
      <c r="O451" s="154"/>
      <c r="P451" s="169"/>
      <c r="Q451" s="83">
        <f t="shared" si="64"/>
        <v>2</v>
      </c>
      <c r="R451" s="158">
        <f>Q451*11-M451-N451</f>
        <v>22</v>
      </c>
      <c r="S451" s="120">
        <f t="array" ref="S451">IF(ISERROR(Q451/J451),"",Q451/J451)</f>
        <v>1</v>
      </c>
      <c r="T451" s="121">
        <f t="array" ref="T451">IF(ISERROR((O451:P451)/C451),"",SUM(O451:P451)/C451)</f>
        <v>0</v>
      </c>
      <c r="U451" s="101">
        <f t="array" ref="U451">IF(ISERROR((O451:P451)/C451),"",SUM(O451:P451)/C451)</f>
        <v>0</v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56</v>
      </c>
      <c r="D452" s="69">
        <v>56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56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56</v>
      </c>
      <c r="R452" s="67">
        <f>R443+R450+R451</f>
        <v>967</v>
      </c>
      <c r="S452" s="123">
        <f t="array" ref="S452">IF(ISERROR(Q452/J452),"",Q452/J452)</f>
        <v>1</v>
      </c>
      <c r="T452" s="167">
        <f t="array" ref="T452">IF(ISERROR((O452:P452)/C452),"",SUM(O452:P452)/C452)</f>
        <v>0</v>
      </c>
      <c r="U452" s="101">
        <f t="array" ref="U452">IF(ISERROR((O452:P452)/C452),"",SUM(O452:P452)/C452)</f>
        <v>0</v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  <row r="491" spans="10:10">
      <c r="J491" s="2" t="s">
        <v>324</v>
      </c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C454"/>
  <sheetViews>
    <sheetView topLeftCell="A286" workbookViewId="0">
      <selection activeCell="I141" sqref="I141"/>
    </sheetView>
  </sheetViews>
  <sheetFormatPr defaultColWidth="9" defaultRowHeight="13.5"/>
  <cols>
    <col min="1" max="1" width="9.5" bestFit="1" customWidth="1"/>
    <col min="2" max="2" width="11" customWidth="1"/>
    <col min="6" max="6" width="9" customWidth="1"/>
    <col min="7" max="8" width="10" style="2" customWidth="1"/>
    <col min="9" max="9" width="10.75" style="2" customWidth="1"/>
    <col min="10" max="10" width="9.75" style="2" customWidth="1"/>
    <col min="11" max="11" width="10" customWidth="1"/>
    <col min="12" max="12" width="10.625" style="2" customWidth="1"/>
    <col min="13" max="13" width="10.375" style="6" customWidth="1"/>
    <col min="14" max="14" width="10.875" style="6" customWidth="1"/>
    <col min="15" max="15" width="10" style="5" customWidth="1"/>
    <col min="16" max="16" width="11.25" style="6" customWidth="1"/>
    <col min="17" max="18" width="9" style="5"/>
    <col min="19" max="20" width="9" style="6"/>
    <col min="21" max="21" width="10.75" style="2" customWidth="1"/>
    <col min="22" max="22" width="9" style="2"/>
  </cols>
  <sheetData>
    <row r="1" spans="1:29" s="1" customFormat="1" ht="23.25" customHeight="1">
      <c r="A1" s="7"/>
      <c r="B1" s="8" t="s">
        <v>0</v>
      </c>
      <c r="C1" s="9"/>
      <c r="D1" s="10"/>
      <c r="E1" s="10"/>
      <c r="F1" s="11"/>
    </row>
    <row r="2" spans="1:29" ht="21.95" customHeight="1">
      <c r="A2" s="246" t="s">
        <v>1</v>
      </c>
      <c r="B2" s="246"/>
      <c r="C2" s="246"/>
      <c r="D2" s="246"/>
      <c r="E2" s="246"/>
      <c r="F2" s="246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6"/>
      <c r="T2" s="246"/>
      <c r="U2" s="246"/>
      <c r="V2" s="246"/>
      <c r="W2" s="246"/>
      <c r="X2" s="246"/>
      <c r="Y2" s="247"/>
      <c r="Z2" s="246"/>
      <c r="AA2" s="246"/>
      <c r="AB2" s="246"/>
      <c r="AC2" s="246"/>
    </row>
    <row r="3" spans="1:29" ht="21.95" customHeight="1">
      <c r="A3" s="12" t="s">
        <v>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6"/>
      <c r="S3" s="16"/>
      <c r="T3" s="16"/>
      <c r="U3" s="16"/>
      <c r="V3" s="16"/>
      <c r="W3" s="16"/>
      <c r="X3" s="16"/>
      <c r="Y3" s="12"/>
      <c r="Z3" s="12"/>
      <c r="AA3" s="12"/>
      <c r="AB3" s="12"/>
      <c r="AC3" s="12"/>
    </row>
    <row r="4" spans="1:29" ht="21.95" customHeight="1">
      <c r="A4" s="248" t="s">
        <v>3</v>
      </c>
      <c r="B4" s="248" t="s">
        <v>4</v>
      </c>
      <c r="C4" s="248" t="s">
        <v>5</v>
      </c>
      <c r="D4" s="248"/>
      <c r="E4" s="248" t="s">
        <v>6</v>
      </c>
      <c r="F4" s="248" t="s">
        <v>7</v>
      </c>
      <c r="G4" s="249" t="s">
        <v>8</v>
      </c>
      <c r="H4" s="249" t="s">
        <v>9</v>
      </c>
      <c r="I4" s="249" t="s">
        <v>10</v>
      </c>
      <c r="J4" s="249" t="s">
        <v>11</v>
      </c>
      <c r="K4" s="249" t="s">
        <v>12</v>
      </c>
      <c r="L4" s="249" t="s">
        <v>13</v>
      </c>
      <c r="M4" s="249" t="s">
        <v>14</v>
      </c>
      <c r="N4" s="249" t="s">
        <v>15</v>
      </c>
      <c r="O4" s="257" t="s">
        <v>16</v>
      </c>
      <c r="P4" s="257" t="s">
        <v>17</v>
      </c>
      <c r="Q4" s="249" t="s">
        <v>18</v>
      </c>
      <c r="R4" s="249"/>
      <c r="S4" s="249" t="s">
        <v>19</v>
      </c>
      <c r="T4" s="250" t="s">
        <v>20</v>
      </c>
      <c r="U4" s="250" t="s">
        <v>21</v>
      </c>
      <c r="V4" s="252" t="s">
        <v>22</v>
      </c>
      <c r="W4" s="254" t="s">
        <v>23</v>
      </c>
      <c r="X4" s="255"/>
      <c r="Y4" s="255"/>
      <c r="Z4" s="255"/>
      <c r="AA4" s="255"/>
      <c r="AB4" s="255"/>
      <c r="AC4" s="256"/>
    </row>
    <row r="5" spans="1:29" ht="21.95" customHeight="1">
      <c r="A5" s="248"/>
      <c r="B5" s="248"/>
      <c r="C5" s="248"/>
      <c r="D5" s="248"/>
      <c r="E5" s="248"/>
      <c r="F5" s="248"/>
      <c r="G5" s="249"/>
      <c r="H5" s="249"/>
      <c r="I5" s="249"/>
      <c r="J5" s="249"/>
      <c r="K5" s="249"/>
      <c r="L5" s="249"/>
      <c r="M5" s="249"/>
      <c r="N5" s="249"/>
      <c r="O5" s="258"/>
      <c r="P5" s="258"/>
      <c r="Q5" s="17" t="s">
        <v>24</v>
      </c>
      <c r="R5" s="153" t="s">
        <v>25</v>
      </c>
      <c r="S5" s="249"/>
      <c r="T5" s="251"/>
      <c r="U5" s="251"/>
      <c r="V5" s="253"/>
      <c r="W5" s="153" t="s">
        <v>26</v>
      </c>
      <c r="X5" s="18" t="s">
        <v>27</v>
      </c>
      <c r="Y5" s="18" t="s">
        <v>28</v>
      </c>
      <c r="Z5" s="153" t="s">
        <v>29</v>
      </c>
      <c r="AA5" s="18" t="s">
        <v>30</v>
      </c>
      <c r="AB5" s="18" t="s">
        <v>31</v>
      </c>
      <c r="AC5" s="153" t="s">
        <v>32</v>
      </c>
    </row>
    <row r="6" spans="1:29" ht="21.95" customHeight="1">
      <c r="A6" s="160">
        <v>300320</v>
      </c>
      <c r="B6" s="153" t="s">
        <v>33</v>
      </c>
      <c r="C6" s="261" t="s">
        <v>34</v>
      </c>
      <c r="D6" s="261"/>
      <c r="E6" s="166" t="s">
        <v>35</v>
      </c>
      <c r="F6" s="13"/>
      <c r="G6" s="110"/>
      <c r="H6" s="110"/>
      <c r="I6" s="110"/>
      <c r="J6" s="110"/>
      <c r="K6" s="164">
        <f t="shared" ref="K6:K76" si="0">G6*M6</f>
        <v>0</v>
      </c>
      <c r="L6" s="164">
        <f t="shared" ref="L6:L76" si="1">I6*M6</f>
        <v>0</v>
      </c>
      <c r="M6" s="164">
        <v>633.6</v>
      </c>
      <c r="N6" s="164">
        <f>+M6*1000/(28.3*10*40*60)*T6</f>
        <v>4.6643109540636036</v>
      </c>
      <c r="O6" s="164"/>
      <c r="P6" s="164">
        <f t="shared" ref="P6:P76" si="2">N6*I6+O6*U6</f>
        <v>0</v>
      </c>
      <c r="Q6" s="164"/>
      <c r="R6" s="19">
        <f t="shared" ref="R6:R76" si="3">Q6*U6</f>
        <v>0</v>
      </c>
      <c r="S6" s="164">
        <f t="shared" ref="S6:S76" si="4">R6-P6</f>
        <v>0</v>
      </c>
      <c r="T6" s="20">
        <v>5</v>
      </c>
      <c r="U6" s="20"/>
      <c r="V6" s="161" t="str">
        <f t="array" ref="V6">IF(ISERROR(L6/K6),"",L6/K6)</f>
        <v/>
      </c>
      <c r="W6" s="20"/>
      <c r="X6" s="153"/>
      <c r="Y6" s="153"/>
      <c r="Z6" s="165"/>
      <c r="AA6" s="20"/>
      <c r="AB6" s="20"/>
      <c r="AC6" s="20"/>
    </row>
    <row r="7" spans="1:29" ht="21.95" customHeight="1">
      <c r="A7" s="160">
        <v>300318</v>
      </c>
      <c r="B7" s="153" t="s">
        <v>33</v>
      </c>
      <c r="C7" s="261" t="s">
        <v>34</v>
      </c>
      <c r="D7" s="261"/>
      <c r="E7" s="166" t="s">
        <v>36</v>
      </c>
      <c r="F7" s="13"/>
      <c r="G7" s="110"/>
      <c r="H7" s="110"/>
      <c r="I7" s="110"/>
      <c r="J7" s="110"/>
      <c r="K7" s="164">
        <f t="shared" si="0"/>
        <v>0</v>
      </c>
      <c r="L7" s="164">
        <f t="shared" si="1"/>
        <v>0</v>
      </c>
      <c r="M7" s="164">
        <v>633.6</v>
      </c>
      <c r="N7" s="164">
        <f t="shared" ref="N7:N13" si="5">+M7*1000/(28.3*10*40*60)*T7</f>
        <v>4.6643109540636036</v>
      </c>
      <c r="O7" s="164"/>
      <c r="P7" s="164">
        <f t="shared" si="2"/>
        <v>0</v>
      </c>
      <c r="Q7" s="164"/>
      <c r="R7" s="19">
        <f t="shared" si="3"/>
        <v>0</v>
      </c>
      <c r="S7" s="164">
        <f t="shared" si="4"/>
        <v>0</v>
      </c>
      <c r="T7" s="20">
        <v>5</v>
      </c>
      <c r="U7" s="20"/>
      <c r="V7" s="161" t="str">
        <f t="array" ref="V7">IF(ISERROR(L7/K7),"",L7/K7)</f>
        <v/>
      </c>
      <c r="W7" s="20"/>
      <c r="X7" s="153"/>
      <c r="Y7" s="153"/>
      <c r="Z7" s="165"/>
      <c r="AA7" s="20"/>
      <c r="AB7" s="20"/>
      <c r="AC7" s="20"/>
    </row>
    <row r="8" spans="1:29" ht="21.95" customHeight="1">
      <c r="A8" s="160">
        <v>300319</v>
      </c>
      <c r="B8" s="153" t="s">
        <v>33</v>
      </c>
      <c r="C8" s="261" t="s">
        <v>34</v>
      </c>
      <c r="D8" s="261"/>
      <c r="E8" s="166" t="s">
        <v>37</v>
      </c>
      <c r="F8" s="13"/>
      <c r="G8" s="110"/>
      <c r="H8" s="110"/>
      <c r="I8" s="110"/>
      <c r="J8" s="110"/>
      <c r="K8" s="164">
        <f t="shared" si="0"/>
        <v>0</v>
      </c>
      <c r="L8" s="164">
        <f t="shared" si="1"/>
        <v>0</v>
      </c>
      <c r="M8" s="164">
        <v>633.6</v>
      </c>
      <c r="N8" s="164">
        <f t="shared" si="5"/>
        <v>4.6643109540636036</v>
      </c>
      <c r="O8" s="164"/>
      <c r="P8" s="164">
        <f t="shared" si="2"/>
        <v>0</v>
      </c>
      <c r="Q8" s="164"/>
      <c r="R8" s="19">
        <f t="shared" si="3"/>
        <v>0</v>
      </c>
      <c r="S8" s="164">
        <f t="shared" si="4"/>
        <v>0</v>
      </c>
      <c r="T8" s="20">
        <v>5</v>
      </c>
      <c r="U8" s="20"/>
      <c r="V8" s="161" t="str">
        <f t="array" ref="V8">IF(ISERROR(L8/K8),"",L8/K8)</f>
        <v/>
      </c>
      <c r="W8" s="20"/>
      <c r="X8" s="153"/>
      <c r="Y8" s="153"/>
      <c r="Z8" s="165"/>
      <c r="AA8" s="20"/>
      <c r="AB8" s="20"/>
      <c r="AC8" s="20"/>
    </row>
    <row r="9" spans="1:29" ht="21.95" customHeight="1">
      <c r="A9" s="160">
        <v>300316</v>
      </c>
      <c r="B9" s="153" t="s">
        <v>33</v>
      </c>
      <c r="C9" s="261" t="s">
        <v>34</v>
      </c>
      <c r="D9" s="261"/>
      <c r="E9" s="166" t="s">
        <v>38</v>
      </c>
      <c r="F9" s="13"/>
      <c r="G9" s="110"/>
      <c r="H9" s="110"/>
      <c r="I9" s="110"/>
      <c r="J9" s="110"/>
      <c r="K9" s="164">
        <f t="shared" si="0"/>
        <v>0</v>
      </c>
      <c r="L9" s="164">
        <f t="shared" si="1"/>
        <v>0</v>
      </c>
      <c r="M9" s="164">
        <v>616</v>
      </c>
      <c r="N9" s="164">
        <f t="shared" si="5"/>
        <v>4.534746760895171</v>
      </c>
      <c r="O9" s="164"/>
      <c r="P9" s="164">
        <f t="shared" si="2"/>
        <v>0</v>
      </c>
      <c r="Q9" s="164"/>
      <c r="R9" s="19">
        <f t="shared" si="3"/>
        <v>0</v>
      </c>
      <c r="S9" s="164">
        <f t="shared" si="4"/>
        <v>0</v>
      </c>
      <c r="T9" s="20">
        <v>5</v>
      </c>
      <c r="U9" s="20"/>
      <c r="V9" s="161"/>
      <c r="W9" s="20"/>
      <c r="X9" s="153"/>
      <c r="Y9" s="153"/>
      <c r="Z9" s="165"/>
      <c r="AA9" s="20"/>
      <c r="AB9" s="20"/>
      <c r="AC9" s="20"/>
    </row>
    <row r="10" spans="1:29" ht="21.95" customHeight="1">
      <c r="A10" s="160">
        <v>300317</v>
      </c>
      <c r="B10" s="153" t="s">
        <v>33</v>
      </c>
      <c r="C10" s="248" t="s">
        <v>34</v>
      </c>
      <c r="D10" s="248"/>
      <c r="E10" s="166" t="s">
        <v>39</v>
      </c>
      <c r="F10" s="13"/>
      <c r="G10" s="110"/>
      <c r="H10" s="110"/>
      <c r="I10" s="110"/>
      <c r="J10" s="110"/>
      <c r="K10" s="164">
        <f t="shared" si="0"/>
        <v>0</v>
      </c>
      <c r="L10" s="164">
        <f t="shared" si="1"/>
        <v>0</v>
      </c>
      <c r="M10" s="164">
        <v>616</v>
      </c>
      <c r="N10" s="164">
        <f t="shared" si="5"/>
        <v>4.534746760895171</v>
      </c>
      <c r="O10" s="164"/>
      <c r="P10" s="164">
        <f t="shared" si="2"/>
        <v>0</v>
      </c>
      <c r="Q10" s="164"/>
      <c r="R10" s="19">
        <f t="shared" si="3"/>
        <v>0</v>
      </c>
      <c r="S10" s="164">
        <f t="shared" si="4"/>
        <v>0</v>
      </c>
      <c r="T10" s="20">
        <v>5</v>
      </c>
      <c r="U10" s="20"/>
      <c r="V10" s="161"/>
      <c r="W10" s="20"/>
      <c r="X10" s="153"/>
      <c r="Y10" s="153"/>
      <c r="Z10" s="165"/>
      <c r="AA10" s="20"/>
      <c r="AB10" s="20"/>
      <c r="AC10" s="20"/>
    </row>
    <row r="11" spans="1:29" ht="21.95" customHeight="1">
      <c r="A11" s="160">
        <v>300315</v>
      </c>
      <c r="B11" s="153" t="s">
        <v>33</v>
      </c>
      <c r="C11" s="248" t="s">
        <v>34</v>
      </c>
      <c r="D11" s="248"/>
      <c r="E11" s="166" t="s">
        <v>40</v>
      </c>
      <c r="F11" s="13"/>
      <c r="G11" s="110"/>
      <c r="H11" s="110"/>
      <c r="I11" s="110"/>
      <c r="J11" s="110"/>
      <c r="K11" s="164">
        <f t="shared" si="0"/>
        <v>0</v>
      </c>
      <c r="L11" s="164">
        <f t="shared" si="1"/>
        <v>0</v>
      </c>
      <c r="M11" s="164">
        <v>616</v>
      </c>
      <c r="N11" s="164">
        <f t="shared" si="5"/>
        <v>4.534746760895171</v>
      </c>
      <c r="O11" s="164"/>
      <c r="P11" s="164">
        <f t="shared" si="2"/>
        <v>0</v>
      </c>
      <c r="Q11" s="164"/>
      <c r="R11" s="19">
        <f t="shared" si="3"/>
        <v>0</v>
      </c>
      <c r="S11" s="164">
        <f t="shared" si="4"/>
        <v>0</v>
      </c>
      <c r="T11" s="20">
        <v>5</v>
      </c>
      <c r="U11" s="20"/>
      <c r="V11" s="161" t="str">
        <f t="array" ref="V11">IF(ISERROR(L11/K11),"",L11/K11)</f>
        <v/>
      </c>
      <c r="W11" s="20"/>
      <c r="X11" s="153"/>
      <c r="Y11" s="153"/>
      <c r="Z11" s="165"/>
      <c r="AA11" s="20"/>
      <c r="AB11" s="20"/>
      <c r="AC11" s="20"/>
    </row>
    <row r="12" spans="1:29" ht="21.95" customHeight="1">
      <c r="A12" s="160">
        <v>300314</v>
      </c>
      <c r="B12" s="153" t="s">
        <v>33</v>
      </c>
      <c r="C12" s="248" t="s">
        <v>34</v>
      </c>
      <c r="D12" s="248"/>
      <c r="E12" s="166" t="s">
        <v>41</v>
      </c>
      <c r="F12" s="13"/>
      <c r="G12" s="110"/>
      <c r="H12" s="110"/>
      <c r="I12" s="110"/>
      <c r="J12" s="110"/>
      <c r="K12" s="164">
        <f t="shared" si="0"/>
        <v>0</v>
      </c>
      <c r="L12" s="164">
        <f t="shared" si="1"/>
        <v>0</v>
      </c>
      <c r="M12" s="164">
        <v>616</v>
      </c>
      <c r="N12" s="164">
        <f t="shared" si="5"/>
        <v>4.534746760895171</v>
      </c>
      <c r="O12" s="164"/>
      <c r="P12" s="164">
        <f t="shared" si="2"/>
        <v>0</v>
      </c>
      <c r="Q12" s="164"/>
      <c r="R12" s="19">
        <f t="shared" si="3"/>
        <v>0</v>
      </c>
      <c r="S12" s="164">
        <f t="shared" si="4"/>
        <v>0</v>
      </c>
      <c r="T12" s="20">
        <v>5</v>
      </c>
      <c r="U12" s="20"/>
      <c r="V12" s="161" t="str">
        <f t="array" ref="V12">IF(ISERROR(L12/K12),"",L12/K12)</f>
        <v/>
      </c>
      <c r="W12" s="20"/>
      <c r="X12" s="153"/>
      <c r="Y12" s="153"/>
      <c r="Z12" s="165"/>
      <c r="AA12" s="20"/>
      <c r="AB12" s="20"/>
      <c r="AC12" s="20"/>
    </row>
    <row r="13" spans="1:29" ht="21.95" customHeight="1">
      <c r="A13" s="160">
        <v>300313</v>
      </c>
      <c r="B13" s="153" t="s">
        <v>33</v>
      </c>
      <c r="C13" s="248" t="s">
        <v>34</v>
      </c>
      <c r="D13" s="248"/>
      <c r="E13" s="166" t="s">
        <v>42</v>
      </c>
      <c r="F13" s="13"/>
      <c r="G13" s="110"/>
      <c r="H13" s="110"/>
      <c r="I13" s="110"/>
      <c r="J13" s="110"/>
      <c r="K13" s="164">
        <f t="shared" si="0"/>
        <v>0</v>
      </c>
      <c r="L13" s="164">
        <f t="shared" si="1"/>
        <v>0</v>
      </c>
      <c r="M13" s="164">
        <v>616</v>
      </c>
      <c r="N13" s="164">
        <f t="shared" si="5"/>
        <v>4.534746760895171</v>
      </c>
      <c r="O13" s="164"/>
      <c r="P13" s="164">
        <f t="shared" si="2"/>
        <v>0</v>
      </c>
      <c r="Q13" s="164"/>
      <c r="R13" s="19">
        <f t="shared" si="3"/>
        <v>0</v>
      </c>
      <c r="S13" s="164">
        <f t="shared" si="4"/>
        <v>0</v>
      </c>
      <c r="T13" s="20">
        <v>5</v>
      </c>
      <c r="U13" s="20"/>
      <c r="V13" s="161" t="str">
        <f t="array" ref="V13">IF(ISERROR(L13/K13),"",L13/K13)</f>
        <v/>
      </c>
      <c r="W13" s="20"/>
      <c r="X13" s="153"/>
      <c r="Y13" s="153"/>
      <c r="Z13" s="165"/>
      <c r="AA13" s="20"/>
      <c r="AB13" s="20"/>
      <c r="AC13" s="20"/>
    </row>
    <row r="14" spans="1:29" ht="21.95" customHeight="1">
      <c r="A14" s="160"/>
      <c r="B14" s="153" t="s">
        <v>43</v>
      </c>
      <c r="C14" s="259" t="s">
        <v>313</v>
      </c>
      <c r="D14" s="260"/>
      <c r="E14" s="166" t="s">
        <v>314</v>
      </c>
      <c r="F14" s="13"/>
      <c r="G14" s="110"/>
      <c r="H14" s="110"/>
      <c r="I14" s="110"/>
      <c r="J14" s="110"/>
      <c r="K14" s="164">
        <f t="shared" si="0"/>
        <v>0</v>
      </c>
      <c r="L14" s="164">
        <f t="shared" si="1"/>
        <v>0</v>
      </c>
      <c r="M14" s="164">
        <v>213.4</v>
      </c>
      <c r="N14" s="164">
        <f>+M14*1000/(15.4*10*17*60)*T14</f>
        <v>4.0756302521008401</v>
      </c>
      <c r="O14" s="164"/>
      <c r="P14" s="164">
        <f t="shared" si="2"/>
        <v>0</v>
      </c>
      <c r="Q14" s="164"/>
      <c r="R14" s="19">
        <f t="shared" si="3"/>
        <v>0</v>
      </c>
      <c r="S14" s="164">
        <f t="shared" si="4"/>
        <v>0</v>
      </c>
      <c r="T14" s="20">
        <v>3</v>
      </c>
      <c r="U14" s="20"/>
      <c r="V14" s="161"/>
      <c r="W14" s="20"/>
      <c r="X14" s="153"/>
      <c r="Y14" s="153"/>
      <c r="Z14" s="165"/>
      <c r="AA14" s="20"/>
      <c r="AB14" s="20"/>
      <c r="AC14" s="20"/>
    </row>
    <row r="15" spans="1:29" ht="21.95" customHeight="1">
      <c r="A15" s="160"/>
      <c r="B15" s="153" t="s">
        <v>43</v>
      </c>
      <c r="C15" s="259" t="s">
        <v>313</v>
      </c>
      <c r="D15" s="260"/>
      <c r="E15" s="166" t="s">
        <v>315</v>
      </c>
      <c r="F15" s="13"/>
      <c r="G15" s="110"/>
      <c r="H15" s="110"/>
      <c r="I15" s="110"/>
      <c r="J15" s="110"/>
      <c r="K15" s="164">
        <f t="shared" si="0"/>
        <v>0</v>
      </c>
      <c r="L15" s="164">
        <f t="shared" si="1"/>
        <v>0</v>
      </c>
      <c r="M15" s="164">
        <v>213.4</v>
      </c>
      <c r="N15" s="164">
        <f>+M15*1000/(15.4*10*17*60)*T15</f>
        <v>4.0756302521008401</v>
      </c>
      <c r="O15" s="164"/>
      <c r="P15" s="164">
        <f t="shared" si="2"/>
        <v>0</v>
      </c>
      <c r="Q15" s="164"/>
      <c r="R15" s="19">
        <f t="shared" si="3"/>
        <v>0</v>
      </c>
      <c r="S15" s="164">
        <f t="shared" si="4"/>
        <v>0</v>
      </c>
      <c r="T15" s="20">
        <v>3</v>
      </c>
      <c r="U15" s="20"/>
      <c r="V15" s="161"/>
      <c r="W15" s="20"/>
      <c r="X15" s="153"/>
      <c r="Y15" s="153"/>
      <c r="Z15" s="165"/>
      <c r="AA15" s="20"/>
      <c r="AB15" s="20"/>
      <c r="AC15" s="20"/>
    </row>
    <row r="16" spans="1:29" ht="21" customHeight="1">
      <c r="A16" s="153">
        <v>300202</v>
      </c>
      <c r="B16" s="153" t="s">
        <v>43</v>
      </c>
      <c r="C16" s="259" t="s">
        <v>44</v>
      </c>
      <c r="D16" s="260"/>
      <c r="E16" s="153" t="s">
        <v>35</v>
      </c>
      <c r="F16" s="13"/>
      <c r="G16" s="110"/>
      <c r="H16" s="110"/>
      <c r="I16" s="110"/>
      <c r="J16" s="110"/>
      <c r="K16" s="164">
        <f t="shared" si="0"/>
        <v>0</v>
      </c>
      <c r="L16" s="164">
        <f t="shared" si="1"/>
        <v>0</v>
      </c>
      <c r="M16" s="164">
        <v>212.4</v>
      </c>
      <c r="N16" s="164">
        <f>+M16*1000/(15.4*10*17*60)*T16</f>
        <v>4.0565317035905268</v>
      </c>
      <c r="O16" s="164"/>
      <c r="P16" s="164">
        <f t="shared" si="2"/>
        <v>0</v>
      </c>
      <c r="Q16" s="164"/>
      <c r="R16" s="19">
        <f t="shared" si="3"/>
        <v>0</v>
      </c>
      <c r="S16" s="164">
        <f t="shared" si="4"/>
        <v>0</v>
      </c>
      <c r="T16" s="20">
        <v>3</v>
      </c>
      <c r="U16" s="20"/>
      <c r="V16" s="161" t="str">
        <f t="array" ref="V16">IF(ISERROR(L16/K16),"",L16/K16)</f>
        <v/>
      </c>
      <c r="W16" s="20"/>
      <c r="X16" s="20"/>
      <c r="Y16" s="20"/>
      <c r="Z16" s="20"/>
      <c r="AA16" s="20"/>
      <c r="AB16" s="20"/>
      <c r="AC16" s="20"/>
    </row>
    <row r="17" spans="1:29" ht="21.95" customHeight="1">
      <c r="A17" s="153">
        <v>300203</v>
      </c>
      <c r="B17" s="153" t="s">
        <v>43</v>
      </c>
      <c r="C17" s="259" t="s">
        <v>44</v>
      </c>
      <c r="D17" s="260"/>
      <c r="E17" s="153" t="s">
        <v>41</v>
      </c>
      <c r="F17" s="13"/>
      <c r="G17" s="110"/>
      <c r="H17" s="110"/>
      <c r="I17" s="110"/>
      <c r="J17" s="110"/>
      <c r="K17" s="164">
        <f t="shared" si="0"/>
        <v>0</v>
      </c>
      <c r="L17" s="164">
        <f t="shared" si="1"/>
        <v>0</v>
      </c>
      <c r="M17" s="164">
        <v>212.4</v>
      </c>
      <c r="N17" s="164">
        <f>+M17*1000/(15.4*10*17*60)*T17</f>
        <v>4.0565317035905268</v>
      </c>
      <c r="O17" s="164"/>
      <c r="P17" s="164">
        <f t="shared" si="2"/>
        <v>0</v>
      </c>
      <c r="Q17" s="164"/>
      <c r="R17" s="19">
        <f t="shared" si="3"/>
        <v>0</v>
      </c>
      <c r="S17" s="164">
        <f t="shared" si="4"/>
        <v>0</v>
      </c>
      <c r="T17" s="20">
        <v>3</v>
      </c>
      <c r="U17" s="20"/>
      <c r="V17" s="161" t="str">
        <f t="array" ref="V17">IF(ISERROR(L17/K17),"",L17/K17)</f>
        <v/>
      </c>
      <c r="W17" s="20"/>
      <c r="X17" s="20"/>
      <c r="Y17" s="20"/>
      <c r="Z17" s="20"/>
      <c r="AA17" s="20"/>
      <c r="AB17" s="20"/>
      <c r="AC17" s="20"/>
    </row>
    <row r="18" spans="1:29" ht="21.95" customHeight="1">
      <c r="A18" s="153">
        <v>300204</v>
      </c>
      <c r="B18" s="153" t="s">
        <v>43</v>
      </c>
      <c r="C18" s="259" t="s">
        <v>44</v>
      </c>
      <c r="D18" s="260"/>
      <c r="E18" s="153" t="s">
        <v>37</v>
      </c>
      <c r="F18" s="13"/>
      <c r="G18" s="110"/>
      <c r="H18" s="110"/>
      <c r="I18" s="110"/>
      <c r="J18" s="110"/>
      <c r="K18" s="164">
        <f t="shared" si="0"/>
        <v>0</v>
      </c>
      <c r="L18" s="164">
        <f t="shared" si="1"/>
        <v>0</v>
      </c>
      <c r="M18" s="164">
        <v>212.4</v>
      </c>
      <c r="N18" s="164">
        <f>+M18*1000/(15.4*10*17*60)*T18</f>
        <v>4.0565317035905268</v>
      </c>
      <c r="O18" s="164"/>
      <c r="P18" s="164">
        <f t="shared" si="2"/>
        <v>0</v>
      </c>
      <c r="Q18" s="164"/>
      <c r="R18" s="19">
        <f t="shared" si="3"/>
        <v>0</v>
      </c>
      <c r="S18" s="164">
        <f t="shared" si="4"/>
        <v>0</v>
      </c>
      <c r="T18" s="20">
        <v>3</v>
      </c>
      <c r="U18" s="20"/>
      <c r="V18" s="161" t="str">
        <f t="array" ref="V18">IF(ISERROR(L18/K18),"",L18/K18)</f>
        <v/>
      </c>
      <c r="W18" s="20"/>
      <c r="X18" s="20"/>
      <c r="Y18" s="20"/>
      <c r="Z18" s="20"/>
      <c r="AA18" s="20"/>
      <c r="AB18" s="20"/>
      <c r="AC18" s="20"/>
    </row>
    <row r="19" spans="1:29" ht="21.95" customHeight="1">
      <c r="A19" s="160">
        <v>300269</v>
      </c>
      <c r="B19" s="153" t="s">
        <v>43</v>
      </c>
      <c r="C19" s="248" t="s">
        <v>45</v>
      </c>
      <c r="D19" s="248"/>
      <c r="E19" s="166"/>
      <c r="F19" s="13"/>
      <c r="G19" s="110"/>
      <c r="H19" s="110"/>
      <c r="I19" s="110"/>
      <c r="J19" s="110"/>
      <c r="K19" s="164">
        <f t="shared" si="0"/>
        <v>0</v>
      </c>
      <c r="L19" s="164">
        <f t="shared" si="1"/>
        <v>0</v>
      </c>
      <c r="M19" s="164">
        <v>209.4</v>
      </c>
      <c r="N19" s="164">
        <f>+M19*1000/(19.4*10*16*60)*T19</f>
        <v>3.3730670103092786</v>
      </c>
      <c r="O19" s="164"/>
      <c r="P19" s="164">
        <f t="shared" si="2"/>
        <v>0</v>
      </c>
      <c r="Q19" s="164"/>
      <c r="R19" s="19">
        <f t="shared" si="3"/>
        <v>0</v>
      </c>
      <c r="S19" s="164">
        <f t="shared" si="4"/>
        <v>0</v>
      </c>
      <c r="T19" s="20">
        <v>3</v>
      </c>
      <c r="U19" s="20"/>
      <c r="V19" s="161" t="str">
        <f t="array" ref="V19">IF(ISERROR(L19/K19),"",L19/K19)</f>
        <v/>
      </c>
      <c r="W19" s="20"/>
      <c r="X19" s="20"/>
      <c r="Y19" s="20"/>
      <c r="Z19" s="20"/>
      <c r="AA19" s="20"/>
      <c r="AB19" s="20"/>
      <c r="AC19" s="20"/>
    </row>
    <row r="20" spans="1:29" ht="21.95" customHeight="1">
      <c r="A20" s="160"/>
      <c r="B20" s="153"/>
      <c r="C20" s="248" t="s">
        <v>46</v>
      </c>
      <c r="D20" s="248"/>
      <c r="E20" s="166" t="s">
        <v>47</v>
      </c>
      <c r="F20" s="13"/>
      <c r="G20" s="110"/>
      <c r="H20" s="110"/>
      <c r="I20" s="110"/>
      <c r="J20" s="110"/>
      <c r="K20" s="164">
        <f t="shared" si="0"/>
        <v>0</v>
      </c>
      <c r="L20" s="164">
        <f t="shared" si="1"/>
        <v>0</v>
      </c>
      <c r="M20" s="164">
        <v>209.9</v>
      </c>
      <c r="N20" s="164">
        <f>+M20*1000/(19*10*16*60)*T20</f>
        <v>3.4523026315789478</v>
      </c>
      <c r="O20" s="164"/>
      <c r="P20" s="164">
        <f t="shared" si="2"/>
        <v>0</v>
      </c>
      <c r="Q20" s="164"/>
      <c r="R20" s="19">
        <f t="shared" si="3"/>
        <v>0</v>
      </c>
      <c r="S20" s="164">
        <f t="shared" si="4"/>
        <v>0</v>
      </c>
      <c r="T20" s="20">
        <v>3</v>
      </c>
      <c r="U20" s="20"/>
      <c r="V20" s="161" t="str">
        <f t="array" ref="V20">IF(ISERROR(L20/K20),"",L20/K20)</f>
        <v/>
      </c>
      <c r="W20" s="20"/>
      <c r="X20" s="20"/>
      <c r="Y20" s="20"/>
      <c r="Z20" s="20"/>
      <c r="AA20" s="20"/>
      <c r="AB20" s="20"/>
      <c r="AC20" s="20"/>
    </row>
    <row r="21" spans="1:29" ht="21.95" customHeight="1">
      <c r="A21" s="160">
        <v>300350</v>
      </c>
      <c r="B21" s="153" t="s">
        <v>43</v>
      </c>
      <c r="C21" s="248" t="s">
        <v>48</v>
      </c>
      <c r="D21" s="248"/>
      <c r="E21" s="166" t="s">
        <v>49</v>
      </c>
      <c r="F21" s="13"/>
      <c r="G21" s="110"/>
      <c r="H21" s="110"/>
      <c r="I21" s="110"/>
      <c r="J21" s="110"/>
      <c r="K21" s="164">
        <f t="shared" si="0"/>
        <v>0</v>
      </c>
      <c r="L21" s="164">
        <f t="shared" si="1"/>
        <v>0</v>
      </c>
      <c r="M21" s="164">
        <v>209.9</v>
      </c>
      <c r="N21" s="164">
        <f>+M21*1000/(19*10*16*60)*T21</f>
        <v>2.3015350877192984</v>
      </c>
      <c r="O21" s="164"/>
      <c r="P21" s="164">
        <f t="shared" si="2"/>
        <v>0</v>
      </c>
      <c r="Q21" s="164"/>
      <c r="R21" s="19">
        <f t="shared" si="3"/>
        <v>0</v>
      </c>
      <c r="S21" s="164">
        <f t="shared" si="4"/>
        <v>0</v>
      </c>
      <c r="T21" s="20">
        <v>2</v>
      </c>
      <c r="U21" s="20"/>
      <c r="V21" s="161" t="str">
        <f t="array" ref="V21">IF(ISERROR(L21/K21),"",L21/K21)</f>
        <v/>
      </c>
      <c r="W21" s="20"/>
      <c r="X21" s="20"/>
      <c r="Y21" s="20"/>
      <c r="Z21" s="20"/>
      <c r="AA21" s="20"/>
      <c r="AB21" s="20"/>
      <c r="AC21" s="20"/>
    </row>
    <row r="22" spans="1:29" ht="21.95" customHeight="1">
      <c r="A22" s="160">
        <v>300113</v>
      </c>
      <c r="B22" s="153" t="s">
        <v>43</v>
      </c>
      <c r="C22" s="248" t="s">
        <v>50</v>
      </c>
      <c r="D22" s="248"/>
      <c r="E22" s="166" t="s">
        <v>40</v>
      </c>
      <c r="F22" s="13"/>
      <c r="G22" s="110"/>
      <c r="H22" s="110"/>
      <c r="I22" s="110"/>
      <c r="J22" s="110"/>
      <c r="K22" s="164">
        <f t="shared" si="0"/>
        <v>0</v>
      </c>
      <c r="L22" s="164">
        <f t="shared" si="1"/>
        <v>0</v>
      </c>
      <c r="M22" s="164">
        <v>210</v>
      </c>
      <c r="N22" s="164">
        <f>M22*1000/(19.2*10*17*60)*T22</f>
        <v>2.1446078431372548</v>
      </c>
      <c r="O22" s="164"/>
      <c r="P22" s="164">
        <f t="shared" si="2"/>
        <v>0</v>
      </c>
      <c r="Q22" s="164"/>
      <c r="R22" s="19">
        <f t="shared" si="3"/>
        <v>0</v>
      </c>
      <c r="S22" s="164">
        <f t="shared" si="4"/>
        <v>0</v>
      </c>
      <c r="T22" s="20">
        <v>2</v>
      </c>
      <c r="U22" s="20"/>
      <c r="V22" s="161" t="str">
        <f t="array" ref="V22">IF(ISERROR(L22/K22),"",L22/K22)</f>
        <v/>
      </c>
      <c r="W22" s="20"/>
      <c r="X22" s="20"/>
      <c r="Y22" s="20"/>
      <c r="Z22" s="20"/>
      <c r="AA22" s="20"/>
      <c r="AB22" s="20"/>
      <c r="AC22" s="20"/>
    </row>
    <row r="23" spans="1:29" ht="21.95" customHeight="1">
      <c r="A23" s="160">
        <v>300114</v>
      </c>
      <c r="B23" s="153" t="s">
        <v>43</v>
      </c>
      <c r="C23" s="248" t="s">
        <v>50</v>
      </c>
      <c r="D23" s="248"/>
      <c r="E23" s="166" t="s">
        <v>42</v>
      </c>
      <c r="F23" s="13"/>
      <c r="G23" s="110"/>
      <c r="H23" s="110"/>
      <c r="I23" s="110"/>
      <c r="J23" s="110"/>
      <c r="K23" s="164">
        <f t="shared" si="0"/>
        <v>0</v>
      </c>
      <c r="L23" s="164">
        <f t="shared" si="1"/>
        <v>0</v>
      </c>
      <c r="M23" s="164">
        <v>210</v>
      </c>
      <c r="N23" s="164">
        <f>M23*1000/(19.2*10*17*60)*T23</f>
        <v>2.1446078431372548</v>
      </c>
      <c r="O23" s="164"/>
      <c r="P23" s="164">
        <f t="shared" si="2"/>
        <v>0</v>
      </c>
      <c r="Q23" s="164"/>
      <c r="R23" s="19">
        <f t="shared" si="3"/>
        <v>0</v>
      </c>
      <c r="S23" s="164">
        <f t="shared" si="4"/>
        <v>0</v>
      </c>
      <c r="T23" s="20">
        <v>2</v>
      </c>
      <c r="U23" s="20"/>
      <c r="V23" s="161" t="str">
        <f t="array" ref="V23">IF(ISERROR(L23/K23),"",L23/K23)</f>
        <v/>
      </c>
      <c r="W23" s="20"/>
      <c r="X23" s="20"/>
      <c r="Y23" s="20"/>
      <c r="Z23" s="20"/>
      <c r="AA23" s="20"/>
      <c r="AB23" s="20"/>
      <c r="AC23" s="20"/>
    </row>
    <row r="24" spans="1:29" ht="21.95" customHeight="1">
      <c r="A24" s="160">
        <v>300115</v>
      </c>
      <c r="B24" s="153" t="s">
        <v>43</v>
      </c>
      <c r="C24" s="248" t="s">
        <v>50</v>
      </c>
      <c r="D24" s="248"/>
      <c r="E24" s="166" t="s">
        <v>41</v>
      </c>
      <c r="F24" s="13"/>
      <c r="G24" s="110"/>
      <c r="H24" s="110"/>
      <c r="I24" s="110"/>
      <c r="J24" s="110"/>
      <c r="K24" s="164">
        <f t="shared" si="0"/>
        <v>0</v>
      </c>
      <c r="L24" s="164">
        <f t="shared" si="1"/>
        <v>0</v>
      </c>
      <c r="M24" s="164">
        <v>210</v>
      </c>
      <c r="N24" s="164">
        <f>M24*1000/(19.2*10*17*60)*T24</f>
        <v>2.1446078431372548</v>
      </c>
      <c r="O24" s="164"/>
      <c r="P24" s="164">
        <f t="shared" si="2"/>
        <v>0</v>
      </c>
      <c r="Q24" s="164"/>
      <c r="R24" s="19">
        <f t="shared" si="3"/>
        <v>0</v>
      </c>
      <c r="S24" s="164">
        <f t="shared" si="4"/>
        <v>0</v>
      </c>
      <c r="T24" s="20">
        <v>2</v>
      </c>
      <c r="U24" s="20"/>
      <c r="V24" s="161" t="str">
        <f t="array" ref="V24">IF(ISERROR(L24/K24),"",L24/K24)</f>
        <v/>
      </c>
      <c r="W24" s="20"/>
      <c r="X24" s="20"/>
      <c r="Y24" s="20"/>
      <c r="Z24" s="20"/>
      <c r="AA24" s="20"/>
      <c r="AB24" s="20"/>
      <c r="AC24" s="20"/>
    </row>
    <row r="25" spans="1:29" ht="21.95" customHeight="1">
      <c r="A25" s="160">
        <v>300011</v>
      </c>
      <c r="B25" s="153" t="s">
        <v>43</v>
      </c>
      <c r="C25" s="248" t="s">
        <v>51</v>
      </c>
      <c r="D25" s="248"/>
      <c r="E25" s="166" t="s">
        <v>40</v>
      </c>
      <c r="F25" s="13"/>
      <c r="G25" s="110"/>
      <c r="H25" s="110"/>
      <c r="I25" s="110"/>
      <c r="J25" s="110"/>
      <c r="K25" s="164">
        <f t="shared" si="0"/>
        <v>0</v>
      </c>
      <c r="L25" s="164">
        <f t="shared" si="1"/>
        <v>0</v>
      </c>
      <c r="M25" s="164">
        <v>524.6</v>
      </c>
      <c r="N25" s="164">
        <f>+M25*1000/(25.4*20*15*60)*T25</f>
        <v>3.4422572178477688</v>
      </c>
      <c r="O25" s="164"/>
      <c r="P25" s="164">
        <f t="shared" si="2"/>
        <v>0</v>
      </c>
      <c r="Q25" s="164"/>
      <c r="R25" s="19">
        <f t="shared" si="3"/>
        <v>0</v>
      </c>
      <c r="S25" s="164">
        <f t="shared" si="4"/>
        <v>0</v>
      </c>
      <c r="T25" s="20">
        <v>3</v>
      </c>
      <c r="U25" s="20"/>
      <c r="V25" s="161" t="str">
        <f t="array" ref="V25">IF(ISERROR(L25/K25),"",L25/K25)</f>
        <v/>
      </c>
      <c r="W25" s="20"/>
      <c r="X25" s="20"/>
      <c r="Y25" s="20"/>
      <c r="Z25" s="20"/>
      <c r="AA25" s="20"/>
      <c r="AB25" s="20"/>
      <c r="AC25" s="20"/>
    </row>
    <row r="26" spans="1:29" ht="21.95" customHeight="1">
      <c r="A26" s="160">
        <v>300012</v>
      </c>
      <c r="B26" s="153" t="s">
        <v>43</v>
      </c>
      <c r="C26" s="248" t="s">
        <v>51</v>
      </c>
      <c r="D26" s="248"/>
      <c r="E26" s="166" t="s">
        <v>41</v>
      </c>
      <c r="F26" s="13"/>
      <c r="G26" s="110"/>
      <c r="H26" s="110"/>
      <c r="I26" s="110"/>
      <c r="J26" s="110"/>
      <c r="K26" s="164">
        <f t="shared" si="0"/>
        <v>0</v>
      </c>
      <c r="L26" s="164">
        <f t="shared" si="1"/>
        <v>0</v>
      </c>
      <c r="M26" s="164">
        <v>524.6</v>
      </c>
      <c r="N26" s="164">
        <f>+M26*1000/(25.4*20*15*60)*T26</f>
        <v>3.4422572178477688</v>
      </c>
      <c r="O26" s="164"/>
      <c r="P26" s="164">
        <f t="shared" si="2"/>
        <v>0</v>
      </c>
      <c r="Q26" s="164"/>
      <c r="R26" s="19">
        <f t="shared" si="3"/>
        <v>0</v>
      </c>
      <c r="S26" s="164">
        <f t="shared" si="4"/>
        <v>0</v>
      </c>
      <c r="T26" s="20">
        <v>3</v>
      </c>
      <c r="U26" s="20"/>
      <c r="V26" s="161" t="str">
        <f t="array" ref="V26">IF(ISERROR(L26/K26),"",L26/K26)</f>
        <v/>
      </c>
      <c r="W26" s="20"/>
      <c r="X26" s="20"/>
      <c r="Y26" s="20"/>
      <c r="Z26" s="20"/>
      <c r="AA26" s="20"/>
      <c r="AB26" s="20"/>
      <c r="AC26" s="20"/>
    </row>
    <row r="27" spans="1:29" ht="21.95" customHeight="1">
      <c r="A27" s="160">
        <v>300013</v>
      </c>
      <c r="B27" s="153" t="s">
        <v>43</v>
      </c>
      <c r="C27" s="248" t="s">
        <v>51</v>
      </c>
      <c r="D27" s="248"/>
      <c r="E27" s="166" t="s">
        <v>42</v>
      </c>
      <c r="F27" s="13"/>
      <c r="G27" s="110"/>
      <c r="H27" s="110"/>
      <c r="I27" s="110"/>
      <c r="J27" s="110"/>
      <c r="K27" s="164">
        <f t="shared" si="0"/>
        <v>0</v>
      </c>
      <c r="L27" s="164">
        <f t="shared" si="1"/>
        <v>0</v>
      </c>
      <c r="M27" s="164">
        <v>524.6</v>
      </c>
      <c r="N27" s="164">
        <f>+M27*1000/(25.4*20*15*60)*T27</f>
        <v>3.4422572178477688</v>
      </c>
      <c r="O27" s="164"/>
      <c r="P27" s="164">
        <f t="shared" si="2"/>
        <v>0</v>
      </c>
      <c r="Q27" s="164"/>
      <c r="R27" s="19">
        <f t="shared" si="3"/>
        <v>0</v>
      </c>
      <c r="S27" s="164">
        <f t="shared" si="4"/>
        <v>0</v>
      </c>
      <c r="T27" s="20">
        <v>3</v>
      </c>
      <c r="U27" s="20"/>
      <c r="V27" s="161" t="str">
        <f t="array" ref="V27">IF(ISERROR(L27/K27),"",L27/K27)</f>
        <v/>
      </c>
      <c r="W27" s="20"/>
      <c r="X27" s="20"/>
      <c r="Y27" s="20"/>
      <c r="Z27" s="20"/>
      <c r="AA27" s="20"/>
      <c r="AB27" s="20"/>
      <c r="AC27" s="20"/>
    </row>
    <row r="28" spans="1:29" ht="21" customHeight="1">
      <c r="A28" s="160">
        <v>300016</v>
      </c>
      <c r="B28" s="153" t="s">
        <v>43</v>
      </c>
      <c r="C28" s="248" t="s">
        <v>51</v>
      </c>
      <c r="D28" s="248"/>
      <c r="E28" s="166" t="s">
        <v>38</v>
      </c>
      <c r="F28" s="13"/>
      <c r="G28" s="110"/>
      <c r="H28" s="110"/>
      <c r="I28" s="110"/>
      <c r="J28" s="110"/>
      <c r="K28" s="164">
        <f t="shared" si="0"/>
        <v>0</v>
      </c>
      <c r="L28" s="164">
        <f t="shared" si="1"/>
        <v>0</v>
      </c>
      <c r="M28" s="164">
        <v>524.6</v>
      </c>
      <c r="N28" s="164">
        <f>+M28*1000/(25.4*20*15*60)*T28</f>
        <v>3.4422572178477688</v>
      </c>
      <c r="O28" s="164"/>
      <c r="P28" s="164">
        <f t="shared" si="2"/>
        <v>0</v>
      </c>
      <c r="Q28" s="164"/>
      <c r="R28" s="19">
        <f t="shared" si="3"/>
        <v>0</v>
      </c>
      <c r="S28" s="164">
        <f t="shared" si="4"/>
        <v>0</v>
      </c>
      <c r="T28" s="20">
        <v>3</v>
      </c>
      <c r="U28" s="20"/>
      <c r="V28" s="161" t="str">
        <f t="array" ref="V28">IF(ISERROR(L28/K28),"",L28/K28)</f>
        <v/>
      </c>
      <c r="W28" s="20"/>
      <c r="X28" s="20"/>
      <c r="Y28" s="20"/>
      <c r="Z28" s="20"/>
      <c r="AA28" s="20"/>
      <c r="AB28" s="20"/>
      <c r="AC28" s="20"/>
    </row>
    <row r="29" spans="1:29" s="132" customFormat="1" ht="21" customHeight="1">
      <c r="A29" s="126">
        <v>3000435</v>
      </c>
      <c r="B29" s="156" t="s">
        <v>43</v>
      </c>
      <c r="C29" s="261" t="s">
        <v>51</v>
      </c>
      <c r="D29" s="261"/>
      <c r="E29" s="42" t="s">
        <v>309</v>
      </c>
      <c r="F29" s="127"/>
      <c r="G29" s="128"/>
      <c r="H29" s="128"/>
      <c r="I29" s="128"/>
      <c r="J29" s="128"/>
      <c r="K29" s="15">
        <f t="shared" si="0"/>
        <v>0</v>
      </c>
      <c r="L29" s="15">
        <f t="shared" si="1"/>
        <v>0</v>
      </c>
      <c r="M29" s="15">
        <v>524.6</v>
      </c>
      <c r="N29" s="15">
        <f>+M29*1000/(25.4*20*15*60)*T29</f>
        <v>3.4422572178477688</v>
      </c>
      <c r="O29" s="15"/>
      <c r="P29" s="15">
        <f t="shared" si="2"/>
        <v>0</v>
      </c>
      <c r="Q29" s="15"/>
      <c r="R29" s="129">
        <f t="shared" si="3"/>
        <v>0</v>
      </c>
      <c r="S29" s="15">
        <f t="shared" si="4"/>
        <v>0</v>
      </c>
      <c r="T29" s="130">
        <v>3</v>
      </c>
      <c r="U29" s="130"/>
      <c r="V29" s="131"/>
      <c r="W29" s="130"/>
      <c r="X29" s="130"/>
      <c r="Y29" s="130"/>
      <c r="Z29" s="130"/>
      <c r="AA29" s="130"/>
      <c r="AB29" s="130"/>
      <c r="AC29" s="130"/>
    </row>
    <row r="30" spans="1:29" ht="21.95" customHeight="1">
      <c r="A30" s="160">
        <v>300276</v>
      </c>
      <c r="B30" s="153" t="s">
        <v>43</v>
      </c>
      <c r="C30" s="248" t="s">
        <v>53</v>
      </c>
      <c r="D30" s="248"/>
      <c r="E30" s="166" t="s">
        <v>41</v>
      </c>
      <c r="F30" s="13"/>
      <c r="G30" s="110"/>
      <c r="H30" s="110"/>
      <c r="I30" s="110"/>
      <c r="J30" s="110"/>
      <c r="K30" s="164">
        <f t="shared" si="0"/>
        <v>0</v>
      </c>
      <c r="L30" s="164">
        <f t="shared" si="1"/>
        <v>0</v>
      </c>
      <c r="M30" s="15">
        <v>266</v>
      </c>
      <c r="N30" s="164">
        <f>+M30*1000/(29.8*10*13*60)*T30</f>
        <v>3.4331440371708828</v>
      </c>
      <c r="O30" s="164"/>
      <c r="P30" s="164">
        <f t="shared" si="2"/>
        <v>0</v>
      </c>
      <c r="Q30" s="164"/>
      <c r="R30" s="19">
        <f t="shared" si="3"/>
        <v>0</v>
      </c>
      <c r="S30" s="164">
        <f t="shared" si="4"/>
        <v>0</v>
      </c>
      <c r="T30" s="20">
        <v>3</v>
      </c>
      <c r="U30" s="20"/>
      <c r="V30" s="161" t="str">
        <f t="array" ref="V30">IF(ISERROR(L30/K30),"",L30/K30)</f>
        <v/>
      </c>
      <c r="W30" s="20"/>
      <c r="X30" s="20"/>
      <c r="Y30" s="20"/>
      <c r="Z30" s="20"/>
      <c r="AA30" s="20"/>
      <c r="AB30" s="20"/>
      <c r="AC30" s="20"/>
    </row>
    <row r="31" spans="1:29" ht="21.95" customHeight="1">
      <c r="A31" s="160">
        <v>300277</v>
      </c>
      <c r="B31" s="153" t="s">
        <v>43</v>
      </c>
      <c r="C31" s="248" t="s">
        <v>53</v>
      </c>
      <c r="D31" s="248"/>
      <c r="E31" s="166" t="s">
        <v>39</v>
      </c>
      <c r="F31" s="13"/>
      <c r="G31" s="110"/>
      <c r="H31" s="110"/>
      <c r="I31" s="110"/>
      <c r="J31" s="110"/>
      <c r="K31" s="164">
        <f t="shared" si="0"/>
        <v>0</v>
      </c>
      <c r="L31" s="164">
        <f t="shared" si="1"/>
        <v>0</v>
      </c>
      <c r="M31" s="15">
        <v>266</v>
      </c>
      <c r="N31" s="164">
        <f>+M31*1000/(29.8*10*13*60)*T31</f>
        <v>3.4331440371708828</v>
      </c>
      <c r="O31" s="164"/>
      <c r="P31" s="164">
        <f t="shared" si="2"/>
        <v>0</v>
      </c>
      <c r="Q31" s="164"/>
      <c r="R31" s="19">
        <f t="shared" si="3"/>
        <v>0</v>
      </c>
      <c r="S31" s="164">
        <f t="shared" si="4"/>
        <v>0</v>
      </c>
      <c r="T31" s="20">
        <v>3</v>
      </c>
      <c r="U31" s="20"/>
      <c r="V31" s="161" t="str">
        <f t="array" ref="V31">IF(ISERROR(L31/K31),"",L31/K31)</f>
        <v/>
      </c>
      <c r="W31" s="20"/>
      <c r="X31" s="20"/>
      <c r="Y31" s="20"/>
      <c r="Z31" s="20"/>
      <c r="AA31" s="20"/>
      <c r="AB31" s="20"/>
      <c r="AC31" s="20"/>
    </row>
    <row r="32" spans="1:29" ht="21.95" customHeight="1">
      <c r="A32" s="160">
        <v>300278</v>
      </c>
      <c r="B32" s="153" t="s">
        <v>43</v>
      </c>
      <c r="C32" s="248" t="s">
        <v>53</v>
      </c>
      <c r="D32" s="248"/>
      <c r="E32" s="166" t="s">
        <v>54</v>
      </c>
      <c r="F32" s="13"/>
      <c r="G32" s="110"/>
      <c r="H32" s="110"/>
      <c r="I32" s="110"/>
      <c r="J32" s="110"/>
      <c r="K32" s="164">
        <f t="shared" si="0"/>
        <v>0</v>
      </c>
      <c r="L32" s="164">
        <f t="shared" si="1"/>
        <v>0</v>
      </c>
      <c r="M32" s="15">
        <v>266</v>
      </c>
      <c r="N32" s="164">
        <f>+M32*1000/(29.8*10*13*60)*T32</f>
        <v>3.4331440371708828</v>
      </c>
      <c r="O32" s="164"/>
      <c r="P32" s="164">
        <f t="shared" si="2"/>
        <v>0</v>
      </c>
      <c r="Q32" s="164"/>
      <c r="R32" s="19">
        <f t="shared" si="3"/>
        <v>0</v>
      </c>
      <c r="S32" s="164">
        <f t="shared" si="4"/>
        <v>0</v>
      </c>
      <c r="T32" s="20">
        <v>3</v>
      </c>
      <c r="U32" s="20"/>
      <c r="V32" s="161" t="str">
        <f t="array" ref="V32">IF(ISERROR(L32/K32),"",L32/K32)</f>
        <v/>
      </c>
      <c r="W32" s="20"/>
      <c r="X32" s="20"/>
      <c r="Y32" s="20"/>
      <c r="Z32" s="20"/>
      <c r="AA32" s="20"/>
      <c r="AB32" s="20"/>
      <c r="AC32" s="20"/>
    </row>
    <row r="33" spans="1:29" ht="21.95" customHeight="1">
      <c r="A33" s="160">
        <v>300027</v>
      </c>
      <c r="B33" s="153" t="s">
        <v>55</v>
      </c>
      <c r="C33" s="248" t="s">
        <v>56</v>
      </c>
      <c r="D33" s="248"/>
      <c r="E33" s="166" t="s">
        <v>54</v>
      </c>
      <c r="F33" s="13"/>
      <c r="G33" s="110"/>
      <c r="H33" s="110"/>
      <c r="I33" s="110"/>
      <c r="J33" s="110"/>
      <c r="K33" s="164">
        <f t="shared" si="0"/>
        <v>0</v>
      </c>
      <c r="L33" s="164">
        <f t="shared" si="1"/>
        <v>0</v>
      </c>
      <c r="M33" s="164">
        <v>550.4</v>
      </c>
      <c r="N33" s="164">
        <f>+M33*1000/(31*20*15*60)*T33</f>
        <v>2.9591397849462364</v>
      </c>
      <c r="O33" s="164"/>
      <c r="P33" s="164">
        <f t="shared" si="2"/>
        <v>0</v>
      </c>
      <c r="Q33" s="164"/>
      <c r="R33" s="19">
        <f t="shared" si="3"/>
        <v>0</v>
      </c>
      <c r="S33" s="164">
        <f t="shared" si="4"/>
        <v>0</v>
      </c>
      <c r="T33" s="20">
        <v>3</v>
      </c>
      <c r="U33" s="20"/>
      <c r="V33" s="161" t="str">
        <f t="array" ref="V33">IF(ISERROR(L33/K33),"",L33/K33)</f>
        <v/>
      </c>
      <c r="W33" s="20"/>
      <c r="X33" s="20"/>
      <c r="Y33" s="20"/>
      <c r="Z33" s="20"/>
      <c r="AA33" s="20"/>
      <c r="AB33" s="20"/>
      <c r="AC33" s="20"/>
    </row>
    <row r="34" spans="1:29" ht="21.95" customHeight="1">
      <c r="A34" s="160">
        <v>300028</v>
      </c>
      <c r="B34" s="153" t="s">
        <v>55</v>
      </c>
      <c r="C34" s="248" t="s">
        <v>56</v>
      </c>
      <c r="D34" s="248"/>
      <c r="E34" s="166" t="s">
        <v>35</v>
      </c>
      <c r="F34" s="13"/>
      <c r="G34" s="110"/>
      <c r="H34" s="110"/>
      <c r="I34" s="110"/>
      <c r="J34" s="110"/>
      <c r="K34" s="164">
        <f t="shared" si="0"/>
        <v>0</v>
      </c>
      <c r="L34" s="164">
        <f t="shared" si="1"/>
        <v>0</v>
      </c>
      <c r="M34" s="164">
        <v>550.4</v>
      </c>
      <c r="N34" s="164">
        <f>+M34*1000/(31*20*15*60)*T34</f>
        <v>2.9591397849462364</v>
      </c>
      <c r="O34" s="164"/>
      <c r="P34" s="164">
        <f t="shared" si="2"/>
        <v>0</v>
      </c>
      <c r="Q34" s="164"/>
      <c r="R34" s="19">
        <f t="shared" si="3"/>
        <v>0</v>
      </c>
      <c r="S34" s="164">
        <f t="shared" si="4"/>
        <v>0</v>
      </c>
      <c r="T34" s="20">
        <v>3</v>
      </c>
      <c r="U34" s="20"/>
      <c r="V34" s="161" t="str">
        <f t="array" ref="V34">IF(ISERROR(L34/K34),"",L34/K34)</f>
        <v/>
      </c>
      <c r="W34" s="20"/>
      <c r="X34" s="20"/>
      <c r="Y34" s="20"/>
      <c r="Z34" s="20"/>
      <c r="AA34" s="20"/>
      <c r="AB34" s="20"/>
      <c r="AC34" s="20"/>
    </row>
    <row r="35" spans="1:29" ht="21.95" customHeight="1">
      <c r="A35" s="160">
        <v>300029</v>
      </c>
      <c r="B35" s="153" t="s">
        <v>55</v>
      </c>
      <c r="C35" s="248" t="s">
        <v>56</v>
      </c>
      <c r="D35" s="248"/>
      <c r="E35" s="166" t="s">
        <v>57</v>
      </c>
      <c r="F35" s="13"/>
      <c r="G35" s="110"/>
      <c r="H35" s="110"/>
      <c r="I35" s="110"/>
      <c r="J35" s="110"/>
      <c r="K35" s="164">
        <f t="shared" si="0"/>
        <v>0</v>
      </c>
      <c r="L35" s="164">
        <f t="shared" si="1"/>
        <v>0</v>
      </c>
      <c r="M35" s="164">
        <v>550.4</v>
      </c>
      <c r="N35" s="164">
        <f>+M35*1000/(31*20*15*60)*T35</f>
        <v>2.9591397849462364</v>
      </c>
      <c r="O35" s="164"/>
      <c r="P35" s="164">
        <f t="shared" si="2"/>
        <v>0</v>
      </c>
      <c r="Q35" s="164"/>
      <c r="R35" s="19">
        <f t="shared" si="3"/>
        <v>0</v>
      </c>
      <c r="S35" s="164">
        <f t="shared" si="4"/>
        <v>0</v>
      </c>
      <c r="T35" s="20">
        <v>3</v>
      </c>
      <c r="U35" s="20"/>
      <c r="V35" s="161" t="str">
        <f t="array" ref="V35">IF(ISERROR(L35/K35),"",L35/K35)</f>
        <v/>
      </c>
      <c r="W35" s="20"/>
      <c r="X35" s="20"/>
      <c r="Y35" s="20"/>
      <c r="Z35" s="20"/>
      <c r="AA35" s="20"/>
      <c r="AB35" s="20"/>
      <c r="AC35" s="20"/>
    </row>
    <row r="36" spans="1:29" ht="21.95" customHeight="1">
      <c r="A36" s="160">
        <v>300026</v>
      </c>
      <c r="B36" s="153" t="s">
        <v>55</v>
      </c>
      <c r="C36" s="248" t="s">
        <v>56</v>
      </c>
      <c r="D36" s="248"/>
      <c r="E36" s="166" t="s">
        <v>37</v>
      </c>
      <c r="F36" s="13"/>
      <c r="G36" s="110"/>
      <c r="H36" s="110"/>
      <c r="I36" s="110"/>
      <c r="J36" s="110"/>
      <c r="K36" s="164">
        <f t="shared" si="0"/>
        <v>0</v>
      </c>
      <c r="L36" s="164">
        <f t="shared" si="1"/>
        <v>0</v>
      </c>
      <c r="M36" s="164">
        <v>550.4</v>
      </c>
      <c r="N36" s="164">
        <f>+M36*1000/(31*20*15*60)*T36</f>
        <v>2.9591397849462364</v>
      </c>
      <c r="O36" s="164"/>
      <c r="P36" s="164">
        <f t="shared" si="2"/>
        <v>0</v>
      </c>
      <c r="Q36" s="164"/>
      <c r="R36" s="19">
        <f t="shared" si="3"/>
        <v>0</v>
      </c>
      <c r="S36" s="164">
        <f t="shared" si="4"/>
        <v>0</v>
      </c>
      <c r="T36" s="20">
        <v>3</v>
      </c>
      <c r="U36" s="20"/>
      <c r="V36" s="161" t="str">
        <f t="array" ref="V36">IF(ISERROR(L36/K36),"",L36/K36)</f>
        <v/>
      </c>
      <c r="W36" s="20"/>
      <c r="X36" s="20"/>
      <c r="Y36" s="20"/>
      <c r="Z36" s="20"/>
      <c r="AA36" s="20"/>
      <c r="AB36" s="20"/>
      <c r="AC36" s="20"/>
    </row>
    <row r="37" spans="1:29" ht="21.95" customHeight="1">
      <c r="A37" s="160">
        <v>300032</v>
      </c>
      <c r="B37" s="153">
        <v>3002</v>
      </c>
      <c r="C37" s="248" t="s">
        <v>58</v>
      </c>
      <c r="D37" s="248" t="s">
        <v>59</v>
      </c>
      <c r="E37" s="166" t="s">
        <v>35</v>
      </c>
      <c r="F37" s="13"/>
      <c r="G37" s="110"/>
      <c r="H37" s="110"/>
      <c r="I37" s="110"/>
      <c r="J37" s="110"/>
      <c r="K37" s="164">
        <f t="shared" si="0"/>
        <v>0</v>
      </c>
      <c r="L37" s="164">
        <f t="shared" si="1"/>
        <v>0</v>
      </c>
      <c r="M37" s="164">
        <v>285.7</v>
      </c>
      <c r="N37" s="164">
        <f>+M37*1000/(31*10*13*60)*T37</f>
        <v>7.0893300248138953</v>
      </c>
      <c r="O37" s="164"/>
      <c r="P37" s="164">
        <f t="shared" si="2"/>
        <v>0</v>
      </c>
      <c r="Q37" s="164"/>
      <c r="R37" s="19">
        <f t="shared" si="3"/>
        <v>0</v>
      </c>
      <c r="S37" s="164">
        <f t="shared" si="4"/>
        <v>0</v>
      </c>
      <c r="T37" s="20">
        <v>6</v>
      </c>
      <c r="U37" s="20"/>
      <c r="V37" s="161" t="str">
        <f t="array" ref="V37">IF(ISERROR(L37/K37),"",L37/K37)</f>
        <v/>
      </c>
      <c r="W37" s="20"/>
      <c r="X37" s="20"/>
      <c r="Y37" s="20"/>
      <c r="Z37" s="20"/>
      <c r="AA37" s="20"/>
      <c r="AB37" s="20"/>
      <c r="AC37" s="20"/>
    </row>
    <row r="38" spans="1:29" ht="21.95" customHeight="1">
      <c r="A38" s="160">
        <v>300413</v>
      </c>
      <c r="B38" s="153">
        <v>3002</v>
      </c>
      <c r="C38" s="259" t="s">
        <v>304</v>
      </c>
      <c r="D38" s="260"/>
      <c r="E38" s="166" t="s">
        <v>302</v>
      </c>
      <c r="F38" s="13"/>
      <c r="G38" s="110"/>
      <c r="H38" s="110"/>
      <c r="I38" s="110"/>
      <c r="J38" s="110"/>
      <c r="K38" s="164">
        <f t="shared" si="0"/>
        <v>0</v>
      </c>
      <c r="L38" s="164">
        <f t="shared" si="1"/>
        <v>0</v>
      </c>
      <c r="M38" s="164">
        <v>528.79999999999995</v>
      </c>
      <c r="N38" s="164">
        <f>+M38*1000/(31*10*13*60)*T38</f>
        <v>6.5607940446650126</v>
      </c>
      <c r="O38" s="164"/>
      <c r="P38" s="164">
        <f t="shared" si="2"/>
        <v>0</v>
      </c>
      <c r="Q38" s="164"/>
      <c r="R38" s="19">
        <f t="shared" si="3"/>
        <v>0</v>
      </c>
      <c r="S38" s="164">
        <f t="shared" si="4"/>
        <v>0</v>
      </c>
      <c r="T38" s="20">
        <v>3</v>
      </c>
      <c r="U38" s="20"/>
      <c r="V38" s="161"/>
      <c r="W38" s="20"/>
      <c r="X38" s="20"/>
      <c r="Y38" s="20"/>
      <c r="Z38" s="20"/>
      <c r="AA38" s="20"/>
      <c r="AB38" s="20"/>
      <c r="AC38" s="20"/>
    </row>
    <row r="39" spans="1:29" ht="21.95" customHeight="1">
      <c r="A39" s="160">
        <v>300414</v>
      </c>
      <c r="B39" s="153">
        <v>3002</v>
      </c>
      <c r="C39" s="259" t="s">
        <v>304</v>
      </c>
      <c r="D39" s="260"/>
      <c r="E39" s="166" t="s">
        <v>311</v>
      </c>
      <c r="F39" s="13"/>
      <c r="G39" s="110"/>
      <c r="H39" s="110"/>
      <c r="I39" s="110"/>
      <c r="J39" s="110"/>
      <c r="K39" s="164">
        <f t="shared" si="0"/>
        <v>0</v>
      </c>
      <c r="L39" s="164">
        <f t="shared" si="1"/>
        <v>0</v>
      </c>
      <c r="M39" s="164">
        <v>528.79999999999995</v>
      </c>
      <c r="N39" s="164">
        <f>+M39*1000/(31*10*13*60)*T39</f>
        <v>6.5607940446650126</v>
      </c>
      <c r="O39" s="164"/>
      <c r="P39" s="164">
        <f t="shared" si="2"/>
        <v>0</v>
      </c>
      <c r="Q39" s="164"/>
      <c r="R39" s="19">
        <f t="shared" si="3"/>
        <v>0</v>
      </c>
      <c r="S39" s="164">
        <f t="shared" si="4"/>
        <v>0</v>
      </c>
      <c r="T39" s="20">
        <v>3</v>
      </c>
      <c r="U39" s="20"/>
      <c r="V39" s="161"/>
      <c r="W39" s="20"/>
      <c r="X39" s="20"/>
      <c r="Y39" s="20"/>
      <c r="Z39" s="20"/>
      <c r="AA39" s="20"/>
      <c r="AB39" s="20"/>
      <c r="AC39" s="20"/>
    </row>
    <row r="40" spans="1:29" ht="21.95" customHeight="1">
      <c r="A40" s="160">
        <v>300415</v>
      </c>
      <c r="B40" s="153">
        <v>3002</v>
      </c>
      <c r="C40" s="259" t="s">
        <v>304</v>
      </c>
      <c r="D40" s="260"/>
      <c r="E40" s="166" t="s">
        <v>303</v>
      </c>
      <c r="F40" s="13"/>
      <c r="G40" s="110"/>
      <c r="H40" s="110"/>
      <c r="I40" s="110"/>
      <c r="J40" s="110"/>
      <c r="K40" s="164">
        <f t="shared" si="0"/>
        <v>0</v>
      </c>
      <c r="L40" s="164">
        <f t="shared" si="1"/>
        <v>0</v>
      </c>
      <c r="M40" s="164">
        <v>528.79999999999995</v>
      </c>
      <c r="N40" s="164">
        <f>+M40*1000/(31*10*13*60)*T40</f>
        <v>6.5607940446650126</v>
      </c>
      <c r="O40" s="164"/>
      <c r="P40" s="164">
        <f t="shared" si="2"/>
        <v>0</v>
      </c>
      <c r="Q40" s="164"/>
      <c r="R40" s="19">
        <f t="shared" si="3"/>
        <v>0</v>
      </c>
      <c r="S40" s="164">
        <f t="shared" si="4"/>
        <v>0</v>
      </c>
      <c r="T40" s="20">
        <v>3</v>
      </c>
      <c r="U40" s="20"/>
      <c r="V40" s="161"/>
      <c r="W40" s="20"/>
      <c r="X40" s="20"/>
      <c r="Y40" s="20"/>
      <c r="Z40" s="20"/>
      <c r="AA40" s="20"/>
      <c r="AB40" s="20"/>
      <c r="AC40" s="20"/>
    </row>
    <row r="41" spans="1:29" ht="21.95" customHeight="1">
      <c r="A41" s="160">
        <v>300035</v>
      </c>
      <c r="B41" s="153" t="s">
        <v>60</v>
      </c>
      <c r="C41" s="248" t="s">
        <v>61</v>
      </c>
      <c r="D41" s="248" t="s">
        <v>62</v>
      </c>
      <c r="E41" s="166" t="s">
        <v>35</v>
      </c>
      <c r="F41" s="13"/>
      <c r="G41" s="110"/>
      <c r="H41" s="110"/>
      <c r="I41" s="110"/>
      <c r="J41" s="110"/>
      <c r="K41" s="164">
        <f t="shared" si="0"/>
        <v>0</v>
      </c>
      <c r="L41" s="164">
        <f t="shared" si="1"/>
        <v>0</v>
      </c>
      <c r="M41" s="164">
        <v>366.93</v>
      </c>
      <c r="N41" s="164">
        <f>+M41*1000/(35.8*10*13*60)*T41</f>
        <v>2.6280618822518265</v>
      </c>
      <c r="O41" s="164"/>
      <c r="P41" s="164">
        <f t="shared" si="2"/>
        <v>0</v>
      </c>
      <c r="Q41" s="164"/>
      <c r="R41" s="19">
        <f t="shared" si="3"/>
        <v>0</v>
      </c>
      <c r="S41" s="164">
        <f t="shared" si="4"/>
        <v>0</v>
      </c>
      <c r="T41" s="20">
        <v>2</v>
      </c>
      <c r="U41" s="20"/>
      <c r="V41" s="161" t="str">
        <f t="array" ref="V41">IF(ISERROR(L41/K41),"",L41/K41)</f>
        <v/>
      </c>
      <c r="W41" s="20"/>
      <c r="X41" s="20"/>
      <c r="Y41" s="20"/>
      <c r="Z41" s="20"/>
      <c r="AA41" s="20"/>
      <c r="AB41" s="20"/>
      <c r="AC41" s="20"/>
    </row>
    <row r="42" spans="1:29" ht="21.95" customHeight="1">
      <c r="A42" s="160">
        <v>300036</v>
      </c>
      <c r="B42" s="153" t="s">
        <v>60</v>
      </c>
      <c r="C42" s="248" t="s">
        <v>61</v>
      </c>
      <c r="D42" s="248" t="s">
        <v>62</v>
      </c>
      <c r="E42" s="166" t="s">
        <v>63</v>
      </c>
      <c r="F42" s="13"/>
      <c r="G42" s="110"/>
      <c r="H42" s="110"/>
      <c r="I42" s="110"/>
      <c r="J42" s="110"/>
      <c r="K42" s="164">
        <f t="shared" si="0"/>
        <v>0</v>
      </c>
      <c r="L42" s="164">
        <f t="shared" si="1"/>
        <v>0</v>
      </c>
      <c r="M42" s="164">
        <v>366.93</v>
      </c>
      <c r="N42" s="164">
        <f>+M42*1000/(35.8*10*13*60)*T42</f>
        <v>2.6280618822518265</v>
      </c>
      <c r="O42" s="164"/>
      <c r="P42" s="164">
        <f t="shared" si="2"/>
        <v>0</v>
      </c>
      <c r="Q42" s="164"/>
      <c r="R42" s="19">
        <f t="shared" si="3"/>
        <v>0</v>
      </c>
      <c r="S42" s="164">
        <f t="shared" si="4"/>
        <v>0</v>
      </c>
      <c r="T42" s="20">
        <v>2</v>
      </c>
      <c r="U42" s="20"/>
      <c r="V42" s="161" t="str">
        <f t="array" ref="V42">IF(ISERROR(L42/K42),"",L42/K42)</f>
        <v/>
      </c>
      <c r="W42" s="20"/>
      <c r="X42" s="20"/>
      <c r="Y42" s="20"/>
      <c r="Z42" s="20"/>
      <c r="AA42" s="20"/>
      <c r="AB42" s="20"/>
      <c r="AC42" s="20"/>
    </row>
    <row r="43" spans="1:29" ht="21.95" customHeight="1">
      <c r="A43" s="160">
        <v>300037</v>
      </c>
      <c r="B43" s="153" t="s">
        <v>60</v>
      </c>
      <c r="C43" s="248" t="s">
        <v>61</v>
      </c>
      <c r="D43" s="248" t="s">
        <v>62</v>
      </c>
      <c r="E43" s="166" t="s">
        <v>37</v>
      </c>
      <c r="F43" s="13"/>
      <c r="G43" s="110"/>
      <c r="H43" s="110"/>
      <c r="I43" s="110"/>
      <c r="J43" s="110"/>
      <c r="K43" s="164">
        <f t="shared" si="0"/>
        <v>0</v>
      </c>
      <c r="L43" s="164">
        <f t="shared" si="1"/>
        <v>0</v>
      </c>
      <c r="M43" s="164">
        <v>366.93</v>
      </c>
      <c r="N43" s="164">
        <f>+M43*1000/(35.8*10*13*60)*T43</f>
        <v>2.6280618822518265</v>
      </c>
      <c r="O43" s="164"/>
      <c r="P43" s="164">
        <f t="shared" si="2"/>
        <v>0</v>
      </c>
      <c r="Q43" s="164"/>
      <c r="R43" s="19">
        <f t="shared" si="3"/>
        <v>0</v>
      </c>
      <c r="S43" s="164">
        <f t="shared" si="4"/>
        <v>0</v>
      </c>
      <c r="T43" s="20">
        <v>2</v>
      </c>
      <c r="U43" s="20"/>
      <c r="V43" s="161" t="str">
        <f t="array" ref="V43">IF(ISERROR(L43/K43),"",L43/K43)</f>
        <v/>
      </c>
      <c r="W43" s="20"/>
      <c r="X43" s="20"/>
      <c r="Y43" s="20"/>
      <c r="Z43" s="20"/>
      <c r="AA43" s="20"/>
      <c r="AB43" s="20"/>
      <c r="AC43" s="20"/>
    </row>
    <row r="44" spans="1:29" ht="21.95" customHeight="1">
      <c r="A44" s="160">
        <v>300038</v>
      </c>
      <c r="B44" s="153" t="s">
        <v>60</v>
      </c>
      <c r="C44" s="248" t="s">
        <v>64</v>
      </c>
      <c r="D44" s="248" t="s">
        <v>65</v>
      </c>
      <c r="E44" s="166" t="s">
        <v>35</v>
      </c>
      <c r="F44" s="13"/>
      <c r="G44" s="110"/>
      <c r="H44" s="110"/>
      <c r="I44" s="110"/>
      <c r="J44" s="110"/>
      <c r="K44" s="164">
        <f t="shared" si="0"/>
        <v>0</v>
      </c>
      <c r="L44" s="164">
        <f t="shared" si="1"/>
        <v>0</v>
      </c>
      <c r="M44" s="164">
        <v>301.14</v>
      </c>
      <c r="N44" s="164">
        <f>+M44*1000/(35.8*10*13*60)*T44</f>
        <v>5.3921357971637294</v>
      </c>
      <c r="O44" s="164"/>
      <c r="P44" s="164">
        <f t="shared" si="2"/>
        <v>0</v>
      </c>
      <c r="Q44" s="164"/>
      <c r="R44" s="19">
        <f t="shared" si="3"/>
        <v>0</v>
      </c>
      <c r="S44" s="164">
        <f t="shared" si="4"/>
        <v>0</v>
      </c>
      <c r="T44" s="20">
        <v>5</v>
      </c>
      <c r="U44" s="20"/>
      <c r="V44" s="161" t="str">
        <f t="array" ref="V44">IF(ISERROR(L44/K44),"",L44/K44)</f>
        <v/>
      </c>
      <c r="W44" s="20"/>
      <c r="X44" s="20"/>
      <c r="Y44" s="20"/>
      <c r="Z44" s="20"/>
      <c r="AA44" s="20"/>
      <c r="AB44" s="20"/>
      <c r="AC44" s="20"/>
    </row>
    <row r="45" spans="1:29" ht="21.95" customHeight="1">
      <c r="A45" s="160">
        <v>300039</v>
      </c>
      <c r="B45" s="153" t="s">
        <v>60</v>
      </c>
      <c r="C45" s="248" t="s">
        <v>64</v>
      </c>
      <c r="D45" s="248" t="s">
        <v>65</v>
      </c>
      <c r="E45" s="166" t="s">
        <v>66</v>
      </c>
      <c r="F45" s="13"/>
      <c r="G45" s="110"/>
      <c r="H45" s="110"/>
      <c r="I45" s="110"/>
      <c r="J45" s="110"/>
      <c r="K45" s="164">
        <f t="shared" si="0"/>
        <v>0</v>
      </c>
      <c r="L45" s="164">
        <f t="shared" si="1"/>
        <v>0</v>
      </c>
      <c r="M45" s="164">
        <v>310.39999999999998</v>
      </c>
      <c r="N45" s="164">
        <f>+M45*1000/(35.8*10*13*60)*T45</f>
        <v>5.557942988110586</v>
      </c>
      <c r="O45" s="164"/>
      <c r="P45" s="164">
        <f t="shared" si="2"/>
        <v>0</v>
      </c>
      <c r="Q45" s="164"/>
      <c r="R45" s="19">
        <f t="shared" si="3"/>
        <v>0</v>
      </c>
      <c r="S45" s="164">
        <f t="shared" si="4"/>
        <v>0</v>
      </c>
      <c r="T45" s="20">
        <v>5</v>
      </c>
      <c r="U45" s="20"/>
      <c r="V45" s="161" t="str">
        <f t="array" ref="V45">IF(ISERROR(L45/K45),"",L45/K45)</f>
        <v/>
      </c>
      <c r="W45" s="20"/>
      <c r="X45" s="20"/>
      <c r="Y45" s="20"/>
      <c r="Z45" s="20"/>
      <c r="AA45" s="20"/>
      <c r="AB45" s="20"/>
      <c r="AC45" s="20"/>
    </row>
    <row r="46" spans="1:29" s="2" customFormat="1" ht="21" customHeight="1">
      <c r="A46" s="160">
        <v>300416</v>
      </c>
      <c r="B46" s="153" t="s">
        <v>67</v>
      </c>
      <c r="C46" s="259" t="s">
        <v>68</v>
      </c>
      <c r="D46" s="260"/>
      <c r="E46" s="166" t="s">
        <v>69</v>
      </c>
      <c r="F46" s="165"/>
      <c r="G46" s="14"/>
      <c r="H46" s="14"/>
      <c r="I46" s="14"/>
      <c r="J46" s="14"/>
      <c r="K46" s="164">
        <f t="shared" si="0"/>
        <v>0</v>
      </c>
      <c r="L46" s="164">
        <f t="shared" si="1"/>
        <v>0</v>
      </c>
      <c r="M46" s="164">
        <v>385.6</v>
      </c>
      <c r="N46" s="164">
        <f>+M46*1000/(25.4*20*15*60)*T46</f>
        <v>2.5301837270341205</v>
      </c>
      <c r="O46" s="164"/>
      <c r="P46" s="164">
        <f t="shared" si="2"/>
        <v>0</v>
      </c>
      <c r="Q46" s="164"/>
      <c r="R46" s="19">
        <f t="shared" si="3"/>
        <v>0</v>
      </c>
      <c r="S46" s="164">
        <f t="shared" si="4"/>
        <v>0</v>
      </c>
      <c r="T46" s="20">
        <v>3</v>
      </c>
      <c r="U46" s="20"/>
      <c r="V46" s="161"/>
      <c r="W46" s="20"/>
      <c r="X46" s="20"/>
      <c r="Y46" s="20"/>
      <c r="Z46" s="20"/>
      <c r="AA46" s="20"/>
      <c r="AB46" s="20"/>
      <c r="AC46" s="20"/>
    </row>
    <row r="47" spans="1:29" s="2" customFormat="1" ht="21" customHeight="1">
      <c r="A47" s="160">
        <v>300417</v>
      </c>
      <c r="B47" s="153" t="s">
        <v>67</v>
      </c>
      <c r="C47" s="259" t="s">
        <v>68</v>
      </c>
      <c r="D47" s="260"/>
      <c r="E47" s="166" t="s">
        <v>70</v>
      </c>
      <c r="F47" s="165"/>
      <c r="G47" s="14"/>
      <c r="H47" s="14"/>
      <c r="I47" s="14"/>
      <c r="J47" s="14"/>
      <c r="K47" s="164">
        <f t="shared" si="0"/>
        <v>0</v>
      </c>
      <c r="L47" s="164">
        <f t="shared" si="1"/>
        <v>0</v>
      </c>
      <c r="M47" s="164">
        <v>385.6</v>
      </c>
      <c r="N47" s="164">
        <f>+M47*1000/(25.4*20*15*60)*T47</f>
        <v>2.5301837270341205</v>
      </c>
      <c r="O47" s="164"/>
      <c r="P47" s="164">
        <f t="shared" si="2"/>
        <v>0</v>
      </c>
      <c r="Q47" s="164"/>
      <c r="R47" s="19">
        <f t="shared" si="3"/>
        <v>0</v>
      </c>
      <c r="S47" s="164">
        <f t="shared" si="4"/>
        <v>0</v>
      </c>
      <c r="T47" s="20">
        <v>3</v>
      </c>
      <c r="U47" s="20"/>
      <c r="V47" s="161"/>
      <c r="W47" s="20"/>
      <c r="X47" s="20"/>
      <c r="Y47" s="20"/>
      <c r="Z47" s="20"/>
      <c r="AA47" s="20"/>
      <c r="AB47" s="20"/>
      <c r="AC47" s="20"/>
    </row>
    <row r="48" spans="1:29" s="2" customFormat="1" ht="21" customHeight="1">
      <c r="A48" s="160">
        <v>300418</v>
      </c>
      <c r="B48" s="153" t="s">
        <v>67</v>
      </c>
      <c r="C48" s="259" t="s">
        <v>68</v>
      </c>
      <c r="D48" s="260"/>
      <c r="E48" s="166" t="s">
        <v>71</v>
      </c>
      <c r="F48" s="165"/>
      <c r="G48" s="14"/>
      <c r="H48" s="14"/>
      <c r="I48" s="14"/>
      <c r="J48" s="14"/>
      <c r="K48" s="164">
        <f t="shared" si="0"/>
        <v>0</v>
      </c>
      <c r="L48" s="164">
        <f t="shared" si="1"/>
        <v>0</v>
      </c>
      <c r="M48" s="164">
        <v>385.6</v>
      </c>
      <c r="N48" s="164">
        <f>+M48*1000/(25.4*20*15*60)*T48</f>
        <v>2.5301837270341205</v>
      </c>
      <c r="O48" s="164"/>
      <c r="P48" s="164">
        <f t="shared" si="2"/>
        <v>0</v>
      </c>
      <c r="Q48" s="164"/>
      <c r="R48" s="19">
        <f t="shared" si="3"/>
        <v>0</v>
      </c>
      <c r="S48" s="164">
        <f t="shared" si="4"/>
        <v>0</v>
      </c>
      <c r="T48" s="20">
        <v>3</v>
      </c>
      <c r="U48" s="20"/>
      <c r="V48" s="161"/>
      <c r="W48" s="20"/>
      <c r="X48" s="20"/>
      <c r="Y48" s="20"/>
      <c r="Z48" s="20"/>
      <c r="AA48" s="20"/>
      <c r="AB48" s="20"/>
      <c r="AC48" s="20"/>
    </row>
    <row r="49" spans="1:29" s="2" customFormat="1" ht="21" customHeight="1">
      <c r="A49" s="160">
        <v>300419</v>
      </c>
      <c r="B49" s="153" t="s">
        <v>67</v>
      </c>
      <c r="C49" s="259" t="s">
        <v>68</v>
      </c>
      <c r="D49" s="260"/>
      <c r="E49" s="166" t="s">
        <v>72</v>
      </c>
      <c r="F49" s="165"/>
      <c r="G49" s="14"/>
      <c r="H49" s="14"/>
      <c r="I49" s="14"/>
      <c r="J49" s="14"/>
      <c r="K49" s="164">
        <f t="shared" si="0"/>
        <v>0</v>
      </c>
      <c r="L49" s="164">
        <f t="shared" si="1"/>
        <v>0</v>
      </c>
      <c r="M49" s="164">
        <v>385.6</v>
      </c>
      <c r="N49" s="164">
        <f>+M49*1000/(25.4*20*15*60)*T49</f>
        <v>2.5301837270341205</v>
      </c>
      <c r="O49" s="164"/>
      <c r="P49" s="164">
        <f t="shared" si="2"/>
        <v>0</v>
      </c>
      <c r="Q49" s="164"/>
      <c r="R49" s="19">
        <f t="shared" si="3"/>
        <v>0</v>
      </c>
      <c r="S49" s="164">
        <f t="shared" si="4"/>
        <v>0</v>
      </c>
      <c r="T49" s="20">
        <v>3</v>
      </c>
      <c r="U49" s="20"/>
      <c r="V49" s="161"/>
      <c r="W49" s="20"/>
      <c r="X49" s="20"/>
      <c r="Y49" s="20"/>
      <c r="Z49" s="20"/>
      <c r="AA49" s="20"/>
      <c r="AB49" s="20"/>
      <c r="AC49" s="20"/>
    </row>
    <row r="50" spans="1:29" ht="21.95" customHeight="1">
      <c r="A50" s="160">
        <v>300260</v>
      </c>
      <c r="B50" s="153" t="s">
        <v>67</v>
      </c>
      <c r="C50" s="248" t="s">
        <v>73</v>
      </c>
      <c r="D50" s="248"/>
      <c r="E50" s="166" t="s">
        <v>74</v>
      </c>
      <c r="F50" s="13"/>
      <c r="G50" s="110"/>
      <c r="H50" s="110"/>
      <c r="I50" s="110"/>
      <c r="J50" s="110"/>
      <c r="K50" s="164">
        <f t="shared" si="0"/>
        <v>0</v>
      </c>
      <c r="L50" s="164">
        <f t="shared" si="1"/>
        <v>0</v>
      </c>
      <c r="M50" s="164">
        <v>434.33</v>
      </c>
      <c r="N50" s="164">
        <f>+M50*1000/(42.7*10*15*60)*T50</f>
        <v>2.2603695029924538</v>
      </c>
      <c r="O50" s="164"/>
      <c r="P50" s="164">
        <f t="shared" si="2"/>
        <v>0</v>
      </c>
      <c r="Q50" s="164"/>
      <c r="R50" s="19">
        <f t="shared" si="3"/>
        <v>0</v>
      </c>
      <c r="S50" s="164">
        <f t="shared" si="4"/>
        <v>0</v>
      </c>
      <c r="T50" s="20">
        <v>2</v>
      </c>
      <c r="U50" s="20"/>
      <c r="V50" s="161" t="str">
        <f t="array" ref="V50">IF(ISERROR(L50/K50),"",L50/K50)</f>
        <v/>
      </c>
      <c r="W50" s="20"/>
      <c r="X50" s="20"/>
      <c r="Y50" s="20"/>
      <c r="Z50" s="20"/>
      <c r="AA50" s="20"/>
      <c r="AB50" s="20"/>
      <c r="AC50" s="20"/>
    </row>
    <row r="51" spans="1:29" ht="21.95" customHeight="1">
      <c r="A51" s="160">
        <v>300261</v>
      </c>
      <c r="B51" s="153" t="s">
        <v>67</v>
      </c>
      <c r="C51" s="248" t="s">
        <v>73</v>
      </c>
      <c r="D51" s="248"/>
      <c r="E51" s="166" t="s">
        <v>41</v>
      </c>
      <c r="F51" s="13"/>
      <c r="G51" s="110"/>
      <c r="H51" s="110"/>
      <c r="I51" s="110"/>
      <c r="J51" s="110"/>
      <c r="K51" s="164">
        <f t="shared" si="0"/>
        <v>0</v>
      </c>
      <c r="L51" s="164">
        <f t="shared" si="1"/>
        <v>0</v>
      </c>
      <c r="M51" s="164">
        <v>434.33</v>
      </c>
      <c r="N51" s="164">
        <f>+M51*1000/(42.7*10*15*60)*T51</f>
        <v>2.2603695029924538</v>
      </c>
      <c r="O51" s="164"/>
      <c r="P51" s="164">
        <f t="shared" si="2"/>
        <v>0</v>
      </c>
      <c r="Q51" s="164"/>
      <c r="R51" s="19">
        <f t="shared" si="3"/>
        <v>0</v>
      </c>
      <c r="S51" s="164">
        <f t="shared" si="4"/>
        <v>0</v>
      </c>
      <c r="T51" s="20">
        <v>2</v>
      </c>
      <c r="U51" s="20"/>
      <c r="V51" s="161" t="str">
        <f t="array" ref="V51">IF(ISERROR(L51/K51),"",L51/K51)</f>
        <v/>
      </c>
      <c r="W51" s="20"/>
      <c r="X51" s="20"/>
      <c r="Y51" s="20"/>
      <c r="Z51" s="20"/>
      <c r="AA51" s="20"/>
      <c r="AB51" s="20"/>
      <c r="AC51" s="20"/>
    </row>
    <row r="52" spans="1:29" ht="21.95" customHeight="1">
      <c r="A52" s="160">
        <v>300262</v>
      </c>
      <c r="B52" s="153" t="s">
        <v>67</v>
      </c>
      <c r="C52" s="248" t="s">
        <v>73</v>
      </c>
      <c r="D52" s="248"/>
      <c r="E52" s="166" t="s">
        <v>39</v>
      </c>
      <c r="F52" s="13"/>
      <c r="G52" s="110"/>
      <c r="H52" s="110"/>
      <c r="I52" s="110"/>
      <c r="J52" s="110"/>
      <c r="K52" s="164">
        <f t="shared" si="0"/>
        <v>0</v>
      </c>
      <c r="L52" s="164">
        <f t="shared" si="1"/>
        <v>0</v>
      </c>
      <c r="M52" s="164">
        <v>434.33</v>
      </c>
      <c r="N52" s="164">
        <f>+M52*1000/(42.7*10*15*60)*T52</f>
        <v>2.2603695029924538</v>
      </c>
      <c r="O52" s="164"/>
      <c r="P52" s="164">
        <f t="shared" si="2"/>
        <v>0</v>
      </c>
      <c r="Q52" s="164"/>
      <c r="R52" s="19">
        <f t="shared" si="3"/>
        <v>0</v>
      </c>
      <c r="S52" s="164">
        <f t="shared" si="4"/>
        <v>0</v>
      </c>
      <c r="T52" s="20">
        <v>2</v>
      </c>
      <c r="U52" s="20"/>
      <c r="V52" s="161" t="str">
        <f t="array" ref="V52">IF(ISERROR(L52/K52),"",L52/K52)</f>
        <v/>
      </c>
      <c r="W52" s="20"/>
      <c r="X52" s="20"/>
      <c r="Y52" s="20"/>
      <c r="Z52" s="20"/>
      <c r="AA52" s="20"/>
      <c r="AB52" s="20"/>
      <c r="AC52" s="20"/>
    </row>
    <row r="53" spans="1:29" ht="21.95" customHeight="1">
      <c r="A53" s="160">
        <v>300263</v>
      </c>
      <c r="B53" s="153" t="s">
        <v>67</v>
      </c>
      <c r="C53" s="248" t="s">
        <v>73</v>
      </c>
      <c r="D53" s="248"/>
      <c r="E53" s="166" t="s">
        <v>54</v>
      </c>
      <c r="F53" s="13"/>
      <c r="G53" s="110"/>
      <c r="H53" s="110"/>
      <c r="I53" s="110"/>
      <c r="J53" s="110"/>
      <c r="K53" s="164">
        <f t="shared" si="0"/>
        <v>0</v>
      </c>
      <c r="L53" s="164">
        <f t="shared" si="1"/>
        <v>0</v>
      </c>
      <c r="M53" s="164">
        <v>434.33</v>
      </c>
      <c r="N53" s="164">
        <f>+M53*1000/(42.7*10*15*60)*T53</f>
        <v>2.2603695029924538</v>
      </c>
      <c r="O53" s="164"/>
      <c r="P53" s="164">
        <f t="shared" si="2"/>
        <v>0</v>
      </c>
      <c r="Q53" s="164"/>
      <c r="R53" s="19">
        <f t="shared" si="3"/>
        <v>0</v>
      </c>
      <c r="S53" s="164">
        <f t="shared" si="4"/>
        <v>0</v>
      </c>
      <c r="T53" s="20">
        <v>2</v>
      </c>
      <c r="U53" s="20"/>
      <c r="V53" s="161" t="str">
        <f t="array" ref="V53">IF(ISERROR(L53/K53),"",L53/K53)</f>
        <v/>
      </c>
      <c r="W53" s="20"/>
      <c r="X53" s="20"/>
      <c r="Y53" s="20"/>
      <c r="Z53" s="20"/>
      <c r="AA53" s="20"/>
      <c r="AB53" s="20"/>
      <c r="AC53" s="20"/>
    </row>
    <row r="54" spans="1:29" ht="21.95" customHeight="1">
      <c r="A54" s="160">
        <v>300051</v>
      </c>
      <c r="B54" s="153" t="s">
        <v>67</v>
      </c>
      <c r="C54" s="248" t="s">
        <v>75</v>
      </c>
      <c r="D54" s="248" t="s">
        <v>76</v>
      </c>
      <c r="E54" s="166" t="s">
        <v>40</v>
      </c>
      <c r="F54" s="13"/>
      <c r="G54" s="110"/>
      <c r="H54" s="110"/>
      <c r="I54" s="110"/>
      <c r="J54" s="110"/>
      <c r="K54" s="164">
        <f t="shared" si="0"/>
        <v>0</v>
      </c>
      <c r="L54" s="164">
        <f t="shared" si="1"/>
        <v>0</v>
      </c>
      <c r="M54" s="164">
        <v>545.9</v>
      </c>
      <c r="N54" s="164">
        <f>+M54*1000/(41.5*10*16*60)*T54</f>
        <v>2.7404618473895583</v>
      </c>
      <c r="O54" s="164"/>
      <c r="P54" s="164">
        <f t="shared" si="2"/>
        <v>0</v>
      </c>
      <c r="Q54" s="164"/>
      <c r="R54" s="19">
        <f t="shared" si="3"/>
        <v>0</v>
      </c>
      <c r="S54" s="164">
        <f t="shared" si="4"/>
        <v>0</v>
      </c>
      <c r="T54" s="22">
        <v>2</v>
      </c>
      <c r="U54" s="20"/>
      <c r="V54" s="161" t="str">
        <f t="array" ref="V54">IF(ISERROR(L54/K54),"",L54/K54)</f>
        <v/>
      </c>
      <c r="W54" s="20"/>
      <c r="X54" s="20"/>
      <c r="Y54" s="20"/>
      <c r="Z54" s="20"/>
      <c r="AA54" s="20"/>
      <c r="AB54" s="20"/>
      <c r="AC54" s="20"/>
    </row>
    <row r="55" spans="1:29" ht="21.95" customHeight="1">
      <c r="A55" s="160">
        <v>300052</v>
      </c>
      <c r="B55" s="153" t="s">
        <v>67</v>
      </c>
      <c r="C55" s="248" t="s">
        <v>75</v>
      </c>
      <c r="D55" s="248" t="s">
        <v>76</v>
      </c>
      <c r="E55" s="166" t="s">
        <v>39</v>
      </c>
      <c r="F55" s="13"/>
      <c r="G55" s="110"/>
      <c r="H55" s="110"/>
      <c r="I55" s="110"/>
      <c r="J55" s="110"/>
      <c r="K55" s="164">
        <f t="shared" si="0"/>
        <v>0</v>
      </c>
      <c r="L55" s="164">
        <f t="shared" si="1"/>
        <v>0</v>
      </c>
      <c r="M55" s="164">
        <v>545.9</v>
      </c>
      <c r="N55" s="164">
        <f>+M55*1000/(41.5*10*16*60)*T55</f>
        <v>2.7404618473895583</v>
      </c>
      <c r="O55" s="164"/>
      <c r="P55" s="164">
        <f t="shared" si="2"/>
        <v>0</v>
      </c>
      <c r="Q55" s="164"/>
      <c r="R55" s="19">
        <f t="shared" si="3"/>
        <v>0</v>
      </c>
      <c r="S55" s="164">
        <f t="shared" si="4"/>
        <v>0</v>
      </c>
      <c r="T55" s="20">
        <v>2</v>
      </c>
      <c r="U55" s="20"/>
      <c r="V55" s="161" t="str">
        <f t="array" ref="V55">IF(ISERROR(L55/K55),"",L55/K55)</f>
        <v/>
      </c>
      <c r="W55" s="20"/>
      <c r="X55" s="20"/>
      <c r="Y55" s="20"/>
      <c r="Z55" s="20"/>
      <c r="AA55" s="20"/>
      <c r="AB55" s="20"/>
      <c r="AC55" s="20"/>
    </row>
    <row r="56" spans="1:29" ht="21.95" customHeight="1">
      <c r="A56" s="160">
        <v>300054</v>
      </c>
      <c r="B56" s="153" t="s">
        <v>67</v>
      </c>
      <c r="C56" s="248" t="s">
        <v>75</v>
      </c>
      <c r="D56" s="248" t="s">
        <v>76</v>
      </c>
      <c r="E56" s="166" t="s">
        <v>38</v>
      </c>
      <c r="F56" s="13"/>
      <c r="G56" s="110"/>
      <c r="H56" s="110"/>
      <c r="I56" s="110"/>
      <c r="J56" s="110"/>
      <c r="K56" s="164">
        <f t="shared" si="0"/>
        <v>0</v>
      </c>
      <c r="L56" s="164">
        <f t="shared" si="1"/>
        <v>0</v>
      </c>
      <c r="M56" s="164">
        <v>545.9</v>
      </c>
      <c r="N56" s="164">
        <f>+M56*1000/(41.5*10*16*60)*T56</f>
        <v>2.7404618473895583</v>
      </c>
      <c r="O56" s="164"/>
      <c r="P56" s="164">
        <f t="shared" si="2"/>
        <v>0</v>
      </c>
      <c r="Q56" s="164"/>
      <c r="R56" s="19">
        <f t="shared" si="3"/>
        <v>0</v>
      </c>
      <c r="S56" s="164">
        <f t="shared" si="4"/>
        <v>0</v>
      </c>
      <c r="T56" s="20">
        <v>2</v>
      </c>
      <c r="U56" s="20"/>
      <c r="V56" s="161" t="str">
        <f t="array" ref="V56">IF(ISERROR(L56/K56),"",L56/K56)</f>
        <v/>
      </c>
      <c r="W56" s="20"/>
      <c r="X56" s="20"/>
      <c r="Y56" s="20"/>
      <c r="Z56" s="20"/>
      <c r="AA56" s="20"/>
      <c r="AB56" s="20"/>
      <c r="AC56" s="20"/>
    </row>
    <row r="57" spans="1:29" s="132" customFormat="1" ht="21.95" customHeight="1">
      <c r="A57" s="126">
        <v>300436</v>
      </c>
      <c r="B57" s="156" t="s">
        <v>67</v>
      </c>
      <c r="C57" s="261" t="s">
        <v>75</v>
      </c>
      <c r="D57" s="261" t="s">
        <v>76</v>
      </c>
      <c r="E57" s="42" t="s">
        <v>309</v>
      </c>
      <c r="F57" s="127"/>
      <c r="G57" s="128"/>
      <c r="H57" s="128"/>
      <c r="I57" s="128"/>
      <c r="J57" s="128"/>
      <c r="K57" s="15">
        <f t="shared" si="0"/>
        <v>0</v>
      </c>
      <c r="L57" s="15">
        <f t="shared" si="1"/>
        <v>0</v>
      </c>
      <c r="M57" s="15">
        <v>545.9</v>
      </c>
      <c r="N57" s="15">
        <f>+M57*1000/(41.5*10*16*60)*T57</f>
        <v>2.7404618473895583</v>
      </c>
      <c r="O57" s="15"/>
      <c r="P57" s="15">
        <f t="shared" si="2"/>
        <v>0</v>
      </c>
      <c r="Q57" s="15"/>
      <c r="R57" s="129">
        <f t="shared" si="3"/>
        <v>0</v>
      </c>
      <c r="S57" s="15">
        <f t="shared" si="4"/>
        <v>0</v>
      </c>
      <c r="T57" s="130">
        <v>2</v>
      </c>
      <c r="U57" s="130"/>
      <c r="V57" s="131"/>
      <c r="W57" s="130"/>
      <c r="X57" s="130"/>
      <c r="Y57" s="130"/>
      <c r="Z57" s="130"/>
      <c r="AA57" s="130"/>
      <c r="AB57" s="130"/>
      <c r="AC57" s="130"/>
    </row>
    <row r="58" spans="1:29" ht="21.95" customHeight="1">
      <c r="A58" s="160">
        <v>300050</v>
      </c>
      <c r="B58" s="153" t="s">
        <v>67</v>
      </c>
      <c r="C58" s="248" t="s">
        <v>77</v>
      </c>
      <c r="D58" s="248" t="s">
        <v>78</v>
      </c>
      <c r="E58" s="166" t="s">
        <v>79</v>
      </c>
      <c r="F58" s="13"/>
      <c r="G58" s="110"/>
      <c r="H58" s="110"/>
      <c r="I58" s="110"/>
      <c r="J58" s="110"/>
      <c r="K58" s="164">
        <f t="shared" si="0"/>
        <v>0</v>
      </c>
      <c r="L58" s="164">
        <f t="shared" si="1"/>
        <v>0</v>
      </c>
      <c r="M58" s="164">
        <v>427.5</v>
      </c>
      <c r="N58" s="164">
        <f>+M58*1000/(45*10*14*60)*T58</f>
        <v>5.6547619047619051</v>
      </c>
      <c r="O58" s="164"/>
      <c r="P58" s="164">
        <f t="shared" si="2"/>
        <v>0</v>
      </c>
      <c r="Q58" s="164"/>
      <c r="R58" s="19">
        <f t="shared" si="3"/>
        <v>0</v>
      </c>
      <c r="S58" s="164">
        <f t="shared" si="4"/>
        <v>0</v>
      </c>
      <c r="T58" s="20">
        <v>5</v>
      </c>
      <c r="U58" s="20"/>
      <c r="V58" s="161" t="str">
        <f t="array" ref="V58">IF(ISERROR(L58/K58),"",L58/K58)</f>
        <v/>
      </c>
      <c r="W58" s="20"/>
      <c r="X58" s="20"/>
      <c r="Y58" s="20"/>
      <c r="Z58" s="20"/>
      <c r="AA58" s="20"/>
      <c r="AB58" s="20"/>
      <c r="AC58" s="20"/>
    </row>
    <row r="59" spans="1:29" ht="21.95" customHeight="1">
      <c r="A59" s="160">
        <v>300045</v>
      </c>
      <c r="B59" s="153" t="s">
        <v>67</v>
      </c>
      <c r="C59" s="248" t="s">
        <v>77</v>
      </c>
      <c r="D59" s="248" t="s">
        <v>78</v>
      </c>
      <c r="E59" s="166" t="s">
        <v>35</v>
      </c>
      <c r="F59" s="13"/>
      <c r="G59" s="110"/>
      <c r="H59" s="110"/>
      <c r="I59" s="110"/>
      <c r="J59" s="110"/>
      <c r="K59" s="164">
        <f t="shared" si="0"/>
        <v>0</v>
      </c>
      <c r="L59" s="164">
        <f t="shared" si="1"/>
        <v>0</v>
      </c>
      <c r="M59" s="15">
        <v>406.6</v>
      </c>
      <c r="N59" s="164">
        <f>+M59*1000/(45*10*13*60)*T59</f>
        <v>5.7920227920227916</v>
      </c>
      <c r="O59" s="164"/>
      <c r="P59" s="164">
        <f t="shared" si="2"/>
        <v>0</v>
      </c>
      <c r="Q59" s="164"/>
      <c r="R59" s="19">
        <f t="shared" si="3"/>
        <v>0</v>
      </c>
      <c r="S59" s="164">
        <f t="shared" si="4"/>
        <v>0</v>
      </c>
      <c r="T59" s="20">
        <v>5</v>
      </c>
      <c r="U59" s="20"/>
      <c r="V59" s="161" t="str">
        <f t="array" ref="V59">IF(ISERROR(L59/K59),"",L59/K59)</f>
        <v/>
      </c>
      <c r="W59" s="20"/>
      <c r="X59" s="20"/>
      <c r="Y59" s="20"/>
      <c r="Z59" s="20"/>
      <c r="AA59" s="20"/>
      <c r="AB59" s="20"/>
      <c r="AC59" s="20"/>
    </row>
    <row r="60" spans="1:29" ht="21.95" customHeight="1">
      <c r="A60" s="160">
        <v>300422</v>
      </c>
      <c r="B60" s="153" t="s">
        <v>67</v>
      </c>
      <c r="C60" s="259" t="s">
        <v>301</v>
      </c>
      <c r="D60" s="260"/>
      <c r="E60" s="166" t="s">
        <v>54</v>
      </c>
      <c r="F60" s="13"/>
      <c r="G60" s="110"/>
      <c r="H60" s="110"/>
      <c r="I60" s="110"/>
      <c r="J60" s="110"/>
      <c r="K60" s="164">
        <f t="shared" si="0"/>
        <v>0</v>
      </c>
      <c r="L60" s="164">
        <f t="shared" si="1"/>
        <v>0</v>
      </c>
      <c r="M60" s="15">
        <v>429.8</v>
      </c>
      <c r="N60" s="164">
        <f>+M60*1000/(45*10*13*60)*T60</f>
        <v>3.6735042735042738</v>
      </c>
      <c r="O60" s="164"/>
      <c r="P60" s="164">
        <f t="shared" si="2"/>
        <v>0</v>
      </c>
      <c r="Q60" s="164"/>
      <c r="R60" s="19">
        <f t="shared" si="3"/>
        <v>0</v>
      </c>
      <c r="S60" s="164">
        <f t="shared" si="4"/>
        <v>0</v>
      </c>
      <c r="T60" s="20">
        <v>3</v>
      </c>
      <c r="U60" s="20"/>
      <c r="V60" s="161"/>
      <c r="W60" s="20"/>
      <c r="X60" s="20"/>
      <c r="Y60" s="20"/>
      <c r="Z60" s="20"/>
      <c r="AA60" s="20"/>
      <c r="AB60" s="20"/>
      <c r="AC60" s="20"/>
    </row>
    <row r="61" spans="1:29" ht="21.95" customHeight="1">
      <c r="A61" s="160">
        <v>300421</v>
      </c>
      <c r="B61" s="153" t="s">
        <v>67</v>
      </c>
      <c r="C61" s="259" t="s">
        <v>301</v>
      </c>
      <c r="D61" s="260"/>
      <c r="E61" s="166" t="s">
        <v>80</v>
      </c>
      <c r="F61" s="13"/>
      <c r="G61" s="110"/>
      <c r="H61" s="110"/>
      <c r="I61" s="110"/>
      <c r="J61" s="110"/>
      <c r="K61" s="164">
        <f t="shared" si="0"/>
        <v>0</v>
      </c>
      <c r="L61" s="164">
        <f t="shared" si="1"/>
        <v>0</v>
      </c>
      <c r="M61" s="15">
        <v>429.8</v>
      </c>
      <c r="N61" s="164">
        <f>+M61*1000/(45*10*13*60)*T61</f>
        <v>3.6735042735042738</v>
      </c>
      <c r="O61" s="164"/>
      <c r="P61" s="164">
        <f t="shared" si="2"/>
        <v>0</v>
      </c>
      <c r="Q61" s="164"/>
      <c r="R61" s="19">
        <f t="shared" si="3"/>
        <v>0</v>
      </c>
      <c r="S61" s="164">
        <f t="shared" si="4"/>
        <v>0</v>
      </c>
      <c r="T61" s="20">
        <v>3</v>
      </c>
      <c r="U61" s="20"/>
      <c r="V61" s="161"/>
      <c r="W61" s="20"/>
      <c r="X61" s="20"/>
      <c r="Y61" s="20"/>
      <c r="Z61" s="20"/>
      <c r="AA61" s="20"/>
      <c r="AB61" s="20"/>
      <c r="AC61" s="20"/>
    </row>
    <row r="62" spans="1:29" ht="21.95" customHeight="1">
      <c r="A62" s="160">
        <v>300149</v>
      </c>
      <c r="B62" s="153" t="s">
        <v>67</v>
      </c>
      <c r="C62" s="248" t="s">
        <v>81</v>
      </c>
      <c r="D62" s="248" t="s">
        <v>82</v>
      </c>
      <c r="E62" s="166" t="s">
        <v>80</v>
      </c>
      <c r="F62" s="13"/>
      <c r="G62" s="110"/>
      <c r="H62" s="110"/>
      <c r="I62" s="110"/>
      <c r="J62" s="110"/>
      <c r="K62" s="164">
        <f t="shared" si="0"/>
        <v>0</v>
      </c>
      <c r="L62" s="164">
        <f t="shared" si="1"/>
        <v>0</v>
      </c>
      <c r="M62" s="164">
        <v>589.1</v>
      </c>
      <c r="N62" s="164">
        <f>+M62*1000/(67.1*10*13*60)*T62</f>
        <v>3.3767052619511633</v>
      </c>
      <c r="O62" s="164"/>
      <c r="P62" s="164">
        <f t="shared" si="2"/>
        <v>0</v>
      </c>
      <c r="Q62" s="164"/>
      <c r="R62" s="19">
        <f t="shared" si="3"/>
        <v>0</v>
      </c>
      <c r="S62" s="164">
        <f t="shared" si="4"/>
        <v>0</v>
      </c>
      <c r="T62" s="20">
        <v>3</v>
      </c>
      <c r="U62" s="20"/>
      <c r="V62" s="161" t="str">
        <f t="array" ref="V62">IF(ISERROR(L62/K62),"",L62/K62)</f>
        <v/>
      </c>
      <c r="W62" s="20"/>
      <c r="X62" s="20"/>
      <c r="Y62" s="20"/>
      <c r="Z62" s="20"/>
      <c r="AA62" s="20"/>
      <c r="AB62" s="20"/>
      <c r="AC62" s="20"/>
    </row>
    <row r="63" spans="1:29" ht="21.95" customHeight="1">
      <c r="A63" s="160">
        <v>300150</v>
      </c>
      <c r="B63" s="153" t="s">
        <v>67</v>
      </c>
      <c r="C63" s="248" t="s">
        <v>81</v>
      </c>
      <c r="D63" s="248" t="s">
        <v>82</v>
      </c>
      <c r="E63" s="166" t="s">
        <v>54</v>
      </c>
      <c r="F63" s="13"/>
      <c r="G63" s="110"/>
      <c r="H63" s="110"/>
      <c r="I63" s="110"/>
      <c r="J63" s="110"/>
      <c r="K63" s="164">
        <f t="shared" si="0"/>
        <v>0</v>
      </c>
      <c r="L63" s="164">
        <f t="shared" si="1"/>
        <v>0</v>
      </c>
      <c r="M63" s="164">
        <v>589.1</v>
      </c>
      <c r="N63" s="164">
        <f>+M63*1000/(67.1*10*13*60)*T63</f>
        <v>3.3767052619511633</v>
      </c>
      <c r="O63" s="164"/>
      <c r="P63" s="164">
        <f t="shared" si="2"/>
        <v>0</v>
      </c>
      <c r="Q63" s="164"/>
      <c r="R63" s="19">
        <f t="shared" si="3"/>
        <v>0</v>
      </c>
      <c r="S63" s="164">
        <f t="shared" si="4"/>
        <v>0</v>
      </c>
      <c r="T63" s="20">
        <v>3</v>
      </c>
      <c r="U63" s="20"/>
      <c r="V63" s="161" t="str">
        <f t="array" ref="V63">IF(ISERROR(L63/K63),"",L63/K63)</f>
        <v/>
      </c>
      <c r="W63" s="20"/>
      <c r="X63" s="20"/>
      <c r="Y63" s="20"/>
      <c r="Z63" s="20"/>
      <c r="AA63" s="20"/>
      <c r="AB63" s="20"/>
      <c r="AC63" s="20"/>
    </row>
    <row r="64" spans="1:29" ht="21.95" customHeight="1">
      <c r="A64" s="160">
        <v>300330</v>
      </c>
      <c r="B64" s="153" t="s">
        <v>67</v>
      </c>
      <c r="C64" s="259" t="s">
        <v>83</v>
      </c>
      <c r="D64" s="260"/>
      <c r="E64" s="166" t="s">
        <v>84</v>
      </c>
      <c r="F64" s="13"/>
      <c r="G64" s="110"/>
      <c r="H64" s="110"/>
      <c r="I64" s="110"/>
      <c r="J64" s="110"/>
      <c r="K64" s="164">
        <f t="shared" si="0"/>
        <v>0</v>
      </c>
      <c r="L64" s="164">
        <f t="shared" si="1"/>
        <v>0</v>
      </c>
      <c r="M64" s="164">
        <v>416.3</v>
      </c>
      <c r="N64" s="164">
        <f t="shared" ref="N64:N70" si="6">+M64*1000/(45*10*18*60)*T64</f>
        <v>1.7131687242798355</v>
      </c>
      <c r="O64" s="164"/>
      <c r="P64" s="164">
        <f t="shared" si="2"/>
        <v>0</v>
      </c>
      <c r="Q64" s="164"/>
      <c r="R64" s="19">
        <f t="shared" si="3"/>
        <v>0</v>
      </c>
      <c r="S64" s="164">
        <f t="shared" si="4"/>
        <v>0</v>
      </c>
      <c r="T64" s="20">
        <v>2</v>
      </c>
      <c r="U64" s="20"/>
      <c r="V64" s="161" t="str">
        <f t="array" ref="V64">IF(ISERROR(L64/K64),"",L64/K64)</f>
        <v/>
      </c>
      <c r="W64" s="20"/>
      <c r="X64" s="20"/>
      <c r="Y64" s="20"/>
      <c r="Z64" s="20"/>
      <c r="AA64" s="20"/>
      <c r="AB64" s="20"/>
      <c r="AC64" s="20"/>
    </row>
    <row r="65" spans="1:29" ht="21.95" customHeight="1">
      <c r="A65" s="160">
        <v>300331</v>
      </c>
      <c r="B65" s="153" t="s">
        <v>67</v>
      </c>
      <c r="C65" s="259" t="s">
        <v>83</v>
      </c>
      <c r="D65" s="260"/>
      <c r="E65" s="166" t="s">
        <v>49</v>
      </c>
      <c r="F65" s="13"/>
      <c r="G65" s="110"/>
      <c r="H65" s="110"/>
      <c r="I65" s="110"/>
      <c r="J65" s="110"/>
      <c r="K65" s="164">
        <f t="shared" si="0"/>
        <v>0</v>
      </c>
      <c r="L65" s="164">
        <f t="shared" si="1"/>
        <v>0</v>
      </c>
      <c r="M65" s="164">
        <v>416.3</v>
      </c>
      <c r="N65" s="164">
        <f t="shared" si="6"/>
        <v>1.7131687242798355</v>
      </c>
      <c r="O65" s="164"/>
      <c r="P65" s="164">
        <f t="shared" si="2"/>
        <v>0</v>
      </c>
      <c r="Q65" s="164"/>
      <c r="R65" s="19">
        <f t="shared" si="3"/>
        <v>0</v>
      </c>
      <c r="S65" s="164">
        <f t="shared" si="4"/>
        <v>0</v>
      </c>
      <c r="T65" s="20">
        <v>2</v>
      </c>
      <c r="U65" s="20"/>
      <c r="V65" s="161"/>
      <c r="W65" s="20"/>
      <c r="X65" s="20"/>
      <c r="Y65" s="20"/>
      <c r="Z65" s="20"/>
      <c r="AA65" s="20"/>
      <c r="AB65" s="20"/>
      <c r="AC65" s="20"/>
    </row>
    <row r="66" spans="1:29" ht="21.95" customHeight="1">
      <c r="A66" s="160">
        <v>300332</v>
      </c>
      <c r="B66" s="153" t="s">
        <v>67</v>
      </c>
      <c r="C66" s="259" t="s">
        <v>83</v>
      </c>
      <c r="D66" s="260"/>
      <c r="E66" s="166" t="s">
        <v>85</v>
      </c>
      <c r="F66" s="13"/>
      <c r="G66" s="110"/>
      <c r="H66" s="110"/>
      <c r="I66" s="110"/>
      <c r="J66" s="110"/>
      <c r="K66" s="164">
        <f t="shared" si="0"/>
        <v>0</v>
      </c>
      <c r="L66" s="164">
        <f t="shared" si="1"/>
        <v>0</v>
      </c>
      <c r="M66" s="164">
        <v>416.3</v>
      </c>
      <c r="N66" s="164">
        <f t="shared" si="6"/>
        <v>1.7131687242798355</v>
      </c>
      <c r="O66" s="164"/>
      <c r="P66" s="164">
        <f t="shared" si="2"/>
        <v>0</v>
      </c>
      <c r="Q66" s="164"/>
      <c r="R66" s="19">
        <f t="shared" si="3"/>
        <v>0</v>
      </c>
      <c r="S66" s="164">
        <f t="shared" si="4"/>
        <v>0</v>
      </c>
      <c r="T66" s="20">
        <v>2</v>
      </c>
      <c r="U66" s="20"/>
      <c r="V66" s="161"/>
      <c r="W66" s="20"/>
      <c r="X66" s="20"/>
      <c r="Y66" s="20"/>
      <c r="Z66" s="20"/>
      <c r="AA66" s="20"/>
      <c r="AB66" s="20"/>
      <c r="AC66" s="20"/>
    </row>
    <row r="67" spans="1:29" ht="21.95" customHeight="1">
      <c r="A67" s="160">
        <v>300333</v>
      </c>
      <c r="B67" s="153" t="s">
        <v>67</v>
      </c>
      <c r="C67" s="259" t="s">
        <v>86</v>
      </c>
      <c r="D67" s="260"/>
      <c r="E67" s="166" t="s">
        <v>84</v>
      </c>
      <c r="F67" s="13"/>
      <c r="G67" s="110"/>
      <c r="H67" s="110"/>
      <c r="I67" s="110"/>
      <c r="J67" s="110"/>
      <c r="K67" s="164">
        <f t="shared" si="0"/>
        <v>0</v>
      </c>
      <c r="L67" s="164">
        <f t="shared" si="1"/>
        <v>0</v>
      </c>
      <c r="M67" s="164">
        <v>416.3</v>
      </c>
      <c r="N67" s="164">
        <f t="shared" si="6"/>
        <v>1.7131687242798355</v>
      </c>
      <c r="O67" s="164"/>
      <c r="P67" s="164">
        <f t="shared" si="2"/>
        <v>0</v>
      </c>
      <c r="Q67" s="164"/>
      <c r="R67" s="19">
        <f t="shared" si="3"/>
        <v>0</v>
      </c>
      <c r="S67" s="164">
        <f t="shared" si="4"/>
        <v>0</v>
      </c>
      <c r="T67" s="20">
        <v>2</v>
      </c>
      <c r="U67" s="20"/>
      <c r="V67" s="161"/>
      <c r="W67" s="20"/>
      <c r="X67" s="20"/>
      <c r="Y67" s="20"/>
      <c r="Z67" s="20"/>
      <c r="AA67" s="20"/>
      <c r="AB67" s="20"/>
      <c r="AC67" s="20"/>
    </row>
    <row r="68" spans="1:29" ht="21.95" customHeight="1">
      <c r="A68" s="160">
        <v>300334</v>
      </c>
      <c r="B68" s="153" t="s">
        <v>67</v>
      </c>
      <c r="C68" s="259" t="s">
        <v>86</v>
      </c>
      <c r="D68" s="260"/>
      <c r="E68" s="166" t="s">
        <v>85</v>
      </c>
      <c r="F68" s="13"/>
      <c r="G68" s="110"/>
      <c r="H68" s="110"/>
      <c r="I68" s="110"/>
      <c r="J68" s="110"/>
      <c r="K68" s="164">
        <f t="shared" si="0"/>
        <v>0</v>
      </c>
      <c r="L68" s="164">
        <f t="shared" si="1"/>
        <v>0</v>
      </c>
      <c r="M68" s="164">
        <v>416.3</v>
      </c>
      <c r="N68" s="164">
        <f t="shared" si="6"/>
        <v>1.7131687242798355</v>
      </c>
      <c r="O68" s="164"/>
      <c r="P68" s="164">
        <f t="shared" si="2"/>
        <v>0</v>
      </c>
      <c r="Q68" s="164"/>
      <c r="R68" s="19">
        <f t="shared" si="3"/>
        <v>0</v>
      </c>
      <c r="S68" s="164">
        <f t="shared" si="4"/>
        <v>0</v>
      </c>
      <c r="T68" s="20">
        <v>2</v>
      </c>
      <c r="U68" s="20"/>
      <c r="V68" s="161"/>
      <c r="W68" s="20"/>
      <c r="X68" s="20"/>
      <c r="Y68" s="20"/>
      <c r="Z68" s="20"/>
      <c r="AA68" s="20"/>
      <c r="AB68" s="20"/>
      <c r="AC68" s="20"/>
    </row>
    <row r="69" spans="1:29" ht="21.95" customHeight="1">
      <c r="A69" s="160">
        <v>300335</v>
      </c>
      <c r="B69" s="153" t="s">
        <v>67</v>
      </c>
      <c r="C69" s="259" t="s">
        <v>86</v>
      </c>
      <c r="D69" s="260"/>
      <c r="E69" s="166" t="s">
        <v>49</v>
      </c>
      <c r="F69" s="13"/>
      <c r="G69" s="110"/>
      <c r="H69" s="110"/>
      <c r="I69" s="110"/>
      <c r="J69" s="110"/>
      <c r="K69" s="164">
        <f t="shared" si="0"/>
        <v>0</v>
      </c>
      <c r="L69" s="164">
        <f t="shared" si="1"/>
        <v>0</v>
      </c>
      <c r="M69" s="164">
        <v>416.3</v>
      </c>
      <c r="N69" s="164">
        <f t="shared" si="6"/>
        <v>1.7131687242798355</v>
      </c>
      <c r="O69" s="164"/>
      <c r="P69" s="164">
        <f t="shared" si="2"/>
        <v>0</v>
      </c>
      <c r="Q69" s="164"/>
      <c r="R69" s="19">
        <f t="shared" si="3"/>
        <v>0</v>
      </c>
      <c r="S69" s="164">
        <f t="shared" si="4"/>
        <v>0</v>
      </c>
      <c r="T69" s="20">
        <v>2</v>
      </c>
      <c r="U69" s="20"/>
      <c r="V69" s="161"/>
      <c r="W69" s="20"/>
      <c r="X69" s="20"/>
      <c r="Y69" s="20"/>
      <c r="Z69" s="20"/>
      <c r="AA69" s="20"/>
      <c r="AB69" s="20"/>
      <c r="AC69" s="20"/>
    </row>
    <row r="70" spans="1:29" ht="21.95" customHeight="1">
      <c r="A70" s="160">
        <v>300291</v>
      </c>
      <c r="B70" s="153" t="s">
        <v>87</v>
      </c>
      <c r="C70" s="248" t="s">
        <v>88</v>
      </c>
      <c r="D70" s="248" t="s">
        <v>89</v>
      </c>
      <c r="E70" s="166" t="s">
        <v>42</v>
      </c>
      <c r="F70" s="13"/>
      <c r="G70" s="110"/>
      <c r="H70" s="110"/>
      <c r="I70" s="110"/>
      <c r="J70" s="110"/>
      <c r="K70" s="164">
        <f t="shared" si="0"/>
        <v>0</v>
      </c>
      <c r="L70" s="164">
        <f t="shared" si="1"/>
        <v>0</v>
      </c>
      <c r="M70" s="164">
        <v>517.79999999999995</v>
      </c>
      <c r="N70" s="164">
        <f t="shared" si="6"/>
        <v>4.261728395061728</v>
      </c>
      <c r="O70" s="164"/>
      <c r="P70" s="164">
        <f t="shared" si="2"/>
        <v>0</v>
      </c>
      <c r="Q70" s="164"/>
      <c r="R70" s="19">
        <f t="shared" si="3"/>
        <v>0</v>
      </c>
      <c r="S70" s="164">
        <f t="shared" si="4"/>
        <v>0</v>
      </c>
      <c r="T70" s="20">
        <v>4</v>
      </c>
      <c r="U70" s="20"/>
      <c r="V70" s="161" t="str">
        <f t="array" ref="V70">IF(ISERROR(L70/K70),"",L70/K70)</f>
        <v/>
      </c>
      <c r="W70" s="20"/>
      <c r="X70" s="20"/>
      <c r="Y70" s="20"/>
      <c r="Z70" s="20"/>
      <c r="AA70" s="20"/>
      <c r="AB70" s="20"/>
      <c r="AC70" s="20"/>
    </row>
    <row r="71" spans="1:29" ht="21.95" customHeight="1">
      <c r="A71" s="160">
        <v>300292</v>
      </c>
      <c r="B71" s="153" t="s">
        <v>87</v>
      </c>
      <c r="C71" s="248" t="s">
        <v>88</v>
      </c>
      <c r="D71" s="248" t="s">
        <v>89</v>
      </c>
      <c r="E71" s="166" t="s">
        <v>41</v>
      </c>
      <c r="F71" s="13"/>
      <c r="G71" s="110"/>
      <c r="H71" s="110"/>
      <c r="I71" s="110"/>
      <c r="J71" s="110"/>
      <c r="K71" s="164">
        <f t="shared" si="0"/>
        <v>0</v>
      </c>
      <c r="L71" s="164">
        <f t="shared" si="1"/>
        <v>0</v>
      </c>
      <c r="M71" s="164">
        <v>517.79999999999995</v>
      </c>
      <c r="N71" s="164">
        <f>+M71*1000/(66.8*1*110*60)*T71</f>
        <v>4.6978769733260748</v>
      </c>
      <c r="O71" s="164"/>
      <c r="P71" s="164">
        <f t="shared" si="2"/>
        <v>0</v>
      </c>
      <c r="Q71" s="164"/>
      <c r="R71" s="19">
        <f t="shared" si="3"/>
        <v>0</v>
      </c>
      <c r="S71" s="164">
        <f t="shared" si="4"/>
        <v>0</v>
      </c>
      <c r="T71" s="20">
        <v>4</v>
      </c>
      <c r="U71" s="20"/>
      <c r="V71" s="161" t="str">
        <f t="array" ref="V71">IF(ISERROR(L71/K71),"",L71/K71)</f>
        <v/>
      </c>
      <c r="W71" s="20"/>
      <c r="X71" s="20"/>
      <c r="Y71" s="20"/>
      <c r="Z71" s="20"/>
      <c r="AA71" s="20"/>
      <c r="AB71" s="20"/>
      <c r="AC71" s="20"/>
    </row>
    <row r="72" spans="1:29" ht="21.95" customHeight="1">
      <c r="A72" s="160">
        <v>300293</v>
      </c>
      <c r="B72" s="153" t="s">
        <v>87</v>
      </c>
      <c r="C72" s="248" t="s">
        <v>88</v>
      </c>
      <c r="D72" s="248" t="s">
        <v>89</v>
      </c>
      <c r="E72" s="166" t="s">
        <v>57</v>
      </c>
      <c r="F72" s="13"/>
      <c r="G72" s="110"/>
      <c r="H72" s="110"/>
      <c r="I72" s="110"/>
      <c r="J72" s="110"/>
      <c r="K72" s="164">
        <f t="shared" si="0"/>
        <v>0</v>
      </c>
      <c r="L72" s="164">
        <f t="shared" si="1"/>
        <v>0</v>
      </c>
      <c r="M72" s="164">
        <v>517.9</v>
      </c>
      <c r="N72" s="164">
        <f>+M72*1000/(67.1*1*110*60)*T72</f>
        <v>4.6777762724111467</v>
      </c>
      <c r="O72" s="164"/>
      <c r="P72" s="164">
        <f t="shared" si="2"/>
        <v>0</v>
      </c>
      <c r="Q72" s="164"/>
      <c r="R72" s="19">
        <f t="shared" si="3"/>
        <v>0</v>
      </c>
      <c r="S72" s="164">
        <f t="shared" si="4"/>
        <v>0</v>
      </c>
      <c r="T72" s="20">
        <v>4</v>
      </c>
      <c r="U72" s="20"/>
      <c r="V72" s="161" t="str">
        <f t="array" ref="V72">IF(ISERROR(L72/K72),"",L72/K72)</f>
        <v/>
      </c>
      <c r="W72" s="20"/>
      <c r="X72" s="20"/>
      <c r="Y72" s="20"/>
      <c r="Z72" s="20"/>
      <c r="AA72" s="20"/>
      <c r="AB72" s="20"/>
      <c r="AC72" s="20"/>
    </row>
    <row r="73" spans="1:29" ht="21.95" customHeight="1">
      <c r="A73" s="160">
        <v>300290</v>
      </c>
      <c r="B73" s="153" t="s">
        <v>87</v>
      </c>
      <c r="C73" s="248" t="s">
        <v>88</v>
      </c>
      <c r="D73" s="248" t="s">
        <v>89</v>
      </c>
      <c r="E73" s="166" t="s">
        <v>35</v>
      </c>
      <c r="F73" s="13"/>
      <c r="G73" s="110"/>
      <c r="H73" s="110"/>
      <c r="I73" s="110"/>
      <c r="J73" s="110"/>
      <c r="K73" s="164">
        <f t="shared" si="0"/>
        <v>0</v>
      </c>
      <c r="L73" s="164">
        <f t="shared" si="1"/>
        <v>0</v>
      </c>
      <c r="M73" s="164">
        <v>520</v>
      </c>
      <c r="N73" s="164">
        <f>+M73*1000/(67.5*1*110*60)*T73</f>
        <v>4.6689113355780023</v>
      </c>
      <c r="O73" s="164"/>
      <c r="P73" s="164">
        <f t="shared" si="2"/>
        <v>0</v>
      </c>
      <c r="Q73" s="164"/>
      <c r="R73" s="19">
        <f t="shared" si="3"/>
        <v>0</v>
      </c>
      <c r="S73" s="164">
        <f t="shared" si="4"/>
        <v>0</v>
      </c>
      <c r="T73" s="20">
        <v>4</v>
      </c>
      <c r="U73" s="20"/>
      <c r="V73" s="161" t="str">
        <f t="array" ref="V73">IF(ISERROR(L73/K73),"",L73/K73)</f>
        <v/>
      </c>
      <c r="W73" s="20"/>
      <c r="X73" s="20"/>
      <c r="Y73" s="20"/>
      <c r="Z73" s="20"/>
      <c r="AA73" s="20"/>
      <c r="AB73" s="20"/>
      <c r="AC73" s="20"/>
    </row>
    <row r="74" spans="1:29" s="3" customFormat="1" ht="21.95" customHeight="1">
      <c r="A74" s="23">
        <v>300389</v>
      </c>
      <c r="B74" s="124" t="s">
        <v>87</v>
      </c>
      <c r="C74" s="248" t="s">
        <v>316</v>
      </c>
      <c r="D74" s="248" t="s">
        <v>89</v>
      </c>
      <c r="E74" s="24" t="s">
        <v>35</v>
      </c>
      <c r="F74" s="25"/>
      <c r="G74" s="111"/>
      <c r="H74" s="111"/>
      <c r="I74" s="111"/>
      <c r="J74" s="111"/>
      <c r="K74" s="28">
        <f t="shared" si="0"/>
        <v>0</v>
      </c>
      <c r="L74" s="28">
        <f t="shared" si="1"/>
        <v>0</v>
      </c>
      <c r="M74" s="28">
        <v>429.4</v>
      </c>
      <c r="N74" s="28">
        <f>+M74*1000/(47*1*110*60)*T74</f>
        <v>5.5370728562217923</v>
      </c>
      <c r="O74" s="28"/>
      <c r="P74" s="28">
        <f t="shared" si="2"/>
        <v>0</v>
      </c>
      <c r="Q74" s="28"/>
      <c r="R74" s="29">
        <f t="shared" si="3"/>
        <v>0</v>
      </c>
      <c r="S74" s="28">
        <f t="shared" si="4"/>
        <v>0</v>
      </c>
      <c r="T74" s="30">
        <v>4</v>
      </c>
      <c r="U74" s="30"/>
      <c r="V74" s="112" t="str">
        <f t="array" ref="V74">IF(ISERROR(L74/K74),"",L74/K74)</f>
        <v/>
      </c>
      <c r="W74" s="30"/>
      <c r="X74" s="30"/>
      <c r="Y74" s="30"/>
      <c r="Z74" s="30"/>
      <c r="AA74" s="30"/>
      <c r="AB74" s="30"/>
      <c r="AC74" s="30"/>
    </row>
    <row r="75" spans="1:29" ht="21.95" customHeight="1">
      <c r="A75" s="160">
        <v>300058</v>
      </c>
      <c r="B75" s="153" t="s">
        <v>87</v>
      </c>
      <c r="C75" s="248" t="s">
        <v>316</v>
      </c>
      <c r="D75" s="248" t="s">
        <v>89</v>
      </c>
      <c r="E75" s="166" t="s">
        <v>42</v>
      </c>
      <c r="F75" s="13"/>
      <c r="G75" s="110"/>
      <c r="H75" s="110"/>
      <c r="I75" s="110"/>
      <c r="J75" s="110"/>
      <c r="K75" s="164">
        <f t="shared" si="0"/>
        <v>0</v>
      </c>
      <c r="L75" s="164">
        <f t="shared" si="1"/>
        <v>0</v>
      </c>
      <c r="M75" s="164">
        <v>419.2</v>
      </c>
      <c r="N75" s="164">
        <f>+M75*1000/(51.5*1*110*60)*T75</f>
        <v>4.9332156516622536</v>
      </c>
      <c r="O75" s="164"/>
      <c r="P75" s="164">
        <f t="shared" si="2"/>
        <v>0</v>
      </c>
      <c r="Q75" s="164"/>
      <c r="R75" s="19">
        <f t="shared" si="3"/>
        <v>0</v>
      </c>
      <c r="S75" s="164">
        <f t="shared" si="4"/>
        <v>0</v>
      </c>
      <c r="T75" s="20">
        <v>4</v>
      </c>
      <c r="U75" s="20"/>
      <c r="V75" s="161" t="str">
        <f t="array" ref="V75">IF(ISERROR(L75/K75),"",L75/K75)</f>
        <v/>
      </c>
      <c r="W75" s="20"/>
      <c r="X75" s="20"/>
      <c r="Y75" s="20"/>
      <c r="Z75" s="20"/>
      <c r="AA75" s="20"/>
      <c r="AB75" s="20"/>
      <c r="AC75" s="20"/>
    </row>
    <row r="76" spans="1:29" ht="21.95" customHeight="1">
      <c r="A76" s="160">
        <v>300061</v>
      </c>
      <c r="B76" s="153" t="s">
        <v>92</v>
      </c>
      <c r="C76" s="248" t="s">
        <v>317</v>
      </c>
      <c r="D76" s="248" t="s">
        <v>96</v>
      </c>
      <c r="E76" s="166" t="s">
        <v>41</v>
      </c>
      <c r="F76" s="13"/>
      <c r="G76" s="110"/>
      <c r="H76" s="110"/>
      <c r="I76" s="110"/>
      <c r="J76" s="110"/>
      <c r="K76" s="164">
        <f t="shared" si="0"/>
        <v>0</v>
      </c>
      <c r="L76" s="164">
        <f t="shared" si="1"/>
        <v>0</v>
      </c>
      <c r="M76" s="164">
        <v>418.4</v>
      </c>
      <c r="N76" s="164">
        <f>+M76*1000/(51*1*110*60)*T76</f>
        <v>4.9720736779560308</v>
      </c>
      <c r="O76" s="164"/>
      <c r="P76" s="164">
        <f t="shared" si="2"/>
        <v>0</v>
      </c>
      <c r="Q76" s="164"/>
      <c r="R76" s="19">
        <f t="shared" si="3"/>
        <v>0</v>
      </c>
      <c r="S76" s="164">
        <f t="shared" si="4"/>
        <v>0</v>
      </c>
      <c r="T76" s="20">
        <v>4</v>
      </c>
      <c r="U76" s="20"/>
      <c r="V76" s="161" t="str">
        <f t="array" ref="V76">IF(ISERROR(L76/K76),"",L76/K76)</f>
        <v/>
      </c>
      <c r="W76" s="20"/>
      <c r="X76" s="20"/>
      <c r="Y76" s="20"/>
      <c r="Z76" s="20"/>
      <c r="AA76" s="20"/>
      <c r="AB76" s="20"/>
      <c r="AC76" s="20"/>
    </row>
    <row r="77" spans="1:29" ht="21.95" customHeight="1">
      <c r="A77" s="160">
        <v>300064</v>
      </c>
      <c r="B77" s="153">
        <v>5002</v>
      </c>
      <c r="C77" s="248" t="s">
        <v>317</v>
      </c>
      <c r="D77" s="248" t="s">
        <v>96</v>
      </c>
      <c r="E77" s="166" t="s">
        <v>35</v>
      </c>
      <c r="F77" s="13"/>
      <c r="G77" s="110"/>
      <c r="H77" s="110"/>
      <c r="I77" s="110"/>
      <c r="J77" s="110"/>
      <c r="K77" s="164">
        <f t="shared" ref="K77:K153" si="7">G77*M77</f>
        <v>0</v>
      </c>
      <c r="L77" s="164">
        <f t="shared" ref="L77:L153" si="8">I77*M77</f>
        <v>0</v>
      </c>
      <c r="M77" s="164">
        <v>419.2</v>
      </c>
      <c r="N77" s="164">
        <f>+M77*1000/(51.9*1*110*60)*T77</f>
        <v>4.8951947217843168</v>
      </c>
      <c r="O77" s="164"/>
      <c r="P77" s="164">
        <f t="shared" ref="P77:P153" si="9">N77*I77+O77*U77</f>
        <v>0</v>
      </c>
      <c r="Q77" s="164"/>
      <c r="R77" s="19">
        <f t="shared" ref="R77:R153" si="10">Q77*U77</f>
        <v>0</v>
      </c>
      <c r="S77" s="164">
        <f t="shared" ref="S77:S153" si="11">R77-P77</f>
        <v>0</v>
      </c>
      <c r="T77" s="20">
        <v>4</v>
      </c>
      <c r="U77" s="20"/>
      <c r="V77" s="161" t="str">
        <f t="array" ref="V77">IF(ISERROR(L77/K77),"",L77/K77)</f>
        <v/>
      </c>
      <c r="W77" s="20"/>
      <c r="X77" s="20"/>
      <c r="Y77" s="20"/>
      <c r="Z77" s="20"/>
      <c r="AA77" s="20"/>
      <c r="AB77" s="20"/>
      <c r="AC77" s="20"/>
    </row>
    <row r="78" spans="1:29" ht="21.95" customHeight="1">
      <c r="A78" s="160">
        <v>300060</v>
      </c>
      <c r="B78" s="153" t="s">
        <v>87</v>
      </c>
      <c r="C78" s="248" t="s">
        <v>317</v>
      </c>
      <c r="D78" s="248" t="s">
        <v>96</v>
      </c>
      <c r="E78" s="166" t="s">
        <v>57</v>
      </c>
      <c r="F78" s="13"/>
      <c r="G78" s="110"/>
      <c r="H78" s="110"/>
      <c r="I78" s="110"/>
      <c r="J78" s="110"/>
      <c r="K78" s="164">
        <f t="shared" si="7"/>
        <v>0</v>
      </c>
      <c r="L78" s="164">
        <f t="shared" si="8"/>
        <v>0</v>
      </c>
      <c r="M78" s="164">
        <v>416.9</v>
      </c>
      <c r="N78" s="164">
        <f>+M78*1000/(51*1*110*60)*T78</f>
        <v>4.9542483660130721</v>
      </c>
      <c r="O78" s="164"/>
      <c r="P78" s="164">
        <f t="shared" si="9"/>
        <v>0</v>
      </c>
      <c r="Q78" s="164"/>
      <c r="R78" s="19">
        <f t="shared" si="10"/>
        <v>0</v>
      </c>
      <c r="S78" s="164">
        <f t="shared" si="11"/>
        <v>0</v>
      </c>
      <c r="T78" s="20">
        <v>4</v>
      </c>
      <c r="U78" s="20"/>
      <c r="V78" s="161" t="str">
        <f t="array" ref="V78">IF(ISERROR(L78/K78),"",L78/K78)</f>
        <v/>
      </c>
      <c r="W78" s="20"/>
      <c r="X78" s="20"/>
      <c r="Y78" s="20"/>
      <c r="Z78" s="20"/>
      <c r="AA78" s="20"/>
      <c r="AB78" s="20"/>
      <c r="AC78" s="20"/>
    </row>
    <row r="79" spans="1:29" ht="21.95" customHeight="1">
      <c r="A79" s="160">
        <v>300068</v>
      </c>
      <c r="B79" s="153" t="s">
        <v>87</v>
      </c>
      <c r="C79" s="248" t="s">
        <v>98</v>
      </c>
      <c r="D79" s="248" t="s">
        <v>99</v>
      </c>
      <c r="E79" s="166" t="s">
        <v>37</v>
      </c>
      <c r="F79" s="13"/>
      <c r="G79" s="110"/>
      <c r="H79" s="110"/>
      <c r="I79" s="110"/>
      <c r="J79" s="110"/>
      <c r="K79" s="164">
        <f t="shared" si="7"/>
        <v>0</v>
      </c>
      <c r="L79" s="164">
        <f t="shared" si="8"/>
        <v>0</v>
      </c>
      <c r="M79" s="164">
        <v>438.4</v>
      </c>
      <c r="N79" s="164">
        <f>+M79*1000/(50*1*120*60)*T79</f>
        <v>4.8711111111111114</v>
      </c>
      <c r="O79" s="164"/>
      <c r="P79" s="164">
        <f t="shared" si="9"/>
        <v>0</v>
      </c>
      <c r="Q79" s="164"/>
      <c r="R79" s="19">
        <f t="shared" si="10"/>
        <v>0</v>
      </c>
      <c r="S79" s="164">
        <f t="shared" si="11"/>
        <v>0</v>
      </c>
      <c r="T79" s="20">
        <v>4</v>
      </c>
      <c r="U79" s="20"/>
      <c r="V79" s="161" t="str">
        <f t="array" ref="V79">IF(ISERROR(L79/K79),"",L79/K79)</f>
        <v/>
      </c>
      <c r="W79" s="20"/>
      <c r="X79" s="20"/>
      <c r="Y79" s="20"/>
      <c r="Z79" s="20"/>
      <c r="AA79" s="20"/>
      <c r="AB79" s="20"/>
      <c r="AC79" s="20"/>
    </row>
    <row r="80" spans="1:29" ht="21.95" customHeight="1">
      <c r="A80" s="160">
        <v>300065</v>
      </c>
      <c r="B80" s="153" t="s">
        <v>87</v>
      </c>
      <c r="C80" s="248" t="s">
        <v>98</v>
      </c>
      <c r="D80" s="248" t="s">
        <v>99</v>
      </c>
      <c r="E80" s="166" t="s">
        <v>35</v>
      </c>
      <c r="F80" s="13"/>
      <c r="G80" s="110"/>
      <c r="H80" s="110"/>
      <c r="I80" s="110"/>
      <c r="J80" s="110"/>
      <c r="K80" s="164">
        <f t="shared" si="7"/>
        <v>0</v>
      </c>
      <c r="L80" s="164">
        <f t="shared" si="8"/>
        <v>0</v>
      </c>
      <c r="M80" s="164">
        <v>438.8</v>
      </c>
      <c r="N80" s="164">
        <f>+M80*1000/(50*1*120*60)*T80</f>
        <v>4.8755555555555556</v>
      </c>
      <c r="O80" s="164"/>
      <c r="P80" s="164">
        <f t="shared" si="9"/>
        <v>0</v>
      </c>
      <c r="Q80" s="164"/>
      <c r="R80" s="19">
        <f t="shared" si="10"/>
        <v>0</v>
      </c>
      <c r="S80" s="164">
        <f t="shared" si="11"/>
        <v>0</v>
      </c>
      <c r="T80" s="20">
        <v>4</v>
      </c>
      <c r="U80" s="160"/>
      <c r="V80" s="161" t="str">
        <f t="array" ref="V80">IF(ISERROR(L80/K80),"",L80/K80)</f>
        <v/>
      </c>
      <c r="W80" s="20"/>
      <c r="X80" s="20"/>
      <c r="Y80" s="20"/>
      <c r="Z80" s="20"/>
      <c r="AA80" s="20"/>
      <c r="AB80" s="20"/>
      <c r="AC80" s="20"/>
    </row>
    <row r="81" spans="1:29" ht="21.95" customHeight="1">
      <c r="A81" s="160">
        <v>300066</v>
      </c>
      <c r="B81" s="153" t="s">
        <v>87</v>
      </c>
      <c r="C81" s="248" t="s">
        <v>98</v>
      </c>
      <c r="D81" s="248" t="s">
        <v>99</v>
      </c>
      <c r="E81" s="166" t="s">
        <v>66</v>
      </c>
      <c r="F81" s="13"/>
      <c r="G81" s="110"/>
      <c r="H81" s="110"/>
      <c r="I81" s="110"/>
      <c r="J81" s="110"/>
      <c r="K81" s="164">
        <f t="shared" si="7"/>
        <v>0</v>
      </c>
      <c r="L81" s="164">
        <f t="shared" si="8"/>
        <v>0</v>
      </c>
      <c r="M81" s="164">
        <v>438.4</v>
      </c>
      <c r="N81" s="164">
        <f>+M81*1000/(50*1*120*60)*T81</f>
        <v>4.8711111111111114</v>
      </c>
      <c r="O81" s="164"/>
      <c r="P81" s="164">
        <f t="shared" si="9"/>
        <v>0</v>
      </c>
      <c r="Q81" s="164"/>
      <c r="R81" s="19">
        <f t="shared" si="10"/>
        <v>0</v>
      </c>
      <c r="S81" s="164">
        <f t="shared" si="11"/>
        <v>0</v>
      </c>
      <c r="T81" s="20">
        <v>4</v>
      </c>
      <c r="U81" s="160"/>
      <c r="V81" s="161"/>
      <c r="W81" s="20"/>
      <c r="X81" s="20"/>
      <c r="Y81" s="20"/>
      <c r="Z81" s="20"/>
      <c r="AA81" s="20"/>
      <c r="AB81" s="20"/>
      <c r="AC81" s="20"/>
    </row>
    <row r="82" spans="1:29" ht="21.95" customHeight="1">
      <c r="A82" s="160">
        <v>300067</v>
      </c>
      <c r="B82" s="153" t="s">
        <v>87</v>
      </c>
      <c r="C82" s="248" t="s">
        <v>98</v>
      </c>
      <c r="D82" s="248" t="s">
        <v>99</v>
      </c>
      <c r="E82" s="166" t="s">
        <v>41</v>
      </c>
      <c r="F82" s="13"/>
      <c r="G82" s="110"/>
      <c r="H82" s="110"/>
      <c r="I82" s="110"/>
      <c r="J82" s="110"/>
      <c r="K82" s="164">
        <f t="shared" si="7"/>
        <v>0</v>
      </c>
      <c r="L82" s="164">
        <f t="shared" si="8"/>
        <v>0</v>
      </c>
      <c r="M82" s="164">
        <v>438.8</v>
      </c>
      <c r="N82" s="164">
        <f>+M82*1000/(50*1*120*60)*T82</f>
        <v>4.8755555555555556</v>
      </c>
      <c r="O82" s="164"/>
      <c r="P82" s="164">
        <f t="shared" si="9"/>
        <v>0</v>
      </c>
      <c r="Q82" s="164"/>
      <c r="R82" s="19">
        <f t="shared" si="10"/>
        <v>0</v>
      </c>
      <c r="S82" s="164">
        <f t="shared" si="11"/>
        <v>0</v>
      </c>
      <c r="T82" s="20">
        <v>4</v>
      </c>
      <c r="U82" s="20"/>
      <c r="V82" s="161" t="str">
        <f t="array" ref="V82">IF(ISERROR(L82/K82),"",L82/K82)</f>
        <v/>
      </c>
      <c r="W82" s="20"/>
      <c r="X82" s="20"/>
      <c r="Y82" s="20"/>
      <c r="Z82" s="20"/>
      <c r="AA82" s="20"/>
      <c r="AB82" s="20"/>
      <c r="AC82" s="20"/>
    </row>
    <row r="83" spans="1:29" s="132" customFormat="1" ht="21.95" customHeight="1">
      <c r="A83" s="126">
        <v>300437</v>
      </c>
      <c r="B83" s="156" t="s">
        <v>87</v>
      </c>
      <c r="C83" s="261" t="s">
        <v>98</v>
      </c>
      <c r="D83" s="261" t="s">
        <v>99</v>
      </c>
      <c r="E83" s="42" t="s">
        <v>310</v>
      </c>
      <c r="F83" s="127"/>
      <c r="G83" s="128"/>
      <c r="H83" s="128"/>
      <c r="I83" s="128"/>
      <c r="J83" s="128"/>
      <c r="K83" s="15">
        <f t="shared" si="7"/>
        <v>0</v>
      </c>
      <c r="L83" s="15">
        <f t="shared" si="8"/>
        <v>0</v>
      </c>
      <c r="M83" s="15">
        <v>438.8</v>
      </c>
      <c r="N83" s="15">
        <f>+M83*1000/(50*1*120*60)*T83</f>
        <v>4.8755555555555556</v>
      </c>
      <c r="O83" s="15"/>
      <c r="P83" s="15">
        <f t="shared" si="9"/>
        <v>0</v>
      </c>
      <c r="Q83" s="15"/>
      <c r="R83" s="129">
        <f t="shared" si="10"/>
        <v>0</v>
      </c>
      <c r="S83" s="15">
        <f t="shared" si="11"/>
        <v>0</v>
      </c>
      <c r="T83" s="130">
        <v>4</v>
      </c>
      <c r="U83" s="130"/>
      <c r="V83" s="131"/>
      <c r="W83" s="130"/>
      <c r="X83" s="130"/>
      <c r="Y83" s="130"/>
      <c r="Z83" s="130"/>
      <c r="AA83" s="130"/>
      <c r="AB83" s="130"/>
      <c r="AC83" s="130"/>
    </row>
    <row r="84" spans="1:29" s="2" customFormat="1" ht="21.95" customHeight="1">
      <c r="A84" s="160">
        <v>300384</v>
      </c>
      <c r="B84" s="153" t="s">
        <v>87</v>
      </c>
      <c r="C84" s="248" t="s">
        <v>100</v>
      </c>
      <c r="D84" s="248" t="s">
        <v>101</v>
      </c>
      <c r="E84" s="166" t="s">
        <v>35</v>
      </c>
      <c r="F84" s="165"/>
      <c r="G84" s="110"/>
      <c r="H84" s="110"/>
      <c r="I84" s="110"/>
      <c r="J84" s="110"/>
      <c r="K84" s="164">
        <f t="shared" si="7"/>
        <v>0</v>
      </c>
      <c r="L84" s="164">
        <f t="shared" si="8"/>
        <v>0</v>
      </c>
      <c r="M84" s="164">
        <v>415.5</v>
      </c>
      <c r="N84" s="15">
        <f>+M84*1000/(51*1*110*60)*T84</f>
        <v>8.6408199643493759</v>
      </c>
      <c r="O84" s="164"/>
      <c r="P84" s="164">
        <f t="shared" si="9"/>
        <v>0</v>
      </c>
      <c r="Q84" s="164"/>
      <c r="R84" s="19">
        <f t="shared" si="10"/>
        <v>0</v>
      </c>
      <c r="S84" s="164">
        <f t="shared" si="11"/>
        <v>0</v>
      </c>
      <c r="T84" s="20">
        <v>7</v>
      </c>
      <c r="U84" s="20"/>
      <c r="V84" s="161" t="str">
        <f t="array" ref="V84">IF(ISERROR(L84/K84),"",L84/K84)</f>
        <v/>
      </c>
      <c r="W84" s="20"/>
      <c r="X84" s="20"/>
      <c r="Y84" s="20"/>
      <c r="Z84" s="20"/>
      <c r="AA84" s="20"/>
      <c r="AB84" s="20"/>
      <c r="AC84" s="20"/>
    </row>
    <row r="85" spans="1:29" s="2" customFormat="1" ht="21.95" customHeight="1">
      <c r="A85" s="160">
        <v>300383</v>
      </c>
      <c r="B85" s="153" t="s">
        <v>87</v>
      </c>
      <c r="C85" s="248" t="s">
        <v>100</v>
      </c>
      <c r="D85" s="248" t="s">
        <v>102</v>
      </c>
      <c r="E85" s="166" t="s">
        <v>41</v>
      </c>
      <c r="F85" s="165"/>
      <c r="G85" s="110"/>
      <c r="H85" s="110"/>
      <c r="I85" s="110"/>
      <c r="J85" s="110"/>
      <c r="K85" s="164">
        <f t="shared" si="7"/>
        <v>0</v>
      </c>
      <c r="L85" s="164">
        <f t="shared" si="8"/>
        <v>0</v>
      </c>
      <c r="M85" s="164">
        <v>415.5</v>
      </c>
      <c r="N85" s="15">
        <f>+M85*1000/(51*1*110*60)*T85</f>
        <v>8.6408199643493759</v>
      </c>
      <c r="O85" s="164"/>
      <c r="P85" s="164">
        <f t="shared" si="9"/>
        <v>0</v>
      </c>
      <c r="Q85" s="164"/>
      <c r="R85" s="19">
        <f t="shared" si="10"/>
        <v>0</v>
      </c>
      <c r="S85" s="164">
        <f t="shared" si="11"/>
        <v>0</v>
      </c>
      <c r="T85" s="20">
        <v>7</v>
      </c>
      <c r="U85" s="20"/>
      <c r="V85" s="161"/>
      <c r="W85" s="20"/>
      <c r="X85" s="20"/>
      <c r="Y85" s="20"/>
      <c r="Z85" s="20"/>
      <c r="AA85" s="20"/>
      <c r="AB85" s="20"/>
      <c r="AC85" s="20"/>
    </row>
    <row r="86" spans="1:29" s="2" customFormat="1" ht="21.95" customHeight="1">
      <c r="A86" s="160">
        <v>300386</v>
      </c>
      <c r="B86" s="153" t="s">
        <v>87</v>
      </c>
      <c r="C86" s="248" t="s">
        <v>100</v>
      </c>
      <c r="D86" s="248" t="s">
        <v>103</v>
      </c>
      <c r="E86" s="166" t="s">
        <v>66</v>
      </c>
      <c r="F86" s="165"/>
      <c r="G86" s="110"/>
      <c r="H86" s="110"/>
      <c r="I86" s="110"/>
      <c r="J86" s="110"/>
      <c r="K86" s="164">
        <f t="shared" si="7"/>
        <v>0</v>
      </c>
      <c r="L86" s="164">
        <f t="shared" si="8"/>
        <v>0</v>
      </c>
      <c r="M86" s="164">
        <v>415.5</v>
      </c>
      <c r="N86" s="15">
        <f>+M86*1000/(51*1*110*60)*T86</f>
        <v>8.6408199643493759</v>
      </c>
      <c r="O86" s="164"/>
      <c r="P86" s="164">
        <f t="shared" si="9"/>
        <v>0</v>
      </c>
      <c r="Q86" s="164"/>
      <c r="R86" s="19">
        <f t="shared" si="10"/>
        <v>0</v>
      </c>
      <c r="S86" s="164">
        <f t="shared" si="11"/>
        <v>0</v>
      </c>
      <c r="T86" s="20">
        <v>7</v>
      </c>
      <c r="U86" s="20"/>
      <c r="V86" s="161"/>
      <c r="W86" s="20"/>
      <c r="X86" s="20"/>
      <c r="Y86" s="20"/>
      <c r="Z86" s="20"/>
      <c r="AA86" s="20"/>
      <c r="AB86" s="20"/>
      <c r="AC86" s="20"/>
    </row>
    <row r="87" spans="1:29" s="2" customFormat="1" ht="21.95" customHeight="1">
      <c r="A87" s="160">
        <v>300385</v>
      </c>
      <c r="B87" s="153" t="s">
        <v>87</v>
      </c>
      <c r="C87" s="248" t="s">
        <v>100</v>
      </c>
      <c r="D87" s="248" t="s">
        <v>104</v>
      </c>
      <c r="E87" s="166" t="s">
        <v>105</v>
      </c>
      <c r="F87" s="165"/>
      <c r="G87" s="110"/>
      <c r="H87" s="110"/>
      <c r="I87" s="110"/>
      <c r="J87" s="110"/>
      <c r="K87" s="164">
        <f t="shared" si="7"/>
        <v>0</v>
      </c>
      <c r="L87" s="164">
        <f t="shared" si="8"/>
        <v>0</v>
      </c>
      <c r="M87" s="164">
        <v>415.5</v>
      </c>
      <c r="N87" s="15">
        <f>+M87*1000/(51*1*110*60)*T87</f>
        <v>8.6408199643493759</v>
      </c>
      <c r="O87" s="164"/>
      <c r="P87" s="164">
        <f t="shared" si="9"/>
        <v>0</v>
      </c>
      <c r="Q87" s="164"/>
      <c r="R87" s="19">
        <f t="shared" si="10"/>
        <v>0</v>
      </c>
      <c r="S87" s="164">
        <f t="shared" si="11"/>
        <v>0</v>
      </c>
      <c r="T87" s="20">
        <v>7</v>
      </c>
      <c r="U87" s="20"/>
      <c r="V87" s="161"/>
      <c r="W87" s="20"/>
      <c r="X87" s="20"/>
      <c r="Y87" s="20"/>
      <c r="Z87" s="20"/>
      <c r="AA87" s="20"/>
      <c r="AB87" s="20"/>
      <c r="AC87" s="20"/>
    </row>
    <row r="88" spans="1:29" ht="21.95" customHeight="1">
      <c r="A88" s="160">
        <v>300352</v>
      </c>
      <c r="B88" s="153" t="s">
        <v>87</v>
      </c>
      <c r="C88" s="248" t="s">
        <v>106</v>
      </c>
      <c r="D88" s="248" t="s">
        <v>101</v>
      </c>
      <c r="E88" s="166" t="s">
        <v>35</v>
      </c>
      <c r="F88" s="13"/>
      <c r="G88" s="110"/>
      <c r="H88" s="110"/>
      <c r="I88" s="110"/>
      <c r="J88" s="110"/>
      <c r="K88" s="164">
        <f t="shared" si="7"/>
        <v>0</v>
      </c>
      <c r="L88" s="164">
        <f t="shared" si="8"/>
        <v>0</v>
      </c>
      <c r="M88" s="164">
        <v>515.9</v>
      </c>
      <c r="N88" s="164">
        <f>+M88*1000/(80*1*110*60)*T88</f>
        <v>6.8395833333333336</v>
      </c>
      <c r="O88" s="164"/>
      <c r="P88" s="164">
        <f t="shared" si="9"/>
        <v>0</v>
      </c>
      <c r="Q88" s="164"/>
      <c r="R88" s="19">
        <f t="shared" si="10"/>
        <v>0</v>
      </c>
      <c r="S88" s="164">
        <f t="shared" si="11"/>
        <v>0</v>
      </c>
      <c r="T88" s="20">
        <v>7</v>
      </c>
      <c r="U88" s="20"/>
      <c r="V88" s="161" t="str">
        <f t="array" ref="V88">IF(ISERROR(L88/K88),"",L88/K88)</f>
        <v/>
      </c>
      <c r="W88" s="20"/>
      <c r="X88" s="20"/>
      <c r="Y88" s="20"/>
      <c r="Z88" s="20"/>
      <c r="AA88" s="20"/>
      <c r="AB88" s="20"/>
      <c r="AC88" s="20"/>
    </row>
    <row r="89" spans="1:29" ht="21.95" customHeight="1">
      <c r="A89" s="160">
        <v>300353</v>
      </c>
      <c r="B89" s="153" t="s">
        <v>87</v>
      </c>
      <c r="C89" s="248" t="s">
        <v>106</v>
      </c>
      <c r="D89" s="248" t="s">
        <v>101</v>
      </c>
      <c r="E89" s="166" t="s">
        <v>105</v>
      </c>
      <c r="F89" s="13"/>
      <c r="G89" s="110"/>
      <c r="H89" s="110"/>
      <c r="I89" s="110"/>
      <c r="J89" s="110"/>
      <c r="K89" s="164">
        <f t="shared" si="7"/>
        <v>0</v>
      </c>
      <c r="L89" s="164">
        <f t="shared" si="8"/>
        <v>0</v>
      </c>
      <c r="M89" s="164">
        <v>515.9</v>
      </c>
      <c r="N89" s="164">
        <f>+M89*1000/(80*1*110*60)*T89</f>
        <v>6.8395833333333336</v>
      </c>
      <c r="O89" s="164"/>
      <c r="P89" s="164">
        <f t="shared" si="9"/>
        <v>0</v>
      </c>
      <c r="Q89" s="164"/>
      <c r="R89" s="19">
        <f t="shared" si="10"/>
        <v>0</v>
      </c>
      <c r="S89" s="164">
        <f t="shared" si="11"/>
        <v>0</v>
      </c>
      <c r="T89" s="20">
        <v>7</v>
      </c>
      <c r="U89" s="20"/>
      <c r="V89" s="161" t="str">
        <f t="array" ref="V89">IF(ISERROR(L89/K89),"",L89/K89)</f>
        <v/>
      </c>
      <c r="W89" s="20"/>
      <c r="X89" s="20"/>
      <c r="Y89" s="20"/>
      <c r="Z89" s="20"/>
      <c r="AA89" s="20"/>
      <c r="AB89" s="20"/>
      <c r="AC89" s="20"/>
    </row>
    <row r="90" spans="1:29" ht="21.95" customHeight="1">
      <c r="A90" s="160">
        <v>300351</v>
      </c>
      <c r="B90" s="153" t="s">
        <v>87</v>
      </c>
      <c r="C90" s="248" t="s">
        <v>106</v>
      </c>
      <c r="D90" s="248" t="s">
        <v>101</v>
      </c>
      <c r="E90" s="166" t="s">
        <v>41</v>
      </c>
      <c r="F90" s="13"/>
      <c r="G90" s="110"/>
      <c r="H90" s="110"/>
      <c r="I90" s="110"/>
      <c r="J90" s="110"/>
      <c r="K90" s="164">
        <f t="shared" si="7"/>
        <v>0</v>
      </c>
      <c r="L90" s="164">
        <f t="shared" si="8"/>
        <v>0</v>
      </c>
      <c r="M90" s="164">
        <v>515.9</v>
      </c>
      <c r="N90" s="164">
        <f>+M90*1000/(80*1*110*60)*T90</f>
        <v>6.8395833333333336</v>
      </c>
      <c r="O90" s="164"/>
      <c r="P90" s="164">
        <f t="shared" si="9"/>
        <v>0</v>
      </c>
      <c r="Q90" s="164"/>
      <c r="R90" s="19">
        <f t="shared" si="10"/>
        <v>0</v>
      </c>
      <c r="S90" s="164">
        <f t="shared" si="11"/>
        <v>0</v>
      </c>
      <c r="T90" s="20">
        <v>7</v>
      </c>
      <c r="U90" s="20"/>
      <c r="V90" s="161" t="str">
        <f t="array" ref="V90">IF(ISERROR(L90/K90),"",L90/K90)</f>
        <v/>
      </c>
      <c r="W90" s="20"/>
      <c r="X90" s="20"/>
      <c r="Y90" s="20"/>
      <c r="Z90" s="20"/>
      <c r="AA90" s="20"/>
      <c r="AB90" s="20"/>
      <c r="AC90" s="20"/>
    </row>
    <row r="91" spans="1:29" ht="21.95" customHeight="1">
      <c r="A91" s="160">
        <v>300354</v>
      </c>
      <c r="B91" s="153" t="s">
        <v>87</v>
      </c>
      <c r="C91" s="248" t="s">
        <v>106</v>
      </c>
      <c r="D91" s="248" t="s">
        <v>101</v>
      </c>
      <c r="E91" s="166" t="s">
        <v>66</v>
      </c>
      <c r="F91" s="13"/>
      <c r="G91" s="110"/>
      <c r="H91" s="110"/>
      <c r="I91" s="110"/>
      <c r="J91" s="110"/>
      <c r="K91" s="164">
        <f t="shared" si="7"/>
        <v>0</v>
      </c>
      <c r="L91" s="164">
        <f t="shared" si="8"/>
        <v>0</v>
      </c>
      <c r="M91" s="164">
        <v>515.9</v>
      </c>
      <c r="N91" s="164">
        <f>+M91*1000/(80*1*110*60)*T91</f>
        <v>6.8395833333333336</v>
      </c>
      <c r="O91" s="164"/>
      <c r="P91" s="164">
        <f t="shared" si="9"/>
        <v>0</v>
      </c>
      <c r="Q91" s="164"/>
      <c r="R91" s="19">
        <f t="shared" si="10"/>
        <v>0</v>
      </c>
      <c r="S91" s="164">
        <f t="shared" si="11"/>
        <v>0</v>
      </c>
      <c r="T91" s="20">
        <v>7</v>
      </c>
      <c r="U91" s="20"/>
      <c r="V91" s="161" t="str">
        <f t="array" ref="V91">IF(ISERROR(L91/K91),"",L91/K91)</f>
        <v/>
      </c>
      <c r="W91" s="20"/>
      <c r="X91" s="20"/>
      <c r="Y91" s="20"/>
      <c r="Z91" s="20"/>
      <c r="AA91" s="20"/>
      <c r="AB91" s="20"/>
      <c r="AC91" s="20"/>
    </row>
    <row r="92" spans="1:29" ht="21.95" customHeight="1">
      <c r="A92" s="160">
        <v>300250</v>
      </c>
      <c r="B92" s="153" t="s">
        <v>87</v>
      </c>
      <c r="C92" s="248" t="s">
        <v>107</v>
      </c>
      <c r="D92" s="248" t="s">
        <v>101</v>
      </c>
      <c r="E92" s="166" t="s">
        <v>35</v>
      </c>
      <c r="F92" s="13"/>
      <c r="G92" s="110"/>
      <c r="H92" s="110"/>
      <c r="I92" s="110"/>
      <c r="J92" s="110"/>
      <c r="K92" s="164">
        <f t="shared" si="7"/>
        <v>0</v>
      </c>
      <c r="L92" s="164">
        <f t="shared" si="8"/>
        <v>0</v>
      </c>
      <c r="M92" s="164">
        <v>412.5</v>
      </c>
      <c r="N92" s="164">
        <f>+M92*1000/(84*1*110*60)*T92</f>
        <v>5.2083333333333339</v>
      </c>
      <c r="O92" s="164"/>
      <c r="P92" s="164">
        <f t="shared" si="9"/>
        <v>0</v>
      </c>
      <c r="Q92" s="164"/>
      <c r="R92" s="19">
        <f t="shared" si="10"/>
        <v>0</v>
      </c>
      <c r="S92" s="164">
        <f t="shared" si="11"/>
        <v>0</v>
      </c>
      <c r="T92" s="20">
        <v>7</v>
      </c>
      <c r="U92" s="20"/>
      <c r="V92" s="161" t="str">
        <f t="array" ref="V92">IF(ISERROR(L92/K92),"",L92/K92)</f>
        <v/>
      </c>
      <c r="W92" s="20"/>
      <c r="X92" s="20"/>
      <c r="Y92" s="20"/>
      <c r="Z92" s="20"/>
      <c r="AA92" s="20"/>
      <c r="AB92" s="20"/>
      <c r="AC92" s="20"/>
    </row>
    <row r="93" spans="1:29" ht="21.95" customHeight="1">
      <c r="A93" s="160">
        <v>300251</v>
      </c>
      <c r="B93" s="153" t="s">
        <v>87</v>
      </c>
      <c r="C93" s="248" t="s">
        <v>107</v>
      </c>
      <c r="D93" s="248" t="s">
        <v>101</v>
      </c>
      <c r="E93" s="166" t="s">
        <v>105</v>
      </c>
      <c r="F93" s="13"/>
      <c r="G93" s="110"/>
      <c r="H93" s="110"/>
      <c r="I93" s="110"/>
      <c r="J93" s="110"/>
      <c r="K93" s="164">
        <f t="shared" si="7"/>
        <v>0</v>
      </c>
      <c r="L93" s="164">
        <f t="shared" si="8"/>
        <v>0</v>
      </c>
      <c r="M93" s="164">
        <v>412.5</v>
      </c>
      <c r="N93" s="164">
        <f>+M93*1000/(84*1*110*60)*T93</f>
        <v>5.2083333333333339</v>
      </c>
      <c r="O93" s="164"/>
      <c r="P93" s="164">
        <f t="shared" si="9"/>
        <v>0</v>
      </c>
      <c r="Q93" s="164"/>
      <c r="R93" s="19">
        <f t="shared" si="10"/>
        <v>0</v>
      </c>
      <c r="S93" s="164">
        <f t="shared" si="11"/>
        <v>0</v>
      </c>
      <c r="T93" s="20">
        <v>7</v>
      </c>
      <c r="U93" s="20"/>
      <c r="V93" s="161" t="str">
        <f t="array" ref="V93">IF(ISERROR(L93/K93),"",L93/K93)</f>
        <v/>
      </c>
      <c r="W93" s="20"/>
      <c r="X93" s="20"/>
      <c r="Y93" s="20"/>
      <c r="Z93" s="20"/>
      <c r="AA93" s="20"/>
      <c r="AB93" s="20"/>
      <c r="AC93" s="20"/>
    </row>
    <row r="94" spans="1:29" ht="21.95" customHeight="1">
      <c r="A94" s="160">
        <v>300254</v>
      </c>
      <c r="B94" s="153" t="s">
        <v>87</v>
      </c>
      <c r="C94" s="248" t="s">
        <v>107</v>
      </c>
      <c r="D94" s="248" t="s">
        <v>101</v>
      </c>
      <c r="E94" s="166" t="s">
        <v>41</v>
      </c>
      <c r="F94" s="13"/>
      <c r="G94" s="110"/>
      <c r="H94" s="110"/>
      <c r="I94" s="110"/>
      <c r="J94" s="110"/>
      <c r="K94" s="164">
        <f t="shared" si="7"/>
        <v>0</v>
      </c>
      <c r="L94" s="164">
        <f t="shared" si="8"/>
        <v>0</v>
      </c>
      <c r="M94" s="164">
        <v>412.5</v>
      </c>
      <c r="N94" s="164">
        <f>+M94*1000/(84*1*110*60)*T94</f>
        <v>5.2083333333333339</v>
      </c>
      <c r="O94" s="164"/>
      <c r="P94" s="164">
        <f t="shared" si="9"/>
        <v>0</v>
      </c>
      <c r="Q94" s="164"/>
      <c r="R94" s="19">
        <f t="shared" si="10"/>
        <v>0</v>
      </c>
      <c r="S94" s="164">
        <f t="shared" si="11"/>
        <v>0</v>
      </c>
      <c r="T94" s="20">
        <v>7</v>
      </c>
      <c r="U94" s="20"/>
      <c r="V94" s="161" t="str">
        <f t="array" ref="V94">IF(ISERROR(L94/K94),"",L94/K94)</f>
        <v/>
      </c>
      <c r="W94" s="20"/>
      <c r="X94" s="20"/>
      <c r="Y94" s="20"/>
      <c r="Z94" s="20"/>
      <c r="AA94" s="20"/>
      <c r="AB94" s="20"/>
      <c r="AC94" s="20"/>
    </row>
    <row r="95" spans="1:29" ht="21.95" customHeight="1">
      <c r="A95" s="160">
        <v>300253</v>
      </c>
      <c r="B95" s="153" t="s">
        <v>87</v>
      </c>
      <c r="C95" s="248" t="s">
        <v>107</v>
      </c>
      <c r="D95" s="248" t="s">
        <v>101</v>
      </c>
      <c r="E95" s="166" t="s">
        <v>66</v>
      </c>
      <c r="F95" s="13"/>
      <c r="G95" s="110"/>
      <c r="H95" s="110"/>
      <c r="I95" s="110"/>
      <c r="J95" s="110"/>
      <c r="K95" s="164">
        <f t="shared" si="7"/>
        <v>0</v>
      </c>
      <c r="L95" s="164">
        <f t="shared" si="8"/>
        <v>0</v>
      </c>
      <c r="M95" s="164">
        <v>412.5</v>
      </c>
      <c r="N95" s="164">
        <f>+M95*1000/(84*1*110*60)*T95</f>
        <v>5.2083333333333339</v>
      </c>
      <c r="O95" s="164"/>
      <c r="P95" s="164">
        <f t="shared" si="9"/>
        <v>0</v>
      </c>
      <c r="Q95" s="164"/>
      <c r="R95" s="19">
        <f t="shared" si="10"/>
        <v>0</v>
      </c>
      <c r="S95" s="164">
        <f t="shared" si="11"/>
        <v>0</v>
      </c>
      <c r="T95" s="20">
        <v>7</v>
      </c>
      <c r="U95" s="20"/>
      <c r="V95" s="161" t="str">
        <f t="array" ref="V95">IF(ISERROR(L95/K95),"",L95/K95)</f>
        <v/>
      </c>
      <c r="W95" s="20"/>
      <c r="X95" s="20"/>
      <c r="Y95" s="20"/>
      <c r="Z95" s="20"/>
      <c r="AA95" s="20"/>
      <c r="AB95" s="20"/>
      <c r="AC95" s="20"/>
    </row>
    <row r="96" spans="1:29" ht="23.25" customHeight="1">
      <c r="A96" s="160">
        <v>300255</v>
      </c>
      <c r="B96" s="153" t="s">
        <v>87</v>
      </c>
      <c r="C96" s="248" t="s">
        <v>107</v>
      </c>
      <c r="D96" s="248" t="s">
        <v>101</v>
      </c>
      <c r="E96" s="166" t="s">
        <v>108</v>
      </c>
      <c r="F96" s="13"/>
      <c r="G96" s="110"/>
      <c r="H96" s="110"/>
      <c r="I96" s="110"/>
      <c r="J96" s="110"/>
      <c r="K96" s="164">
        <f t="shared" si="7"/>
        <v>0</v>
      </c>
      <c r="L96" s="164">
        <f t="shared" si="8"/>
        <v>0</v>
      </c>
      <c r="M96" s="164">
        <v>412.5</v>
      </c>
      <c r="N96" s="164">
        <f>+M96*1000/(84*1*110*60)*T96</f>
        <v>5.2083333333333339</v>
      </c>
      <c r="O96" s="164"/>
      <c r="P96" s="164">
        <f t="shared" si="9"/>
        <v>0</v>
      </c>
      <c r="Q96" s="164"/>
      <c r="R96" s="19">
        <f t="shared" si="10"/>
        <v>0</v>
      </c>
      <c r="S96" s="164">
        <f t="shared" si="11"/>
        <v>0</v>
      </c>
      <c r="T96" s="20">
        <v>7</v>
      </c>
      <c r="U96" s="20"/>
      <c r="V96" s="161" t="str">
        <f t="array" ref="V96">IF(ISERROR(L96/K96),"",L96/K96)</f>
        <v/>
      </c>
      <c r="W96" s="20"/>
      <c r="X96" s="20"/>
      <c r="Y96" s="20"/>
      <c r="Z96" s="20"/>
      <c r="AA96" s="20"/>
      <c r="AB96" s="20"/>
      <c r="AC96" s="20"/>
    </row>
    <row r="97" spans="1:29" s="4" customFormat="1" ht="23.25" customHeight="1">
      <c r="A97" s="23">
        <v>300392</v>
      </c>
      <c r="B97" s="124" t="s">
        <v>87</v>
      </c>
      <c r="C97" s="262" t="s">
        <v>109</v>
      </c>
      <c r="D97" s="263"/>
      <c r="E97" s="24" t="s">
        <v>105</v>
      </c>
      <c r="F97" s="26"/>
      <c r="G97" s="111"/>
      <c r="H97" s="111"/>
      <c r="I97" s="111"/>
      <c r="J97" s="111"/>
      <c r="K97" s="28">
        <f t="shared" si="7"/>
        <v>0</v>
      </c>
      <c r="L97" s="28">
        <f t="shared" si="8"/>
        <v>0</v>
      </c>
      <c r="M97" s="28">
        <v>523</v>
      </c>
      <c r="N97" s="28">
        <f>+M97*1000/(98*1*80*60)*T97</f>
        <v>7.7827380952380958</v>
      </c>
      <c r="O97" s="28"/>
      <c r="P97" s="28">
        <f t="shared" si="9"/>
        <v>0</v>
      </c>
      <c r="Q97" s="28"/>
      <c r="R97" s="29">
        <f t="shared" si="10"/>
        <v>0</v>
      </c>
      <c r="S97" s="28">
        <f t="shared" si="11"/>
        <v>0</v>
      </c>
      <c r="T97" s="30">
        <v>7</v>
      </c>
      <c r="U97" s="30"/>
      <c r="V97" s="112" t="str">
        <f t="array" ref="V97">IF(ISERROR(L97/K97),"",L97/K97)</f>
        <v/>
      </c>
      <c r="W97" s="30"/>
      <c r="X97" s="30"/>
      <c r="Y97" s="30"/>
      <c r="Z97" s="30"/>
      <c r="AA97" s="30"/>
      <c r="AB97" s="30"/>
      <c r="AC97" s="30"/>
    </row>
    <row r="98" spans="1:29" ht="21.95" customHeight="1">
      <c r="A98" s="160">
        <v>300088</v>
      </c>
      <c r="B98" s="153" t="s">
        <v>87</v>
      </c>
      <c r="C98" s="248" t="s">
        <v>318</v>
      </c>
      <c r="D98" s="248" t="s">
        <v>96</v>
      </c>
      <c r="E98" s="166" t="s">
        <v>39</v>
      </c>
      <c r="F98" s="13"/>
      <c r="G98" s="110"/>
      <c r="H98" s="110"/>
      <c r="I98" s="110"/>
      <c r="J98" s="110"/>
      <c r="K98" s="164">
        <f t="shared" si="7"/>
        <v>0</v>
      </c>
      <c r="L98" s="164">
        <f t="shared" si="8"/>
        <v>0</v>
      </c>
      <c r="M98" s="164">
        <v>617.79999999999995</v>
      </c>
      <c r="N98" s="164">
        <f>+M98*1000/(123*1*80*60)*T98</f>
        <v>3.1392276422764223</v>
      </c>
      <c r="O98" s="164"/>
      <c r="P98" s="164">
        <f t="shared" si="9"/>
        <v>0</v>
      </c>
      <c r="Q98" s="164"/>
      <c r="R98" s="19">
        <f t="shared" si="10"/>
        <v>0</v>
      </c>
      <c r="S98" s="164">
        <f t="shared" si="11"/>
        <v>0</v>
      </c>
      <c r="T98" s="20">
        <v>3</v>
      </c>
      <c r="U98" s="20"/>
      <c r="V98" s="161" t="str">
        <f t="array" ref="V98">IF(ISERROR(L98/K98),"",L98/K98)</f>
        <v/>
      </c>
      <c r="W98" s="20"/>
      <c r="X98" s="20"/>
      <c r="Y98" s="20"/>
      <c r="Z98" s="20"/>
      <c r="AA98" s="20"/>
      <c r="AB98" s="20"/>
      <c r="AC98" s="20"/>
    </row>
    <row r="99" spans="1:29" ht="21.95" customHeight="1">
      <c r="A99" s="160">
        <v>300089</v>
      </c>
      <c r="B99" s="153" t="s">
        <v>87</v>
      </c>
      <c r="C99" s="248" t="s">
        <v>318</v>
      </c>
      <c r="D99" s="248" t="s">
        <v>96</v>
      </c>
      <c r="E99" s="166" t="s">
        <v>42</v>
      </c>
      <c r="F99" s="13"/>
      <c r="G99" s="110"/>
      <c r="H99" s="110"/>
      <c r="I99" s="110"/>
      <c r="J99" s="110"/>
      <c r="K99" s="164">
        <f t="shared" si="7"/>
        <v>0</v>
      </c>
      <c r="L99" s="164">
        <f t="shared" si="8"/>
        <v>0</v>
      </c>
      <c r="M99" s="164">
        <v>618.6</v>
      </c>
      <c r="N99" s="164">
        <f>+M99*1000/(124*1*80*60)*T99</f>
        <v>3.117943548387097</v>
      </c>
      <c r="O99" s="164"/>
      <c r="P99" s="164">
        <f t="shared" si="9"/>
        <v>0</v>
      </c>
      <c r="Q99" s="164"/>
      <c r="R99" s="19">
        <f t="shared" si="10"/>
        <v>0</v>
      </c>
      <c r="S99" s="164">
        <f t="shared" si="11"/>
        <v>0</v>
      </c>
      <c r="T99" s="20">
        <v>3</v>
      </c>
      <c r="U99" s="20"/>
      <c r="V99" s="161" t="str">
        <f t="array" ref="V99">IF(ISERROR(L99/K99),"",L99/K99)</f>
        <v/>
      </c>
      <c r="W99" s="20"/>
      <c r="X99" s="20"/>
      <c r="Y99" s="20"/>
      <c r="Z99" s="20"/>
      <c r="AA99" s="20"/>
      <c r="AB99" s="20"/>
      <c r="AC99" s="20"/>
    </row>
    <row r="100" spans="1:29" ht="22.5" customHeight="1">
      <c r="A100" s="160">
        <v>300128</v>
      </c>
      <c r="B100" s="153" t="s">
        <v>87</v>
      </c>
      <c r="C100" s="248" t="s">
        <v>112</v>
      </c>
      <c r="D100" s="248" t="s">
        <v>113</v>
      </c>
      <c r="E100" s="166" t="s">
        <v>35</v>
      </c>
      <c r="F100" s="13"/>
      <c r="G100" s="110"/>
      <c r="H100" s="110"/>
      <c r="I100" s="110"/>
      <c r="J100" s="110"/>
      <c r="K100" s="164">
        <f t="shared" si="7"/>
        <v>0</v>
      </c>
      <c r="L100" s="164">
        <f t="shared" si="8"/>
        <v>0</v>
      </c>
      <c r="M100" s="164">
        <v>621.29999999999995</v>
      </c>
      <c r="N100" s="164">
        <f t="shared" ref="N100:N105" si="12">+M100*1000/(130.5*1*80*60)*T100</f>
        <v>3.9674329501915708</v>
      </c>
      <c r="O100" s="164"/>
      <c r="P100" s="164">
        <f t="shared" si="9"/>
        <v>0</v>
      </c>
      <c r="Q100" s="164"/>
      <c r="R100" s="19">
        <f t="shared" si="10"/>
        <v>0</v>
      </c>
      <c r="S100" s="164">
        <f t="shared" si="11"/>
        <v>0</v>
      </c>
      <c r="T100" s="20">
        <v>4</v>
      </c>
      <c r="U100" s="20"/>
      <c r="V100" s="161" t="str">
        <f t="array" ref="V100">IF(ISERROR(L100/K100),"",L100/K100)</f>
        <v/>
      </c>
      <c r="W100" s="20"/>
      <c r="X100" s="20"/>
      <c r="Y100" s="20"/>
      <c r="Z100" s="20"/>
      <c r="AA100" s="20"/>
      <c r="AB100" s="20"/>
      <c r="AC100" s="20"/>
    </row>
    <row r="101" spans="1:29" ht="21.95" customHeight="1">
      <c r="A101" s="160">
        <v>300129</v>
      </c>
      <c r="B101" s="153" t="s">
        <v>87</v>
      </c>
      <c r="C101" s="248" t="s">
        <v>112</v>
      </c>
      <c r="D101" s="248" t="s">
        <v>113</v>
      </c>
      <c r="E101" s="166" t="s">
        <v>41</v>
      </c>
      <c r="F101" s="13"/>
      <c r="G101" s="110"/>
      <c r="H101" s="110"/>
      <c r="I101" s="110"/>
      <c r="J101" s="110"/>
      <c r="K101" s="164">
        <f t="shared" si="7"/>
        <v>0</v>
      </c>
      <c r="L101" s="164">
        <f t="shared" si="8"/>
        <v>0</v>
      </c>
      <c r="M101" s="164">
        <v>621.29999999999995</v>
      </c>
      <c r="N101" s="164">
        <f t="shared" si="12"/>
        <v>3.9674329501915708</v>
      </c>
      <c r="O101" s="164"/>
      <c r="P101" s="164">
        <f t="shared" si="9"/>
        <v>0</v>
      </c>
      <c r="Q101" s="164"/>
      <c r="R101" s="19">
        <f t="shared" si="10"/>
        <v>0</v>
      </c>
      <c r="S101" s="164">
        <f t="shared" si="11"/>
        <v>0</v>
      </c>
      <c r="T101" s="20">
        <v>4</v>
      </c>
      <c r="U101" s="20"/>
      <c r="V101" s="161" t="str">
        <f t="array" ref="V101">IF(ISERROR(L101/K101),"",L101/K101)</f>
        <v/>
      </c>
      <c r="W101" s="20"/>
      <c r="X101" s="20"/>
      <c r="Y101" s="20"/>
      <c r="Z101" s="20"/>
      <c r="AA101" s="20"/>
      <c r="AB101" s="20"/>
      <c r="AC101" s="20"/>
    </row>
    <row r="102" spans="1:29" ht="21.95" customHeight="1">
      <c r="A102" s="160">
        <v>300130</v>
      </c>
      <c r="B102" s="153" t="s">
        <v>87</v>
      </c>
      <c r="C102" s="248" t="s">
        <v>112</v>
      </c>
      <c r="D102" s="248" t="s">
        <v>113</v>
      </c>
      <c r="E102" s="166" t="s">
        <v>37</v>
      </c>
      <c r="F102" s="13"/>
      <c r="G102" s="110"/>
      <c r="H102" s="110"/>
      <c r="I102" s="110"/>
      <c r="J102" s="110"/>
      <c r="K102" s="164">
        <f t="shared" si="7"/>
        <v>0</v>
      </c>
      <c r="L102" s="164">
        <f t="shared" si="8"/>
        <v>0</v>
      </c>
      <c r="M102" s="164">
        <v>621.29999999999995</v>
      </c>
      <c r="N102" s="164">
        <f t="shared" si="12"/>
        <v>3.9674329501915708</v>
      </c>
      <c r="O102" s="164"/>
      <c r="P102" s="164">
        <f t="shared" si="9"/>
        <v>0</v>
      </c>
      <c r="Q102" s="164"/>
      <c r="R102" s="19">
        <f t="shared" si="10"/>
        <v>0</v>
      </c>
      <c r="S102" s="164">
        <f t="shared" si="11"/>
        <v>0</v>
      </c>
      <c r="T102" s="20">
        <v>4</v>
      </c>
      <c r="U102" s="20"/>
      <c r="V102" s="161" t="str">
        <f t="array" ref="V102">IF(ISERROR(L102/K102),"",L102/K102)</f>
        <v/>
      </c>
      <c r="W102" s="20"/>
      <c r="X102" s="20"/>
      <c r="Y102" s="20"/>
      <c r="Z102" s="20"/>
      <c r="AA102" s="20"/>
      <c r="AB102" s="20"/>
      <c r="AC102" s="20"/>
    </row>
    <row r="103" spans="1:29" ht="21.95" customHeight="1">
      <c r="A103" s="160">
        <v>300423</v>
      </c>
      <c r="B103" s="153" t="s">
        <v>300</v>
      </c>
      <c r="C103" s="259" t="s">
        <v>296</v>
      </c>
      <c r="D103" s="260"/>
      <c r="E103" s="166" t="s">
        <v>297</v>
      </c>
      <c r="F103" s="13"/>
      <c r="G103" s="110"/>
      <c r="H103" s="110"/>
      <c r="I103" s="110"/>
      <c r="J103" s="110"/>
      <c r="K103" s="164">
        <f t="shared" si="7"/>
        <v>0</v>
      </c>
      <c r="L103" s="164">
        <f t="shared" si="8"/>
        <v>0</v>
      </c>
      <c r="M103" s="164">
        <v>524.1</v>
      </c>
      <c r="N103" s="164">
        <f t="shared" si="12"/>
        <v>3.3467432950191571</v>
      </c>
      <c r="O103" s="164"/>
      <c r="P103" s="164">
        <f t="shared" si="9"/>
        <v>0</v>
      </c>
      <c r="Q103" s="164"/>
      <c r="R103" s="19">
        <f t="shared" si="10"/>
        <v>0</v>
      </c>
      <c r="S103" s="164">
        <f t="shared" si="11"/>
        <v>0</v>
      </c>
      <c r="T103" s="20">
        <v>4</v>
      </c>
      <c r="U103" s="20"/>
      <c r="V103" s="161"/>
      <c r="W103" s="20"/>
      <c r="X103" s="20"/>
      <c r="Y103" s="20"/>
      <c r="Z103" s="20"/>
      <c r="AA103" s="20"/>
      <c r="AB103" s="20"/>
      <c r="AC103" s="20"/>
    </row>
    <row r="104" spans="1:29" ht="21.95" customHeight="1">
      <c r="A104" s="160">
        <v>300424</v>
      </c>
      <c r="B104" s="153" t="s">
        <v>300</v>
      </c>
      <c r="C104" s="259" t="s">
        <v>296</v>
      </c>
      <c r="D104" s="260"/>
      <c r="E104" s="166" t="s">
        <v>298</v>
      </c>
      <c r="F104" s="13"/>
      <c r="G104" s="110"/>
      <c r="H104" s="110"/>
      <c r="I104" s="110"/>
      <c r="J104" s="110"/>
      <c r="K104" s="164">
        <f t="shared" si="7"/>
        <v>0</v>
      </c>
      <c r="L104" s="164">
        <f t="shared" si="8"/>
        <v>0</v>
      </c>
      <c r="M104" s="164">
        <v>524.1</v>
      </c>
      <c r="N104" s="164">
        <f t="shared" si="12"/>
        <v>3.3467432950191571</v>
      </c>
      <c r="O104" s="164"/>
      <c r="P104" s="164">
        <f t="shared" si="9"/>
        <v>0</v>
      </c>
      <c r="Q104" s="164"/>
      <c r="R104" s="19">
        <f t="shared" si="10"/>
        <v>0</v>
      </c>
      <c r="S104" s="164">
        <f t="shared" si="11"/>
        <v>0</v>
      </c>
      <c r="T104" s="20">
        <v>4</v>
      </c>
      <c r="U104" s="20"/>
      <c r="V104" s="161"/>
      <c r="W104" s="20"/>
      <c r="X104" s="20"/>
      <c r="Y104" s="20"/>
      <c r="Z104" s="20"/>
      <c r="AA104" s="20"/>
      <c r="AB104" s="20"/>
      <c r="AC104" s="20"/>
    </row>
    <row r="105" spans="1:29" ht="21.95" customHeight="1">
      <c r="A105" s="160">
        <v>300425</v>
      </c>
      <c r="B105" s="153" t="s">
        <v>300</v>
      </c>
      <c r="C105" s="259" t="s">
        <v>296</v>
      </c>
      <c r="D105" s="260"/>
      <c r="E105" s="166" t="s">
        <v>299</v>
      </c>
      <c r="F105" s="13"/>
      <c r="G105" s="110"/>
      <c r="H105" s="110"/>
      <c r="I105" s="110"/>
      <c r="J105" s="110"/>
      <c r="K105" s="164">
        <f t="shared" si="7"/>
        <v>0</v>
      </c>
      <c r="L105" s="164">
        <f t="shared" si="8"/>
        <v>0</v>
      </c>
      <c r="M105" s="164">
        <v>524.1</v>
      </c>
      <c r="N105" s="164">
        <f t="shared" si="12"/>
        <v>3.3467432950191571</v>
      </c>
      <c r="O105" s="164"/>
      <c r="P105" s="164">
        <f t="shared" si="9"/>
        <v>0</v>
      </c>
      <c r="Q105" s="164"/>
      <c r="R105" s="19">
        <f t="shared" si="10"/>
        <v>0</v>
      </c>
      <c r="S105" s="164">
        <f t="shared" si="11"/>
        <v>0</v>
      </c>
      <c r="T105" s="20">
        <v>4</v>
      </c>
      <c r="U105" s="20"/>
      <c r="V105" s="161"/>
      <c r="W105" s="20"/>
      <c r="X105" s="20"/>
      <c r="Y105" s="20"/>
      <c r="Z105" s="20"/>
      <c r="AA105" s="20"/>
      <c r="AB105" s="20"/>
      <c r="AC105" s="20"/>
    </row>
    <row r="106" spans="1:29" s="3" customFormat="1" ht="21.95" customHeight="1">
      <c r="A106" s="23">
        <v>300390</v>
      </c>
      <c r="B106" s="153" t="s">
        <v>300</v>
      </c>
      <c r="C106" s="262" t="s">
        <v>114</v>
      </c>
      <c r="D106" s="263"/>
      <c r="E106" s="24" t="s">
        <v>115</v>
      </c>
      <c r="F106" s="25"/>
      <c r="G106" s="111"/>
      <c r="H106" s="111"/>
      <c r="I106" s="111"/>
      <c r="J106" s="111"/>
      <c r="K106" s="28">
        <f t="shared" si="7"/>
        <v>0</v>
      </c>
      <c r="L106" s="28">
        <f t="shared" si="8"/>
        <v>0</v>
      </c>
      <c r="M106" s="28">
        <v>417.4</v>
      </c>
      <c r="N106" s="28">
        <f>+M106*1000/(87*1*80*60)*T106</f>
        <v>3.9980842911877397</v>
      </c>
      <c r="O106" s="28"/>
      <c r="P106" s="28">
        <f t="shared" si="9"/>
        <v>0</v>
      </c>
      <c r="Q106" s="28"/>
      <c r="R106" s="29">
        <f t="shared" si="10"/>
        <v>0</v>
      </c>
      <c r="S106" s="28">
        <f t="shared" si="11"/>
        <v>0</v>
      </c>
      <c r="T106" s="30">
        <v>4</v>
      </c>
      <c r="U106" s="30"/>
      <c r="V106" s="112" t="str">
        <f t="array" ref="V106">IF(ISERROR(L106/K106),"",L106/K106)</f>
        <v/>
      </c>
      <c r="W106" s="30"/>
      <c r="X106" s="30"/>
      <c r="Y106" s="30"/>
      <c r="Z106" s="30"/>
      <c r="AA106" s="30"/>
      <c r="AB106" s="30"/>
      <c r="AC106" s="30"/>
    </row>
    <row r="107" spans="1:29" s="3" customFormat="1" ht="21.95" customHeight="1">
      <c r="A107" s="23">
        <v>300391</v>
      </c>
      <c r="B107" s="153" t="s">
        <v>300</v>
      </c>
      <c r="C107" s="262" t="s">
        <v>114</v>
      </c>
      <c r="D107" s="263"/>
      <c r="E107" s="24" t="s">
        <v>117</v>
      </c>
      <c r="F107" s="25"/>
      <c r="G107" s="111"/>
      <c r="H107" s="111"/>
      <c r="I107" s="111"/>
      <c r="J107" s="111"/>
      <c r="K107" s="28">
        <f t="shared" si="7"/>
        <v>0</v>
      </c>
      <c r="L107" s="28">
        <f t="shared" si="8"/>
        <v>0</v>
      </c>
      <c r="M107" s="28">
        <v>417.4</v>
      </c>
      <c r="N107" s="28">
        <f>+M107*1000/(87*1*80*60)*T107</f>
        <v>3.9980842911877397</v>
      </c>
      <c r="O107" s="28"/>
      <c r="P107" s="28">
        <f t="shared" si="9"/>
        <v>0</v>
      </c>
      <c r="Q107" s="28"/>
      <c r="R107" s="29">
        <f t="shared" si="10"/>
        <v>0</v>
      </c>
      <c r="S107" s="28">
        <f t="shared" si="11"/>
        <v>0</v>
      </c>
      <c r="T107" s="30">
        <v>4</v>
      </c>
      <c r="U107" s="30"/>
      <c r="V107" s="112" t="str">
        <f t="array" ref="V107">IF(ISERROR(L107/K107),"",L107/K107)</f>
        <v/>
      </c>
      <c r="W107" s="30"/>
      <c r="X107" s="30"/>
      <c r="Y107" s="30"/>
      <c r="Z107" s="30"/>
      <c r="AA107" s="30"/>
      <c r="AB107" s="30"/>
      <c r="AC107" s="30"/>
    </row>
    <row r="108" spans="1:29" s="3" customFormat="1" ht="21.95" customHeight="1">
      <c r="A108" s="23">
        <v>300431</v>
      </c>
      <c r="B108" s="153" t="s">
        <v>300</v>
      </c>
      <c r="C108" s="262" t="s">
        <v>305</v>
      </c>
      <c r="D108" s="263"/>
      <c r="E108" s="24" t="s">
        <v>306</v>
      </c>
      <c r="F108" s="25"/>
      <c r="G108" s="111"/>
      <c r="H108" s="111"/>
      <c r="I108" s="111"/>
      <c r="J108" s="111"/>
      <c r="K108" s="28">
        <f t="shared" si="7"/>
        <v>0</v>
      </c>
      <c r="L108" s="28">
        <f t="shared" si="8"/>
        <v>0</v>
      </c>
      <c r="M108" s="28">
        <v>628.79999999999995</v>
      </c>
      <c r="N108" s="28">
        <f>+M108*1000/(87*1*80*60)*T108</f>
        <v>6.0229885057471266</v>
      </c>
      <c r="O108" s="28"/>
      <c r="P108" s="28">
        <f t="shared" si="9"/>
        <v>0</v>
      </c>
      <c r="Q108" s="28"/>
      <c r="R108" s="29">
        <f t="shared" si="10"/>
        <v>0</v>
      </c>
      <c r="S108" s="28">
        <f t="shared" si="11"/>
        <v>0</v>
      </c>
      <c r="T108" s="30">
        <v>4</v>
      </c>
      <c r="U108" s="30"/>
      <c r="V108" s="112"/>
      <c r="W108" s="30"/>
      <c r="X108" s="30"/>
      <c r="Y108" s="30"/>
      <c r="Z108" s="30"/>
      <c r="AA108" s="30"/>
      <c r="AB108" s="30"/>
      <c r="AC108" s="30"/>
    </row>
    <row r="109" spans="1:29" s="3" customFormat="1" ht="21.95" customHeight="1">
      <c r="A109" s="23">
        <v>300432</v>
      </c>
      <c r="B109" s="153" t="s">
        <v>300</v>
      </c>
      <c r="C109" s="262" t="s">
        <v>305</v>
      </c>
      <c r="D109" s="263"/>
      <c r="E109" s="24" t="s">
        <v>307</v>
      </c>
      <c r="F109" s="25"/>
      <c r="G109" s="111"/>
      <c r="H109" s="111"/>
      <c r="I109" s="111"/>
      <c r="J109" s="111"/>
      <c r="K109" s="28">
        <f t="shared" si="7"/>
        <v>0</v>
      </c>
      <c r="L109" s="28">
        <f t="shared" si="8"/>
        <v>0</v>
      </c>
      <c r="M109" s="28">
        <v>628.79999999999995</v>
      </c>
      <c r="N109" s="28">
        <f>+M109*1000/(87*1*80*60)*T109</f>
        <v>6.0229885057471266</v>
      </c>
      <c r="O109" s="28"/>
      <c r="P109" s="28">
        <f t="shared" si="9"/>
        <v>0</v>
      </c>
      <c r="Q109" s="28"/>
      <c r="R109" s="29">
        <f t="shared" si="10"/>
        <v>0</v>
      </c>
      <c r="S109" s="28">
        <f t="shared" si="11"/>
        <v>0</v>
      </c>
      <c r="T109" s="30">
        <v>4</v>
      </c>
      <c r="U109" s="30"/>
      <c r="V109" s="112"/>
      <c r="W109" s="30"/>
      <c r="X109" s="30"/>
      <c r="Y109" s="30"/>
      <c r="Z109" s="30"/>
      <c r="AA109" s="30"/>
      <c r="AB109" s="30"/>
      <c r="AC109" s="30"/>
    </row>
    <row r="110" spans="1:29" s="3" customFormat="1" ht="21.95" customHeight="1">
      <c r="A110" s="23">
        <v>300433</v>
      </c>
      <c r="B110" s="153" t="s">
        <v>300</v>
      </c>
      <c r="C110" s="262" t="s">
        <v>305</v>
      </c>
      <c r="D110" s="263"/>
      <c r="E110" s="125" t="s">
        <v>308</v>
      </c>
      <c r="F110" s="25"/>
      <c r="G110" s="111"/>
      <c r="H110" s="111"/>
      <c r="I110" s="111"/>
      <c r="J110" s="111"/>
      <c r="K110" s="28">
        <f t="shared" si="7"/>
        <v>0</v>
      </c>
      <c r="L110" s="28">
        <f t="shared" si="8"/>
        <v>0</v>
      </c>
      <c r="M110" s="28">
        <v>628.79999999999995</v>
      </c>
      <c r="N110" s="28">
        <f>+M110*1000/(87*1*80*60)*T110</f>
        <v>6.0229885057471266</v>
      </c>
      <c r="O110" s="28"/>
      <c r="P110" s="28">
        <f t="shared" si="9"/>
        <v>0</v>
      </c>
      <c r="Q110" s="28"/>
      <c r="R110" s="29">
        <f t="shared" si="10"/>
        <v>0</v>
      </c>
      <c r="S110" s="28">
        <f t="shared" si="11"/>
        <v>0</v>
      </c>
      <c r="T110" s="30">
        <v>4</v>
      </c>
      <c r="U110" s="30"/>
      <c r="V110" s="112"/>
      <c r="W110" s="30"/>
      <c r="X110" s="30"/>
      <c r="Y110" s="30"/>
      <c r="Z110" s="30"/>
      <c r="AA110" s="30"/>
      <c r="AB110" s="30"/>
      <c r="AC110" s="30"/>
    </row>
    <row r="111" spans="1:29" ht="21.95" customHeight="1">
      <c r="A111" s="160">
        <v>300074</v>
      </c>
      <c r="B111" s="153" t="s">
        <v>118</v>
      </c>
      <c r="C111" s="248" t="s">
        <v>119</v>
      </c>
      <c r="D111" s="248" t="s">
        <v>120</v>
      </c>
      <c r="E111" s="166" t="s">
        <v>54</v>
      </c>
      <c r="F111" s="13"/>
      <c r="G111" s="110"/>
      <c r="H111" s="110"/>
      <c r="I111" s="110"/>
      <c r="J111" s="110"/>
      <c r="K111" s="164">
        <f t="shared" si="7"/>
        <v>0</v>
      </c>
      <c r="L111" s="164">
        <f t="shared" si="8"/>
        <v>0</v>
      </c>
      <c r="M111" s="164">
        <v>290.8</v>
      </c>
      <c r="N111" s="164">
        <f>+M111*1000/(88*4*13*60)*T111</f>
        <v>3.1774475524475525</v>
      </c>
      <c r="O111" s="164"/>
      <c r="P111" s="164">
        <f t="shared" si="9"/>
        <v>0</v>
      </c>
      <c r="Q111" s="164"/>
      <c r="R111" s="19">
        <f t="shared" si="10"/>
        <v>0</v>
      </c>
      <c r="S111" s="164">
        <f t="shared" si="11"/>
        <v>0</v>
      </c>
      <c r="T111" s="20">
        <v>3</v>
      </c>
      <c r="U111" s="20"/>
      <c r="V111" s="161" t="str">
        <f t="array" ref="V111">IF(ISERROR(L111/K111),"",L111/K111)</f>
        <v/>
      </c>
      <c r="W111" s="20"/>
      <c r="X111" s="20"/>
      <c r="Y111" s="20"/>
      <c r="Z111" s="20"/>
      <c r="AA111" s="20"/>
      <c r="AB111" s="20"/>
      <c r="AC111" s="20"/>
    </row>
    <row r="112" spans="1:29" ht="21.95" customHeight="1">
      <c r="A112" s="160">
        <v>300076</v>
      </c>
      <c r="B112" s="153" t="s">
        <v>118</v>
      </c>
      <c r="C112" s="248" t="s">
        <v>119</v>
      </c>
      <c r="D112" s="248" t="s">
        <v>120</v>
      </c>
      <c r="E112" s="166" t="s">
        <v>35</v>
      </c>
      <c r="F112" s="13"/>
      <c r="G112" s="110"/>
      <c r="H112" s="110"/>
      <c r="I112" s="110"/>
      <c r="J112" s="110"/>
      <c r="K112" s="164">
        <f t="shared" si="7"/>
        <v>0</v>
      </c>
      <c r="L112" s="164">
        <f t="shared" si="8"/>
        <v>0</v>
      </c>
      <c r="M112" s="164">
        <v>303.10000000000002</v>
      </c>
      <c r="N112" s="164">
        <f>+M112*1000/(88*4*12*60)*T112</f>
        <v>4.7837752525252526</v>
      </c>
      <c r="O112" s="164"/>
      <c r="P112" s="164">
        <f t="shared" si="9"/>
        <v>0</v>
      </c>
      <c r="Q112" s="164"/>
      <c r="R112" s="19">
        <f t="shared" si="10"/>
        <v>0</v>
      </c>
      <c r="S112" s="164">
        <f t="shared" si="11"/>
        <v>0</v>
      </c>
      <c r="T112" s="20">
        <v>4</v>
      </c>
      <c r="U112" s="20"/>
      <c r="V112" s="161" t="str">
        <f t="array" ref="V112">IF(ISERROR(L112/K112),"",L112/K112)</f>
        <v/>
      </c>
      <c r="W112" s="20"/>
      <c r="X112" s="20"/>
      <c r="Y112" s="20"/>
      <c r="Z112" s="20"/>
      <c r="AA112" s="20"/>
      <c r="AB112" s="20"/>
      <c r="AC112" s="20"/>
    </row>
    <row r="113" spans="1:29" ht="21.95" customHeight="1">
      <c r="A113" s="160">
        <v>300096</v>
      </c>
      <c r="B113" s="153" t="s">
        <v>118</v>
      </c>
      <c r="C113" s="248" t="s">
        <v>121</v>
      </c>
      <c r="D113" s="248" t="s">
        <v>122</v>
      </c>
      <c r="E113" s="166" t="s">
        <v>37</v>
      </c>
      <c r="F113" s="13"/>
      <c r="G113" s="110"/>
      <c r="H113" s="110"/>
      <c r="I113" s="110"/>
      <c r="J113" s="110"/>
      <c r="K113" s="164">
        <f t="shared" si="7"/>
        <v>0</v>
      </c>
      <c r="L113" s="164">
        <f t="shared" si="8"/>
        <v>0</v>
      </c>
      <c r="M113" s="164">
        <v>480.13</v>
      </c>
      <c r="N113" s="164">
        <f>+M113*1000/(126.5*4*12*60)*T113</f>
        <v>2.6357597716293371</v>
      </c>
      <c r="O113" s="164"/>
      <c r="P113" s="164">
        <f t="shared" si="9"/>
        <v>0</v>
      </c>
      <c r="Q113" s="164"/>
      <c r="R113" s="19">
        <f t="shared" si="10"/>
        <v>0</v>
      </c>
      <c r="S113" s="164">
        <f t="shared" si="11"/>
        <v>0</v>
      </c>
      <c r="T113" s="20">
        <v>2</v>
      </c>
      <c r="U113" s="20"/>
      <c r="V113" s="161" t="str">
        <f t="array" ref="V113">IF(ISERROR(L113/K113),"",L113/K113)</f>
        <v/>
      </c>
      <c r="W113" s="20"/>
      <c r="X113" s="20"/>
      <c r="Y113" s="20"/>
      <c r="Z113" s="20"/>
      <c r="AA113" s="20"/>
      <c r="AB113" s="20"/>
      <c r="AC113" s="20"/>
    </row>
    <row r="114" spans="1:29" ht="21.95" customHeight="1">
      <c r="A114" s="160"/>
      <c r="B114" s="153" t="s">
        <v>118</v>
      </c>
      <c r="C114" s="248" t="s">
        <v>121</v>
      </c>
      <c r="D114" s="248" t="s">
        <v>122</v>
      </c>
      <c r="E114" s="166" t="s">
        <v>35</v>
      </c>
      <c r="F114" s="13"/>
      <c r="G114" s="110"/>
      <c r="H114" s="110"/>
      <c r="I114" s="110"/>
      <c r="J114" s="110"/>
      <c r="K114" s="164">
        <f t="shared" si="7"/>
        <v>0</v>
      </c>
      <c r="L114" s="164">
        <f t="shared" si="8"/>
        <v>0</v>
      </c>
      <c r="M114" s="164">
        <v>480.13</v>
      </c>
      <c r="N114" s="164">
        <f>+M114*1000/(126.5*4*12*60)*T114</f>
        <v>2.6357597716293371</v>
      </c>
      <c r="O114" s="164"/>
      <c r="P114" s="164">
        <f t="shared" si="9"/>
        <v>0</v>
      </c>
      <c r="Q114" s="164"/>
      <c r="R114" s="19">
        <f t="shared" si="10"/>
        <v>0</v>
      </c>
      <c r="S114" s="164">
        <f t="shared" si="11"/>
        <v>0</v>
      </c>
      <c r="T114" s="20">
        <v>2</v>
      </c>
      <c r="U114" s="20"/>
      <c r="V114" s="161" t="str">
        <f t="array" ref="V114">IF(ISERROR(L114/K114),"",L114/K114)</f>
        <v/>
      </c>
      <c r="W114" s="20"/>
      <c r="X114" s="20"/>
      <c r="Y114" s="20"/>
      <c r="Z114" s="20"/>
      <c r="AA114" s="20"/>
      <c r="AB114" s="20"/>
      <c r="AC114" s="20"/>
    </row>
    <row r="115" spans="1:29" ht="22.5" customHeight="1">
      <c r="A115" s="160">
        <v>300097</v>
      </c>
      <c r="B115" s="153" t="s">
        <v>118</v>
      </c>
      <c r="C115" s="248" t="s">
        <v>121</v>
      </c>
      <c r="D115" s="248" t="s">
        <v>122</v>
      </c>
      <c r="E115" s="166" t="s">
        <v>63</v>
      </c>
      <c r="F115" s="13"/>
      <c r="G115" s="110"/>
      <c r="H115" s="110"/>
      <c r="I115" s="110"/>
      <c r="J115" s="110"/>
      <c r="K115" s="164">
        <f t="shared" si="7"/>
        <v>0</v>
      </c>
      <c r="L115" s="164">
        <f t="shared" si="8"/>
        <v>0</v>
      </c>
      <c r="M115" s="164">
        <v>480.13</v>
      </c>
      <c r="N115" s="164">
        <f>+M115*1000/(126.5*4*12*60)*T115</f>
        <v>2.6357597716293371</v>
      </c>
      <c r="O115" s="164"/>
      <c r="P115" s="164">
        <f t="shared" si="9"/>
        <v>0</v>
      </c>
      <c r="Q115" s="164"/>
      <c r="R115" s="19">
        <f t="shared" si="10"/>
        <v>0</v>
      </c>
      <c r="S115" s="164">
        <f t="shared" si="11"/>
        <v>0</v>
      </c>
      <c r="T115" s="20">
        <v>2</v>
      </c>
      <c r="U115" s="20"/>
      <c r="V115" s="161" t="str">
        <f t="array" ref="V115">IF(ISERROR(L115/K115),"",L115/K115)</f>
        <v/>
      </c>
      <c r="W115" s="20"/>
      <c r="X115" s="20"/>
      <c r="Y115" s="20"/>
      <c r="Z115" s="20"/>
      <c r="AA115" s="20"/>
      <c r="AB115" s="20"/>
      <c r="AC115" s="20"/>
    </row>
    <row r="116" spans="1:29" s="2" customFormat="1" ht="21.95" customHeight="1">
      <c r="A116" s="153">
        <v>300294</v>
      </c>
      <c r="B116" s="153" t="s">
        <v>118</v>
      </c>
      <c r="C116" s="248" t="s">
        <v>123</v>
      </c>
      <c r="D116" s="248"/>
      <c r="E116" s="166" t="s">
        <v>41</v>
      </c>
      <c r="F116" s="27"/>
      <c r="G116" s="110"/>
      <c r="H116" s="110"/>
      <c r="I116" s="110"/>
      <c r="J116" s="110"/>
      <c r="K116" s="164">
        <f t="shared" si="7"/>
        <v>0</v>
      </c>
      <c r="L116" s="164">
        <f t="shared" si="8"/>
        <v>0</v>
      </c>
      <c r="M116" s="164">
        <v>373.14</v>
      </c>
      <c r="N116" s="164">
        <f t="shared" ref="N116:N125" si="13">+M116*1000/(90*4*14*60)*T116</f>
        <v>3.7017857142857142</v>
      </c>
      <c r="O116" s="164"/>
      <c r="P116" s="164">
        <f t="shared" si="9"/>
        <v>0</v>
      </c>
      <c r="Q116" s="164"/>
      <c r="R116" s="19">
        <f t="shared" si="10"/>
        <v>0</v>
      </c>
      <c r="S116" s="164">
        <f t="shared" si="11"/>
        <v>0</v>
      </c>
      <c r="T116" s="20">
        <v>3</v>
      </c>
      <c r="U116" s="20"/>
      <c r="V116" s="161" t="str">
        <f t="array" ref="V116">IF(ISERROR(L116/K116),"",L116/K116)</f>
        <v/>
      </c>
      <c r="W116" s="20"/>
      <c r="X116" s="20"/>
      <c r="Y116" s="20"/>
      <c r="Z116" s="20"/>
      <c r="AA116" s="20"/>
      <c r="AB116" s="20"/>
      <c r="AC116" s="20"/>
    </row>
    <row r="117" spans="1:29" s="2" customFormat="1" ht="21.95" customHeight="1">
      <c r="A117" s="153">
        <v>300295</v>
      </c>
      <c r="B117" s="153" t="s">
        <v>124</v>
      </c>
      <c r="C117" s="248" t="s">
        <v>125</v>
      </c>
      <c r="D117" s="248"/>
      <c r="E117" s="166" t="s">
        <v>126</v>
      </c>
      <c r="F117" s="27"/>
      <c r="G117" s="110"/>
      <c r="H117" s="110"/>
      <c r="I117" s="110"/>
      <c r="J117" s="110"/>
      <c r="K117" s="164">
        <f t="shared" si="7"/>
        <v>0</v>
      </c>
      <c r="L117" s="164">
        <f t="shared" si="8"/>
        <v>0</v>
      </c>
      <c r="M117" s="164">
        <v>373.14</v>
      </c>
      <c r="N117" s="164">
        <f t="shared" si="13"/>
        <v>3.7017857142857142</v>
      </c>
      <c r="O117" s="164"/>
      <c r="P117" s="164">
        <f t="shared" si="9"/>
        <v>0</v>
      </c>
      <c r="Q117" s="164"/>
      <c r="R117" s="19">
        <f t="shared" si="10"/>
        <v>0</v>
      </c>
      <c r="S117" s="164">
        <f t="shared" si="11"/>
        <v>0</v>
      </c>
      <c r="T117" s="20">
        <v>3</v>
      </c>
      <c r="U117" s="20"/>
      <c r="V117" s="161" t="str">
        <f t="array" ref="V117">IF(ISERROR(L117/K117),"",L117/K117)</f>
        <v/>
      </c>
      <c r="W117" s="20"/>
      <c r="X117" s="20"/>
      <c r="Y117" s="20"/>
      <c r="Z117" s="20"/>
      <c r="AA117" s="20"/>
      <c r="AB117" s="20"/>
      <c r="AC117" s="20"/>
    </row>
    <row r="118" spans="1:29" s="2" customFormat="1" ht="21.95" customHeight="1">
      <c r="A118" s="153">
        <v>300258</v>
      </c>
      <c r="B118" s="153" t="s">
        <v>118</v>
      </c>
      <c r="C118" s="248" t="s">
        <v>123</v>
      </c>
      <c r="D118" s="248"/>
      <c r="E118" s="166" t="s">
        <v>42</v>
      </c>
      <c r="F118" s="27"/>
      <c r="G118" s="110"/>
      <c r="H118" s="110"/>
      <c r="I118" s="110"/>
      <c r="J118" s="110"/>
      <c r="K118" s="164">
        <f t="shared" si="7"/>
        <v>0</v>
      </c>
      <c r="L118" s="164">
        <f t="shared" si="8"/>
        <v>0</v>
      </c>
      <c r="M118" s="164">
        <v>373.14</v>
      </c>
      <c r="N118" s="164">
        <f t="shared" si="13"/>
        <v>3.7017857142857142</v>
      </c>
      <c r="O118" s="164"/>
      <c r="P118" s="164">
        <f t="shared" si="9"/>
        <v>0</v>
      </c>
      <c r="Q118" s="164"/>
      <c r="R118" s="19">
        <f t="shared" si="10"/>
        <v>0</v>
      </c>
      <c r="S118" s="164">
        <f t="shared" si="11"/>
        <v>0</v>
      </c>
      <c r="T118" s="20">
        <v>3</v>
      </c>
      <c r="U118" s="20"/>
      <c r="V118" s="161" t="str">
        <f t="array" ref="V118">IF(ISERROR(L118/K118),"",L118/K118)</f>
        <v/>
      </c>
      <c r="W118" s="20"/>
      <c r="X118" s="20"/>
      <c r="Y118" s="20"/>
      <c r="Z118" s="20"/>
      <c r="AA118" s="20"/>
      <c r="AB118" s="20"/>
      <c r="AC118" s="20"/>
    </row>
    <row r="119" spans="1:29" s="2" customFormat="1" ht="21.95" customHeight="1">
      <c r="A119" s="153">
        <v>300256</v>
      </c>
      <c r="B119" s="153" t="s">
        <v>118</v>
      </c>
      <c r="C119" s="248" t="s">
        <v>123</v>
      </c>
      <c r="D119" s="248"/>
      <c r="E119" s="166" t="s">
        <v>74</v>
      </c>
      <c r="F119" s="27"/>
      <c r="G119" s="110"/>
      <c r="H119" s="110"/>
      <c r="I119" s="110"/>
      <c r="J119" s="110"/>
      <c r="K119" s="164">
        <f t="shared" si="7"/>
        <v>0</v>
      </c>
      <c r="L119" s="164">
        <f t="shared" si="8"/>
        <v>0</v>
      </c>
      <c r="M119" s="164">
        <v>373.14</v>
      </c>
      <c r="N119" s="164">
        <f t="shared" si="13"/>
        <v>3.7017857142857142</v>
      </c>
      <c r="O119" s="164"/>
      <c r="P119" s="164">
        <f t="shared" si="9"/>
        <v>0</v>
      </c>
      <c r="Q119" s="164"/>
      <c r="R119" s="19">
        <f t="shared" si="10"/>
        <v>0</v>
      </c>
      <c r="S119" s="164">
        <f t="shared" si="11"/>
        <v>0</v>
      </c>
      <c r="T119" s="20">
        <v>3</v>
      </c>
      <c r="U119" s="20"/>
      <c r="V119" s="161" t="str">
        <f t="array" ref="V119">IF(ISERROR(L119/K119),"",L119/K119)</f>
        <v/>
      </c>
      <c r="W119" s="20"/>
      <c r="X119" s="20"/>
      <c r="Y119" s="20"/>
      <c r="Z119" s="20"/>
      <c r="AA119" s="20"/>
      <c r="AB119" s="20"/>
      <c r="AC119" s="20"/>
    </row>
    <row r="120" spans="1:29" s="2" customFormat="1" ht="21.95" customHeight="1">
      <c r="A120" s="153">
        <v>300259</v>
      </c>
      <c r="B120" s="153" t="s">
        <v>118</v>
      </c>
      <c r="C120" s="248" t="s">
        <v>123</v>
      </c>
      <c r="D120" s="248"/>
      <c r="E120" s="166" t="s">
        <v>40</v>
      </c>
      <c r="F120" s="27"/>
      <c r="G120" s="110"/>
      <c r="H120" s="110"/>
      <c r="I120" s="110"/>
      <c r="J120" s="110"/>
      <c r="K120" s="164">
        <f t="shared" si="7"/>
        <v>0</v>
      </c>
      <c r="L120" s="164">
        <f t="shared" si="8"/>
        <v>0</v>
      </c>
      <c r="M120" s="164">
        <v>373.14</v>
      </c>
      <c r="N120" s="164">
        <f t="shared" si="13"/>
        <v>3.7017857142857142</v>
      </c>
      <c r="O120" s="164"/>
      <c r="P120" s="164">
        <f t="shared" si="9"/>
        <v>0</v>
      </c>
      <c r="Q120" s="164"/>
      <c r="R120" s="19">
        <f t="shared" si="10"/>
        <v>0</v>
      </c>
      <c r="S120" s="164">
        <f t="shared" si="11"/>
        <v>0</v>
      </c>
      <c r="T120" s="20">
        <v>3</v>
      </c>
      <c r="U120" s="20"/>
      <c r="V120" s="161" t="str">
        <f t="array" ref="V120">IF(ISERROR(L120/K120),"",L120/K120)</f>
        <v/>
      </c>
      <c r="W120" s="20"/>
      <c r="X120" s="20"/>
      <c r="Y120" s="20"/>
      <c r="Z120" s="20"/>
      <c r="AA120" s="20"/>
      <c r="AB120" s="20"/>
      <c r="AC120" s="20"/>
    </row>
    <row r="121" spans="1:29" s="2" customFormat="1" ht="21.95" customHeight="1">
      <c r="A121" s="153">
        <v>300345</v>
      </c>
      <c r="B121" s="153" t="s">
        <v>118</v>
      </c>
      <c r="C121" s="248" t="s">
        <v>127</v>
      </c>
      <c r="D121" s="248"/>
      <c r="E121" s="166" t="s">
        <v>74</v>
      </c>
      <c r="F121" s="27"/>
      <c r="G121" s="41"/>
      <c r="H121" s="41"/>
      <c r="I121" s="41"/>
      <c r="J121" s="41"/>
      <c r="K121" s="164">
        <f t="shared" si="7"/>
        <v>0</v>
      </c>
      <c r="L121" s="164">
        <f t="shared" si="8"/>
        <v>0</v>
      </c>
      <c r="M121" s="164">
        <v>373.14</v>
      </c>
      <c r="N121" s="164">
        <f t="shared" si="13"/>
        <v>3.7017857142857142</v>
      </c>
      <c r="O121" s="41"/>
      <c r="P121" s="164">
        <f t="shared" si="9"/>
        <v>0</v>
      </c>
      <c r="Q121" s="41"/>
      <c r="R121" s="19">
        <f t="shared" si="10"/>
        <v>0</v>
      </c>
      <c r="S121" s="164">
        <f t="shared" si="11"/>
        <v>0</v>
      </c>
      <c r="T121" s="20">
        <v>3</v>
      </c>
      <c r="U121" s="41"/>
      <c r="V121" s="161"/>
      <c r="W121" s="41"/>
      <c r="X121" s="41"/>
      <c r="Y121" s="41"/>
      <c r="Z121" s="41"/>
      <c r="AA121" s="41"/>
      <c r="AB121" s="41"/>
      <c r="AC121" s="41"/>
    </row>
    <row r="122" spans="1:29" s="2" customFormat="1" ht="21.95" customHeight="1">
      <c r="A122" s="153">
        <v>300346</v>
      </c>
      <c r="B122" s="153" t="s">
        <v>118</v>
      </c>
      <c r="C122" s="248" t="s">
        <v>127</v>
      </c>
      <c r="D122" s="248"/>
      <c r="E122" s="166" t="s">
        <v>42</v>
      </c>
      <c r="F122" s="27"/>
      <c r="G122" s="41"/>
      <c r="H122" s="41"/>
      <c r="I122" s="41"/>
      <c r="J122" s="41"/>
      <c r="K122" s="164">
        <f t="shared" si="7"/>
        <v>0</v>
      </c>
      <c r="L122" s="164">
        <f t="shared" si="8"/>
        <v>0</v>
      </c>
      <c r="M122" s="164">
        <v>373.14</v>
      </c>
      <c r="N122" s="164">
        <f t="shared" si="13"/>
        <v>3.7017857142857142</v>
      </c>
      <c r="O122" s="41"/>
      <c r="P122" s="164">
        <f t="shared" si="9"/>
        <v>0</v>
      </c>
      <c r="Q122" s="41"/>
      <c r="R122" s="19">
        <f t="shared" si="10"/>
        <v>0</v>
      </c>
      <c r="S122" s="164">
        <f t="shared" si="11"/>
        <v>0</v>
      </c>
      <c r="T122" s="20">
        <v>3</v>
      </c>
      <c r="U122" s="41"/>
      <c r="V122" s="161"/>
      <c r="W122" s="41"/>
      <c r="X122" s="41"/>
      <c r="Y122" s="41"/>
      <c r="Z122" s="41"/>
      <c r="AA122" s="41"/>
      <c r="AB122" s="41"/>
      <c r="AC122" s="41"/>
    </row>
    <row r="123" spans="1:29" s="2" customFormat="1" ht="21.95" customHeight="1">
      <c r="A123" s="153">
        <v>300347</v>
      </c>
      <c r="B123" s="153" t="s">
        <v>118</v>
      </c>
      <c r="C123" s="248" t="s">
        <v>127</v>
      </c>
      <c r="D123" s="248"/>
      <c r="E123" s="166" t="s">
        <v>41</v>
      </c>
      <c r="F123" s="27"/>
      <c r="G123" s="41"/>
      <c r="H123" s="41"/>
      <c r="I123" s="41"/>
      <c r="J123" s="41"/>
      <c r="K123" s="164">
        <f t="shared" si="7"/>
        <v>0</v>
      </c>
      <c r="L123" s="164">
        <f t="shared" si="8"/>
        <v>0</v>
      </c>
      <c r="M123" s="164">
        <v>373.14</v>
      </c>
      <c r="N123" s="164">
        <f t="shared" si="13"/>
        <v>3.7017857142857142</v>
      </c>
      <c r="O123" s="41"/>
      <c r="P123" s="164">
        <f t="shared" si="9"/>
        <v>0</v>
      </c>
      <c r="Q123" s="41"/>
      <c r="R123" s="19">
        <f t="shared" si="10"/>
        <v>0</v>
      </c>
      <c r="S123" s="164">
        <f t="shared" si="11"/>
        <v>0</v>
      </c>
      <c r="T123" s="20">
        <v>3</v>
      </c>
      <c r="U123" s="41"/>
      <c r="V123" s="161"/>
      <c r="W123" s="41"/>
      <c r="X123" s="41"/>
      <c r="Y123" s="41"/>
      <c r="Z123" s="41"/>
      <c r="AA123" s="41"/>
      <c r="AB123" s="41"/>
      <c r="AC123" s="41"/>
    </row>
    <row r="124" spans="1:29" s="2" customFormat="1" ht="21.95" customHeight="1">
      <c r="A124" s="153">
        <v>300348</v>
      </c>
      <c r="B124" s="153" t="s">
        <v>118</v>
      </c>
      <c r="C124" s="248" t="s">
        <v>127</v>
      </c>
      <c r="D124" s="248"/>
      <c r="E124" s="166" t="s">
        <v>126</v>
      </c>
      <c r="F124" s="27"/>
      <c r="G124" s="41"/>
      <c r="H124" s="41"/>
      <c r="I124" s="41"/>
      <c r="J124" s="41"/>
      <c r="K124" s="164">
        <f t="shared" si="7"/>
        <v>0</v>
      </c>
      <c r="L124" s="164">
        <f t="shared" si="8"/>
        <v>0</v>
      </c>
      <c r="M124" s="164">
        <v>373.14</v>
      </c>
      <c r="N124" s="164">
        <f t="shared" si="13"/>
        <v>3.7017857142857142</v>
      </c>
      <c r="O124" s="41"/>
      <c r="P124" s="164">
        <f t="shared" si="9"/>
        <v>0</v>
      </c>
      <c r="Q124" s="41"/>
      <c r="R124" s="19">
        <f t="shared" si="10"/>
        <v>0</v>
      </c>
      <c r="S124" s="164">
        <f t="shared" si="11"/>
        <v>0</v>
      </c>
      <c r="T124" s="20">
        <v>3</v>
      </c>
      <c r="U124" s="41"/>
      <c r="V124" s="161"/>
      <c r="W124" s="41"/>
      <c r="X124" s="41"/>
      <c r="Y124" s="41"/>
      <c r="Z124" s="41"/>
      <c r="AA124" s="41"/>
      <c r="AB124" s="41"/>
      <c r="AC124" s="41"/>
    </row>
    <row r="125" spans="1:29" s="2" customFormat="1" ht="21.95" customHeight="1">
      <c r="A125" s="153">
        <v>300349</v>
      </c>
      <c r="B125" s="153" t="s">
        <v>118</v>
      </c>
      <c r="C125" s="248" t="s">
        <v>127</v>
      </c>
      <c r="D125" s="248"/>
      <c r="E125" s="166" t="s">
        <v>40</v>
      </c>
      <c r="F125" s="27"/>
      <c r="G125" s="41"/>
      <c r="H125" s="41"/>
      <c r="I125" s="41"/>
      <c r="J125" s="41"/>
      <c r="K125" s="164">
        <f t="shared" si="7"/>
        <v>0</v>
      </c>
      <c r="L125" s="164">
        <f t="shared" si="8"/>
        <v>0</v>
      </c>
      <c r="M125" s="164">
        <v>373.14</v>
      </c>
      <c r="N125" s="164">
        <f t="shared" si="13"/>
        <v>3.7017857142857142</v>
      </c>
      <c r="O125" s="41"/>
      <c r="P125" s="164">
        <f t="shared" si="9"/>
        <v>0</v>
      </c>
      <c r="Q125" s="41"/>
      <c r="R125" s="19">
        <f t="shared" si="10"/>
        <v>0</v>
      </c>
      <c r="S125" s="164">
        <f t="shared" si="11"/>
        <v>0</v>
      </c>
      <c r="T125" s="20">
        <v>3</v>
      </c>
      <c r="U125" s="41"/>
      <c r="V125" s="161"/>
      <c r="W125" s="41"/>
      <c r="X125" s="41"/>
      <c r="Y125" s="41"/>
      <c r="Z125" s="41"/>
      <c r="AA125" s="41"/>
      <c r="AB125" s="41"/>
      <c r="AC125" s="41"/>
    </row>
    <row r="126" spans="1:29" s="2" customFormat="1" ht="21.95" customHeight="1">
      <c r="A126" s="153">
        <v>300298</v>
      </c>
      <c r="B126" s="153" t="s">
        <v>118</v>
      </c>
      <c r="C126" s="248" t="s">
        <v>128</v>
      </c>
      <c r="D126" s="248"/>
      <c r="E126" s="166" t="s">
        <v>54</v>
      </c>
      <c r="F126" s="27"/>
      <c r="G126" s="110"/>
      <c r="H126" s="110"/>
      <c r="I126" s="110"/>
      <c r="J126" s="110"/>
      <c r="K126" s="164">
        <f t="shared" si="7"/>
        <v>0</v>
      </c>
      <c r="L126" s="164">
        <f t="shared" si="8"/>
        <v>0</v>
      </c>
      <c r="M126" s="164">
        <v>380.63</v>
      </c>
      <c r="N126" s="164">
        <f t="shared" ref="N126:N131" si="14">+M126*1000/(94.7*4*15*60)*T126</f>
        <v>4.4659157573624313</v>
      </c>
      <c r="O126" s="164"/>
      <c r="P126" s="164">
        <f t="shared" si="9"/>
        <v>0</v>
      </c>
      <c r="Q126" s="164"/>
      <c r="R126" s="19">
        <f t="shared" si="10"/>
        <v>0</v>
      </c>
      <c r="S126" s="164">
        <f t="shared" si="11"/>
        <v>0</v>
      </c>
      <c r="T126" s="20">
        <v>4</v>
      </c>
      <c r="U126" s="20"/>
      <c r="V126" s="161" t="str">
        <f t="array" ref="V126">IF(ISERROR(L126/K126),"",L126/K126)</f>
        <v/>
      </c>
      <c r="W126" s="20"/>
      <c r="X126" s="20"/>
      <c r="Y126" s="20"/>
      <c r="Z126" s="20"/>
      <c r="AA126" s="20"/>
      <c r="AB126" s="20"/>
      <c r="AC126" s="20"/>
    </row>
    <row r="127" spans="1:29" s="2" customFormat="1" ht="21.95" customHeight="1">
      <c r="A127" s="153">
        <v>300299</v>
      </c>
      <c r="B127" s="153" t="s">
        <v>118</v>
      </c>
      <c r="C127" s="248" t="s">
        <v>128</v>
      </c>
      <c r="D127" s="248"/>
      <c r="E127" s="166" t="s">
        <v>39</v>
      </c>
      <c r="F127" s="27"/>
      <c r="G127" s="110"/>
      <c r="H127" s="110"/>
      <c r="I127" s="110"/>
      <c r="J127" s="110"/>
      <c r="K127" s="164">
        <f t="shared" si="7"/>
        <v>0</v>
      </c>
      <c r="L127" s="164">
        <f t="shared" si="8"/>
        <v>0</v>
      </c>
      <c r="M127" s="164">
        <v>380.63</v>
      </c>
      <c r="N127" s="164">
        <f t="shared" si="14"/>
        <v>4.4659157573624313</v>
      </c>
      <c r="O127" s="164"/>
      <c r="P127" s="164">
        <f t="shared" si="9"/>
        <v>0</v>
      </c>
      <c r="Q127" s="164"/>
      <c r="R127" s="19">
        <f t="shared" si="10"/>
        <v>0</v>
      </c>
      <c r="S127" s="164">
        <f t="shared" si="11"/>
        <v>0</v>
      </c>
      <c r="T127" s="20">
        <v>4</v>
      </c>
      <c r="U127" s="20"/>
      <c r="V127" s="161" t="str">
        <f t="array" ref="V127">IF(ISERROR(L127/K127),"",L127/K127)</f>
        <v/>
      </c>
      <c r="W127" s="20"/>
      <c r="X127" s="20"/>
      <c r="Y127" s="20"/>
      <c r="Z127" s="20"/>
      <c r="AA127" s="20"/>
      <c r="AB127" s="20"/>
      <c r="AC127" s="20"/>
    </row>
    <row r="128" spans="1:29" s="2" customFormat="1" ht="21.95" customHeight="1">
      <c r="A128" s="153">
        <v>300296</v>
      </c>
      <c r="B128" s="153" t="s">
        <v>118</v>
      </c>
      <c r="C128" s="248" t="s">
        <v>128</v>
      </c>
      <c r="D128" s="248"/>
      <c r="E128" s="166" t="s">
        <v>41</v>
      </c>
      <c r="F128" s="27"/>
      <c r="G128" s="110"/>
      <c r="H128" s="110"/>
      <c r="I128" s="110"/>
      <c r="J128" s="110"/>
      <c r="K128" s="164">
        <f t="shared" si="7"/>
        <v>0</v>
      </c>
      <c r="L128" s="164">
        <f t="shared" si="8"/>
        <v>0</v>
      </c>
      <c r="M128" s="164">
        <v>380.63</v>
      </c>
      <c r="N128" s="164">
        <f t="shared" si="14"/>
        <v>4.4659157573624313</v>
      </c>
      <c r="O128" s="164"/>
      <c r="P128" s="164">
        <f t="shared" si="9"/>
        <v>0</v>
      </c>
      <c r="Q128" s="164"/>
      <c r="R128" s="19">
        <f t="shared" si="10"/>
        <v>0</v>
      </c>
      <c r="S128" s="164">
        <f t="shared" si="11"/>
        <v>0</v>
      </c>
      <c r="T128" s="20">
        <v>4</v>
      </c>
      <c r="U128" s="20"/>
      <c r="V128" s="161" t="str">
        <f t="array" ref="V128">IF(ISERROR(L128/K128),"",L128/K128)</f>
        <v/>
      </c>
      <c r="W128" s="20"/>
      <c r="X128" s="20"/>
      <c r="Y128" s="20"/>
      <c r="Z128" s="20"/>
      <c r="AA128" s="20"/>
      <c r="AB128" s="20"/>
      <c r="AC128" s="20"/>
    </row>
    <row r="129" spans="1:29" s="2" customFormat="1" ht="21.95" customHeight="1">
      <c r="A129" s="153">
        <v>300297</v>
      </c>
      <c r="B129" s="153" t="s">
        <v>118</v>
      </c>
      <c r="C129" s="248" t="s">
        <v>128</v>
      </c>
      <c r="D129" s="248"/>
      <c r="E129" s="166" t="s">
        <v>37</v>
      </c>
      <c r="F129" s="27"/>
      <c r="G129" s="110"/>
      <c r="H129" s="110"/>
      <c r="I129" s="110"/>
      <c r="J129" s="110"/>
      <c r="K129" s="164">
        <f t="shared" si="7"/>
        <v>0</v>
      </c>
      <c r="L129" s="164">
        <f t="shared" si="8"/>
        <v>0</v>
      </c>
      <c r="M129" s="164">
        <v>380.63</v>
      </c>
      <c r="N129" s="164">
        <f t="shared" si="14"/>
        <v>4.4659157573624313</v>
      </c>
      <c r="O129" s="164"/>
      <c r="P129" s="164">
        <f t="shared" si="9"/>
        <v>0</v>
      </c>
      <c r="Q129" s="164"/>
      <c r="R129" s="19">
        <f t="shared" si="10"/>
        <v>0</v>
      </c>
      <c r="S129" s="164">
        <f t="shared" si="11"/>
        <v>0</v>
      </c>
      <c r="T129" s="20">
        <v>4</v>
      </c>
      <c r="U129" s="20"/>
      <c r="V129" s="161" t="str">
        <f t="array" ref="V129">IF(ISERROR(L129/K129),"",L129/K129)</f>
        <v/>
      </c>
      <c r="W129" s="20"/>
      <c r="X129" s="20"/>
      <c r="Y129" s="20"/>
      <c r="Z129" s="20"/>
      <c r="AA129" s="20"/>
      <c r="AB129" s="20"/>
      <c r="AC129" s="20"/>
    </row>
    <row r="130" spans="1:29" s="2" customFormat="1" ht="21.95" customHeight="1">
      <c r="A130" s="153">
        <v>300340</v>
      </c>
      <c r="B130" s="153" t="s">
        <v>118</v>
      </c>
      <c r="C130" s="259" t="s">
        <v>129</v>
      </c>
      <c r="D130" s="260"/>
      <c r="E130" s="166" t="s">
        <v>41</v>
      </c>
      <c r="F130" s="27"/>
      <c r="G130" s="110"/>
      <c r="H130" s="110"/>
      <c r="I130" s="110"/>
      <c r="J130" s="110"/>
      <c r="K130" s="164">
        <f t="shared" si="7"/>
        <v>0</v>
      </c>
      <c r="L130" s="164">
        <f t="shared" si="8"/>
        <v>0</v>
      </c>
      <c r="M130" s="164">
        <v>325.60000000000002</v>
      </c>
      <c r="N130" s="164">
        <f t="shared" si="14"/>
        <v>3.8202510852986036</v>
      </c>
      <c r="O130" s="164"/>
      <c r="P130" s="164">
        <f t="shared" si="9"/>
        <v>0</v>
      </c>
      <c r="Q130" s="164"/>
      <c r="R130" s="19">
        <f t="shared" si="10"/>
        <v>0</v>
      </c>
      <c r="S130" s="164">
        <f t="shared" si="11"/>
        <v>0</v>
      </c>
      <c r="T130" s="20">
        <v>4</v>
      </c>
      <c r="U130" s="20"/>
      <c r="V130" s="161"/>
      <c r="W130" s="20"/>
      <c r="X130" s="20"/>
      <c r="Y130" s="20"/>
      <c r="Z130" s="20"/>
      <c r="AA130" s="20"/>
      <c r="AB130" s="20"/>
      <c r="AC130" s="20"/>
    </row>
    <row r="131" spans="1:29" s="2" customFormat="1" ht="21.95" customHeight="1">
      <c r="A131" s="153">
        <v>300339</v>
      </c>
      <c r="B131" s="153" t="s">
        <v>118</v>
      </c>
      <c r="C131" s="259" t="s">
        <v>129</v>
      </c>
      <c r="D131" s="260"/>
      <c r="E131" s="166" t="s">
        <v>39</v>
      </c>
      <c r="F131" s="27"/>
      <c r="G131" s="110"/>
      <c r="H131" s="110"/>
      <c r="I131" s="110"/>
      <c r="J131" s="110"/>
      <c r="K131" s="164">
        <f t="shared" si="7"/>
        <v>0</v>
      </c>
      <c r="L131" s="164">
        <f t="shared" si="8"/>
        <v>0</v>
      </c>
      <c r="M131" s="164">
        <v>325.60000000000002</v>
      </c>
      <c r="N131" s="164">
        <f t="shared" si="14"/>
        <v>3.8202510852986036</v>
      </c>
      <c r="O131" s="164"/>
      <c r="P131" s="164">
        <f t="shared" si="9"/>
        <v>0</v>
      </c>
      <c r="Q131" s="164"/>
      <c r="R131" s="19">
        <f t="shared" si="10"/>
        <v>0</v>
      </c>
      <c r="S131" s="164">
        <f t="shared" si="11"/>
        <v>0</v>
      </c>
      <c r="T131" s="20">
        <v>4</v>
      </c>
      <c r="U131" s="20"/>
      <c r="V131" s="161"/>
      <c r="W131" s="20"/>
      <c r="X131" s="20"/>
      <c r="Y131" s="20"/>
      <c r="Z131" s="20"/>
      <c r="AA131" s="20"/>
      <c r="AB131" s="20"/>
      <c r="AC131" s="20"/>
    </row>
    <row r="132" spans="1:29" s="2" customFormat="1" ht="21.95" customHeight="1">
      <c r="A132" s="153">
        <v>300303</v>
      </c>
      <c r="B132" s="153" t="s">
        <v>118</v>
      </c>
      <c r="C132" s="248" t="s">
        <v>130</v>
      </c>
      <c r="D132" s="248" t="s">
        <v>131</v>
      </c>
      <c r="E132" s="166" t="s">
        <v>57</v>
      </c>
      <c r="F132" s="27"/>
      <c r="G132" s="110"/>
      <c r="H132" s="110"/>
      <c r="I132" s="110"/>
      <c r="J132" s="110"/>
      <c r="K132" s="164">
        <f t="shared" si="7"/>
        <v>0</v>
      </c>
      <c r="L132" s="164">
        <f t="shared" si="8"/>
        <v>0</v>
      </c>
      <c r="M132" s="164">
        <v>396.92</v>
      </c>
      <c r="N132" s="164">
        <f>+M132*1000/(113.8*4*15*60)*T132</f>
        <v>4.8442686975200155</v>
      </c>
      <c r="O132" s="164"/>
      <c r="P132" s="164">
        <f t="shared" si="9"/>
        <v>0</v>
      </c>
      <c r="Q132" s="164"/>
      <c r="R132" s="19">
        <f t="shared" si="10"/>
        <v>0</v>
      </c>
      <c r="S132" s="164">
        <f t="shared" si="11"/>
        <v>0</v>
      </c>
      <c r="T132" s="20">
        <v>5</v>
      </c>
      <c r="U132" s="20"/>
      <c r="V132" s="161" t="str">
        <f t="array" ref="V132">IF(ISERROR(L132/K132),"",L132/K132)</f>
        <v/>
      </c>
      <c r="W132" s="20"/>
      <c r="X132" s="20"/>
      <c r="Y132" s="20"/>
      <c r="Z132" s="20"/>
      <c r="AA132" s="20"/>
      <c r="AB132" s="20"/>
      <c r="AC132" s="20"/>
    </row>
    <row r="133" spans="1:29" s="2" customFormat="1" ht="21.95" customHeight="1">
      <c r="A133" s="153">
        <v>300302</v>
      </c>
      <c r="B133" s="153" t="s">
        <v>118</v>
      </c>
      <c r="C133" s="248" t="s">
        <v>130</v>
      </c>
      <c r="D133" s="248" t="s">
        <v>131</v>
      </c>
      <c r="E133" s="166" t="s">
        <v>117</v>
      </c>
      <c r="F133" s="27"/>
      <c r="G133" s="110"/>
      <c r="H133" s="110"/>
      <c r="I133" s="110"/>
      <c r="J133" s="110"/>
      <c r="K133" s="164">
        <f t="shared" si="7"/>
        <v>0</v>
      </c>
      <c r="L133" s="164">
        <f t="shared" si="8"/>
        <v>0</v>
      </c>
      <c r="M133" s="164">
        <v>396.06</v>
      </c>
      <c r="N133" s="164">
        <f>+M133*1000/(113.8*4*15*60)*T133</f>
        <v>4.8337727006444053</v>
      </c>
      <c r="O133" s="164"/>
      <c r="P133" s="164">
        <f t="shared" si="9"/>
        <v>0</v>
      </c>
      <c r="Q133" s="164"/>
      <c r="R133" s="19">
        <f t="shared" si="10"/>
        <v>0</v>
      </c>
      <c r="S133" s="164">
        <f t="shared" si="11"/>
        <v>0</v>
      </c>
      <c r="T133" s="20">
        <v>5</v>
      </c>
      <c r="U133" s="20"/>
      <c r="V133" s="161" t="str">
        <f t="array" ref="V133">IF(ISERROR(L133/K133),"",L133/K133)</f>
        <v/>
      </c>
      <c r="W133" s="20"/>
      <c r="X133" s="20"/>
      <c r="Y133" s="20"/>
      <c r="Z133" s="20"/>
      <c r="AA133" s="20"/>
      <c r="AB133" s="20"/>
      <c r="AC133" s="20"/>
    </row>
    <row r="134" spans="1:29" s="2" customFormat="1" ht="21.95" customHeight="1">
      <c r="A134" s="153">
        <v>300301</v>
      </c>
      <c r="B134" s="153" t="s">
        <v>118</v>
      </c>
      <c r="C134" s="248" t="s">
        <v>130</v>
      </c>
      <c r="D134" s="248" t="s">
        <v>131</v>
      </c>
      <c r="E134" s="166" t="s">
        <v>132</v>
      </c>
      <c r="F134" s="27"/>
      <c r="G134" s="110"/>
      <c r="H134" s="110"/>
      <c r="I134" s="110"/>
      <c r="J134" s="110"/>
      <c r="K134" s="164">
        <f t="shared" si="7"/>
        <v>0</v>
      </c>
      <c r="L134" s="164">
        <f t="shared" si="8"/>
        <v>0</v>
      </c>
      <c r="M134" s="164">
        <v>401.25</v>
      </c>
      <c r="N134" s="164">
        <f>+M134*1000/(113.8*4*15*60)*T134</f>
        <v>4.8971148213239601</v>
      </c>
      <c r="O134" s="164"/>
      <c r="P134" s="164">
        <f t="shared" si="9"/>
        <v>0</v>
      </c>
      <c r="Q134" s="164"/>
      <c r="R134" s="19">
        <f t="shared" si="10"/>
        <v>0</v>
      </c>
      <c r="S134" s="164">
        <f t="shared" si="11"/>
        <v>0</v>
      </c>
      <c r="T134" s="20">
        <v>5</v>
      </c>
      <c r="U134" s="20"/>
      <c r="V134" s="161" t="str">
        <f t="array" ref="V134">IF(ISERROR(L134/K134),"",L134/K134)</f>
        <v/>
      </c>
      <c r="W134" s="20"/>
      <c r="X134" s="20"/>
      <c r="Y134" s="20"/>
      <c r="Z134" s="20"/>
      <c r="AA134" s="20"/>
      <c r="AB134" s="20"/>
      <c r="AC134" s="20"/>
    </row>
    <row r="135" spans="1:29" s="2" customFormat="1" ht="21.95" customHeight="1">
      <c r="A135" s="160">
        <v>300304</v>
      </c>
      <c r="B135" s="153" t="s">
        <v>118</v>
      </c>
      <c r="C135" s="248" t="s">
        <v>130</v>
      </c>
      <c r="D135" s="248"/>
      <c r="E135" s="166" t="s">
        <v>133</v>
      </c>
      <c r="F135" s="27"/>
      <c r="G135" s="110"/>
      <c r="H135" s="110"/>
      <c r="I135" s="110"/>
      <c r="J135" s="110"/>
      <c r="K135" s="164">
        <f t="shared" si="7"/>
        <v>0</v>
      </c>
      <c r="L135" s="164">
        <f t="shared" si="8"/>
        <v>0</v>
      </c>
      <c r="M135" s="164">
        <v>401.25</v>
      </c>
      <c r="N135" s="164">
        <f>+M135*1000/(113.8*4*15*60)*T135</f>
        <v>4.8971148213239601</v>
      </c>
      <c r="O135" s="164"/>
      <c r="P135" s="164">
        <f t="shared" si="9"/>
        <v>0</v>
      </c>
      <c r="Q135" s="164"/>
      <c r="R135" s="19">
        <f t="shared" si="10"/>
        <v>0</v>
      </c>
      <c r="S135" s="164">
        <f t="shared" si="11"/>
        <v>0</v>
      </c>
      <c r="T135" s="20">
        <v>5</v>
      </c>
      <c r="U135" s="20"/>
      <c r="V135" s="161" t="str">
        <f t="array" ref="V135">IF(ISERROR(L135/K135),"",L135/K135)</f>
        <v/>
      </c>
      <c r="W135" s="20"/>
      <c r="X135" s="20"/>
      <c r="Y135" s="20"/>
      <c r="Z135" s="20"/>
      <c r="AA135" s="20"/>
      <c r="AB135" s="20"/>
      <c r="AC135" s="20"/>
    </row>
    <row r="136" spans="1:29" s="2" customFormat="1" ht="21.95" customHeight="1">
      <c r="A136" s="160">
        <v>300300</v>
      </c>
      <c r="B136" s="153" t="s">
        <v>118</v>
      </c>
      <c r="C136" s="248" t="s">
        <v>130</v>
      </c>
      <c r="D136" s="248" t="s">
        <v>131</v>
      </c>
      <c r="E136" s="166" t="s">
        <v>54</v>
      </c>
      <c r="F136" s="27"/>
      <c r="G136" s="110"/>
      <c r="H136" s="110"/>
      <c r="I136" s="110"/>
      <c r="J136" s="110"/>
      <c r="K136" s="164">
        <f t="shared" si="7"/>
        <v>0</v>
      </c>
      <c r="L136" s="164">
        <f t="shared" si="8"/>
        <v>0</v>
      </c>
      <c r="M136" s="164">
        <v>399.07</v>
      </c>
      <c r="N136" s="164">
        <f>+M136*1000/(113.8*4*15*60)*T136</f>
        <v>4.8705086897090411</v>
      </c>
      <c r="O136" s="164"/>
      <c r="P136" s="164">
        <f t="shared" si="9"/>
        <v>0</v>
      </c>
      <c r="Q136" s="164"/>
      <c r="R136" s="19">
        <f t="shared" si="10"/>
        <v>0</v>
      </c>
      <c r="S136" s="164">
        <f t="shared" si="11"/>
        <v>0</v>
      </c>
      <c r="T136" s="20">
        <v>5</v>
      </c>
      <c r="U136" s="20"/>
      <c r="V136" s="161" t="str">
        <f t="array" ref="V136">IF(ISERROR(L136/K136),"",L136/K136)</f>
        <v/>
      </c>
      <c r="W136" s="20"/>
      <c r="X136" s="20"/>
      <c r="Y136" s="20"/>
      <c r="Z136" s="20"/>
      <c r="AA136" s="20"/>
      <c r="AB136" s="20"/>
      <c r="AC136" s="20"/>
    </row>
    <row r="137" spans="1:29" s="2" customFormat="1" ht="21.95" customHeight="1">
      <c r="A137" s="160">
        <v>300085</v>
      </c>
      <c r="B137" s="153">
        <v>6503</v>
      </c>
      <c r="C137" s="248" t="s">
        <v>134</v>
      </c>
      <c r="D137" s="248" t="s">
        <v>131</v>
      </c>
      <c r="E137" s="166" t="s">
        <v>135</v>
      </c>
      <c r="F137" s="27"/>
      <c r="G137" s="110"/>
      <c r="H137" s="110"/>
      <c r="I137" s="110"/>
      <c r="J137" s="110"/>
      <c r="K137" s="164">
        <f t="shared" si="7"/>
        <v>0</v>
      </c>
      <c r="L137" s="164">
        <f t="shared" si="8"/>
        <v>0</v>
      </c>
      <c r="M137" s="164">
        <v>394.3</v>
      </c>
      <c r="N137" s="164">
        <f>+M137*1000/(104.2*4*15*60)*T137</f>
        <v>6.3067818298144598</v>
      </c>
      <c r="O137" s="164"/>
      <c r="P137" s="164">
        <f t="shared" si="9"/>
        <v>0</v>
      </c>
      <c r="Q137" s="164"/>
      <c r="R137" s="19">
        <f t="shared" si="10"/>
        <v>0</v>
      </c>
      <c r="S137" s="164">
        <f t="shared" si="11"/>
        <v>0</v>
      </c>
      <c r="T137" s="20">
        <v>6</v>
      </c>
      <c r="U137" s="20"/>
      <c r="V137" s="161" t="str">
        <f t="array" ref="V137">IF(ISERROR(L137/K137),"",L137/K137)</f>
        <v/>
      </c>
      <c r="W137" s="20"/>
      <c r="X137" s="20"/>
      <c r="Y137" s="20"/>
      <c r="Z137" s="20"/>
      <c r="AA137" s="20"/>
      <c r="AB137" s="20"/>
      <c r="AC137" s="20"/>
    </row>
    <row r="138" spans="1:29" s="2" customFormat="1" ht="21.95" customHeight="1">
      <c r="A138" s="160">
        <v>300087</v>
      </c>
      <c r="B138" s="153" t="s">
        <v>118</v>
      </c>
      <c r="C138" s="248" t="s">
        <v>134</v>
      </c>
      <c r="D138" s="248" t="s">
        <v>131</v>
      </c>
      <c r="E138" s="166" t="s">
        <v>80</v>
      </c>
      <c r="F138" s="27"/>
      <c r="G138" s="110"/>
      <c r="H138" s="110"/>
      <c r="I138" s="110"/>
      <c r="J138" s="110"/>
      <c r="K138" s="164">
        <f t="shared" si="7"/>
        <v>0</v>
      </c>
      <c r="L138" s="164">
        <f t="shared" si="8"/>
        <v>0</v>
      </c>
      <c r="M138" s="164">
        <v>380.1</v>
      </c>
      <c r="N138" s="164">
        <f>+M138*1000/(104.2*4*16*60)*T138</f>
        <v>4.7497300863723604</v>
      </c>
      <c r="O138" s="164"/>
      <c r="P138" s="164">
        <f t="shared" si="9"/>
        <v>0</v>
      </c>
      <c r="Q138" s="164"/>
      <c r="R138" s="19">
        <f t="shared" si="10"/>
        <v>0</v>
      </c>
      <c r="S138" s="164">
        <f t="shared" si="11"/>
        <v>0</v>
      </c>
      <c r="T138" s="20">
        <v>5</v>
      </c>
      <c r="U138" s="20"/>
      <c r="V138" s="161" t="str">
        <f t="array" ref="V138">IF(ISERROR(L138/K138),"",L138/K138)</f>
        <v/>
      </c>
      <c r="W138" s="20"/>
      <c r="X138" s="20"/>
      <c r="Y138" s="20"/>
      <c r="Z138" s="20"/>
      <c r="AA138" s="20"/>
      <c r="AB138" s="20"/>
      <c r="AC138" s="20"/>
    </row>
    <row r="139" spans="1:29" s="2" customFormat="1" ht="21" customHeight="1">
      <c r="A139" s="160">
        <v>300387</v>
      </c>
      <c r="B139" s="153" t="s">
        <v>136</v>
      </c>
      <c r="C139" s="259" t="s">
        <v>137</v>
      </c>
      <c r="D139" s="260"/>
      <c r="E139" s="166" t="s">
        <v>57</v>
      </c>
      <c r="F139" s="27"/>
      <c r="G139" s="110"/>
      <c r="H139" s="110"/>
      <c r="I139" s="110"/>
      <c r="J139" s="110"/>
      <c r="K139" s="164">
        <f t="shared" si="7"/>
        <v>0</v>
      </c>
      <c r="L139" s="164">
        <f t="shared" si="8"/>
        <v>0</v>
      </c>
      <c r="M139" s="164">
        <v>352.29</v>
      </c>
      <c r="N139" s="164">
        <f>+M139*1000/(104.2*4*16*60)*T139</f>
        <v>4.4022162907869484</v>
      </c>
      <c r="O139" s="164"/>
      <c r="P139" s="164">
        <f t="shared" si="9"/>
        <v>0</v>
      </c>
      <c r="Q139" s="164"/>
      <c r="R139" s="19">
        <f t="shared" si="10"/>
        <v>0</v>
      </c>
      <c r="S139" s="164">
        <f t="shared" si="11"/>
        <v>0</v>
      </c>
      <c r="T139" s="20">
        <v>5</v>
      </c>
      <c r="U139" s="20"/>
      <c r="V139" s="161" t="str">
        <f t="array" ref="V139">IF(ISERROR(L139/K139),"",L139/K139)</f>
        <v/>
      </c>
      <c r="W139" s="20"/>
      <c r="X139" s="20"/>
      <c r="Y139" s="20"/>
      <c r="Z139" s="20"/>
      <c r="AA139" s="20"/>
      <c r="AB139" s="20"/>
      <c r="AC139" s="20"/>
    </row>
    <row r="140" spans="1:29" s="2" customFormat="1" ht="21.95" customHeight="1">
      <c r="A140" s="160">
        <v>300388</v>
      </c>
      <c r="B140" s="153" t="s">
        <v>138</v>
      </c>
      <c r="C140" s="259" t="s">
        <v>137</v>
      </c>
      <c r="D140" s="260"/>
      <c r="E140" s="166" t="s">
        <v>117</v>
      </c>
      <c r="F140" s="27"/>
      <c r="G140" s="110"/>
      <c r="H140" s="110"/>
      <c r="I140" s="110"/>
      <c r="J140" s="110"/>
      <c r="K140" s="164">
        <f t="shared" si="7"/>
        <v>0</v>
      </c>
      <c r="L140" s="164">
        <f t="shared" si="8"/>
        <v>0</v>
      </c>
      <c r="M140" s="164">
        <v>352.29</v>
      </c>
      <c r="N140" s="164">
        <f>+M140*1000/(104.2*4*16*60)*T140</f>
        <v>4.4022162907869484</v>
      </c>
      <c r="O140" s="164"/>
      <c r="P140" s="164">
        <f t="shared" si="9"/>
        <v>0</v>
      </c>
      <c r="Q140" s="164"/>
      <c r="R140" s="19">
        <f t="shared" si="10"/>
        <v>0</v>
      </c>
      <c r="S140" s="164">
        <f t="shared" si="11"/>
        <v>0</v>
      </c>
      <c r="T140" s="20">
        <v>5</v>
      </c>
      <c r="U140" s="20"/>
      <c r="V140" s="161" t="str">
        <f t="array" ref="V140">IF(ISERROR(L140/K140),"",L140/K140)</f>
        <v/>
      </c>
      <c r="W140" s="20"/>
      <c r="X140" s="20"/>
      <c r="Y140" s="20"/>
      <c r="Z140" s="20"/>
      <c r="AA140" s="20"/>
      <c r="AB140" s="20"/>
      <c r="AC140" s="20"/>
    </row>
    <row r="141" spans="1:29" s="2" customFormat="1" ht="21.95" customHeight="1">
      <c r="A141" s="160">
        <v>300123</v>
      </c>
      <c r="B141" s="153" t="s">
        <v>118</v>
      </c>
      <c r="C141" s="248" t="s">
        <v>139</v>
      </c>
      <c r="D141" s="248" t="s">
        <v>140</v>
      </c>
      <c r="E141" s="166" t="s">
        <v>135</v>
      </c>
      <c r="F141" s="27"/>
      <c r="G141" s="110"/>
      <c r="H141" s="110"/>
      <c r="I141" s="110"/>
      <c r="J141" s="110"/>
      <c r="K141" s="164">
        <f t="shared" si="7"/>
        <v>0</v>
      </c>
      <c r="L141" s="164">
        <f t="shared" si="8"/>
        <v>0</v>
      </c>
      <c r="M141" s="164">
        <v>557</v>
      </c>
      <c r="N141" s="164">
        <f>+M141*1000/(126.5*4*15*60)*T141</f>
        <v>6.1155028546332888</v>
      </c>
      <c r="O141" s="164"/>
      <c r="P141" s="164">
        <f t="shared" si="9"/>
        <v>0</v>
      </c>
      <c r="Q141" s="164"/>
      <c r="R141" s="19">
        <f t="shared" si="10"/>
        <v>0</v>
      </c>
      <c r="S141" s="164">
        <f t="shared" si="11"/>
        <v>0</v>
      </c>
      <c r="T141" s="20">
        <v>5</v>
      </c>
      <c r="U141" s="20"/>
      <c r="V141" s="161" t="str">
        <f t="array" ref="V141">IF(ISERROR(L141/K141),"",L141/K141)</f>
        <v/>
      </c>
      <c r="W141" s="20"/>
      <c r="X141" s="20"/>
      <c r="Y141" s="20"/>
      <c r="Z141" s="20"/>
      <c r="AA141" s="20"/>
      <c r="AB141" s="20"/>
      <c r="AC141" s="20"/>
    </row>
    <row r="142" spans="1:29" s="2" customFormat="1" ht="21.95" customHeight="1">
      <c r="A142" s="160">
        <v>300270</v>
      </c>
      <c r="B142" s="153" t="s">
        <v>118</v>
      </c>
      <c r="C142" s="248" t="s">
        <v>141</v>
      </c>
      <c r="D142" s="248"/>
      <c r="E142" s="166" t="s">
        <v>142</v>
      </c>
      <c r="F142" s="27"/>
      <c r="G142" s="110"/>
      <c r="H142" s="110"/>
      <c r="I142" s="110"/>
      <c r="J142" s="110"/>
      <c r="K142" s="164">
        <f t="shared" si="7"/>
        <v>0</v>
      </c>
      <c r="L142" s="164">
        <f t="shared" si="8"/>
        <v>0</v>
      </c>
      <c r="M142" s="164">
        <v>485.7</v>
      </c>
      <c r="N142" s="164">
        <f>+M142*1000/(126.5*4*15*60)*T142</f>
        <v>4.2661396574440049</v>
      </c>
      <c r="O142" s="164"/>
      <c r="P142" s="164">
        <f t="shared" si="9"/>
        <v>0</v>
      </c>
      <c r="Q142" s="164"/>
      <c r="R142" s="19">
        <f t="shared" si="10"/>
        <v>0</v>
      </c>
      <c r="S142" s="164">
        <f t="shared" si="11"/>
        <v>0</v>
      </c>
      <c r="T142" s="20">
        <v>4</v>
      </c>
      <c r="U142" s="20"/>
      <c r="V142" s="161" t="str">
        <f t="array" ref="V142">IF(ISERROR(L142/K142),"",L142/K142)</f>
        <v/>
      </c>
      <c r="W142" s="20"/>
      <c r="X142" s="20"/>
      <c r="Y142" s="20"/>
      <c r="Z142" s="20"/>
      <c r="AA142" s="20"/>
      <c r="AB142" s="20"/>
      <c r="AC142" s="20"/>
    </row>
    <row r="143" spans="1:29" s="2" customFormat="1" ht="21.95" customHeight="1">
      <c r="A143" s="160">
        <v>300336</v>
      </c>
      <c r="B143" s="153" t="s">
        <v>136</v>
      </c>
      <c r="C143" s="248" t="s">
        <v>143</v>
      </c>
      <c r="D143" s="248"/>
      <c r="E143" s="166" t="s">
        <v>84</v>
      </c>
      <c r="F143" s="27"/>
      <c r="G143" s="110"/>
      <c r="H143" s="110"/>
      <c r="I143" s="110"/>
      <c r="J143" s="110"/>
      <c r="K143" s="164">
        <f t="shared" si="7"/>
        <v>0</v>
      </c>
      <c r="L143" s="164">
        <f t="shared" si="8"/>
        <v>0</v>
      </c>
      <c r="M143" s="164">
        <v>411.4</v>
      </c>
      <c r="N143" s="164">
        <f>+M143*1000/(104.2*4*16*60)*T143</f>
        <v>2.0563419705694179</v>
      </c>
      <c r="O143" s="164"/>
      <c r="P143" s="164">
        <f t="shared" si="9"/>
        <v>0</v>
      </c>
      <c r="Q143" s="164"/>
      <c r="R143" s="19">
        <f t="shared" si="10"/>
        <v>0</v>
      </c>
      <c r="S143" s="164">
        <f t="shared" si="11"/>
        <v>0</v>
      </c>
      <c r="T143" s="20">
        <v>2</v>
      </c>
      <c r="U143" s="20"/>
      <c r="V143" s="161" t="str">
        <f t="array" ref="V143">IF(ISERROR(L143/K143),"",L143/K143)</f>
        <v/>
      </c>
      <c r="W143" s="20"/>
      <c r="X143" s="20"/>
      <c r="Y143" s="20"/>
      <c r="Z143" s="20"/>
      <c r="AA143" s="20"/>
      <c r="AB143" s="20"/>
      <c r="AC143" s="20"/>
    </row>
    <row r="144" spans="1:29" s="2" customFormat="1" ht="21.95" customHeight="1">
      <c r="A144" s="160">
        <v>300337</v>
      </c>
      <c r="B144" s="153" t="s">
        <v>138</v>
      </c>
      <c r="C144" s="248" t="s">
        <v>143</v>
      </c>
      <c r="D144" s="248"/>
      <c r="E144" s="166" t="s">
        <v>49</v>
      </c>
      <c r="F144" s="27"/>
      <c r="G144" s="110"/>
      <c r="H144" s="110"/>
      <c r="I144" s="110"/>
      <c r="J144" s="110"/>
      <c r="K144" s="164">
        <f t="shared" si="7"/>
        <v>0</v>
      </c>
      <c r="L144" s="164">
        <f t="shared" si="8"/>
        <v>0</v>
      </c>
      <c r="M144" s="164">
        <v>411.4</v>
      </c>
      <c r="N144" s="164">
        <f>+M144*1000/(104.2*4*16*60)*T144</f>
        <v>2.0563419705694179</v>
      </c>
      <c r="O144" s="164"/>
      <c r="P144" s="164">
        <f t="shared" si="9"/>
        <v>0</v>
      </c>
      <c r="Q144" s="164"/>
      <c r="R144" s="19">
        <f t="shared" si="10"/>
        <v>0</v>
      </c>
      <c r="S144" s="164">
        <f t="shared" si="11"/>
        <v>0</v>
      </c>
      <c r="T144" s="20">
        <v>2</v>
      </c>
      <c r="U144" s="20"/>
      <c r="V144" s="161"/>
      <c r="W144" s="20"/>
      <c r="X144" s="20"/>
      <c r="Y144" s="20"/>
      <c r="Z144" s="20"/>
      <c r="AA144" s="20"/>
      <c r="AB144" s="20"/>
      <c r="AC144" s="20"/>
    </row>
    <row r="145" spans="1:29" s="2" customFormat="1" ht="21.95" customHeight="1">
      <c r="A145" s="160">
        <v>300338</v>
      </c>
      <c r="B145" s="153" t="s">
        <v>144</v>
      </c>
      <c r="C145" s="248" t="s">
        <v>143</v>
      </c>
      <c r="D145" s="248"/>
      <c r="E145" s="166" t="s">
        <v>85</v>
      </c>
      <c r="F145" s="27"/>
      <c r="G145" s="110"/>
      <c r="H145" s="110"/>
      <c r="I145" s="110"/>
      <c r="J145" s="110"/>
      <c r="K145" s="164">
        <f t="shared" si="7"/>
        <v>0</v>
      </c>
      <c r="L145" s="164">
        <f t="shared" si="8"/>
        <v>0</v>
      </c>
      <c r="M145" s="164">
        <v>411.4</v>
      </c>
      <c r="N145" s="164">
        <f>+M145*1000/(104.2*4*16*60)*T145</f>
        <v>2.0563419705694179</v>
      </c>
      <c r="O145" s="164"/>
      <c r="P145" s="164">
        <f t="shared" si="9"/>
        <v>0</v>
      </c>
      <c r="Q145" s="164"/>
      <c r="R145" s="19">
        <f t="shared" si="10"/>
        <v>0</v>
      </c>
      <c r="S145" s="164">
        <f t="shared" si="11"/>
        <v>0</v>
      </c>
      <c r="T145" s="20">
        <v>2</v>
      </c>
      <c r="U145" s="20"/>
      <c r="V145" s="161"/>
      <c r="W145" s="20"/>
      <c r="X145" s="20"/>
      <c r="Y145" s="20"/>
      <c r="Z145" s="20"/>
      <c r="AA145" s="20"/>
      <c r="AB145" s="20"/>
      <c r="AC145" s="20"/>
    </row>
    <row r="146" spans="1:29" s="2" customFormat="1" ht="21.95" customHeight="1">
      <c r="A146" s="160">
        <v>300309</v>
      </c>
      <c r="B146" s="153">
        <v>6504</v>
      </c>
      <c r="C146" s="248" t="s">
        <v>145</v>
      </c>
      <c r="D146" s="248"/>
      <c r="E146" s="166" t="s">
        <v>47</v>
      </c>
      <c r="F146" s="27"/>
      <c r="G146" s="110"/>
      <c r="H146" s="110"/>
      <c r="I146" s="110"/>
      <c r="J146" s="110"/>
      <c r="K146" s="164">
        <f t="shared" si="7"/>
        <v>0</v>
      </c>
      <c r="L146" s="164">
        <f t="shared" si="8"/>
        <v>0</v>
      </c>
      <c r="M146" s="164">
        <v>316.88</v>
      </c>
      <c r="N146" s="15">
        <f>+M146*1000/(75.2*4*16*60)*T146</f>
        <v>6.5841090425531918</v>
      </c>
      <c r="O146" s="164"/>
      <c r="P146" s="164">
        <f t="shared" si="9"/>
        <v>0</v>
      </c>
      <c r="Q146" s="164"/>
      <c r="R146" s="19">
        <f t="shared" si="10"/>
        <v>0</v>
      </c>
      <c r="S146" s="164">
        <f t="shared" si="11"/>
        <v>0</v>
      </c>
      <c r="T146" s="20">
        <v>6</v>
      </c>
      <c r="U146" s="20"/>
      <c r="V146" s="161" t="str">
        <f t="array" ref="V146">IF(ISERROR(L146/K146),"",L146/K146)</f>
        <v/>
      </c>
      <c r="W146" s="20"/>
      <c r="X146" s="20"/>
      <c r="Y146" s="20"/>
      <c r="Z146" s="20"/>
      <c r="AA146" s="20"/>
      <c r="AB146" s="20"/>
      <c r="AC146" s="20"/>
    </row>
    <row r="147" spans="1:29" s="2" customFormat="1" ht="21.95" customHeight="1">
      <c r="A147" s="160">
        <v>300310</v>
      </c>
      <c r="B147" s="153">
        <v>6504</v>
      </c>
      <c r="C147" s="248" t="s">
        <v>145</v>
      </c>
      <c r="D147" s="248"/>
      <c r="E147" s="166" t="s">
        <v>146</v>
      </c>
      <c r="F147" s="27"/>
      <c r="G147" s="110"/>
      <c r="H147" s="110"/>
      <c r="I147" s="110"/>
      <c r="J147" s="110"/>
      <c r="K147" s="164">
        <f t="shared" si="7"/>
        <v>0</v>
      </c>
      <c r="L147" s="164">
        <f t="shared" si="8"/>
        <v>0</v>
      </c>
      <c r="M147" s="164">
        <v>316.88</v>
      </c>
      <c r="N147" s="15">
        <f>+M147*1000/(75.2*4*16*60)*T147</f>
        <v>6.5841090425531918</v>
      </c>
      <c r="O147" s="164"/>
      <c r="P147" s="164">
        <f t="shared" si="9"/>
        <v>0</v>
      </c>
      <c r="Q147" s="164"/>
      <c r="R147" s="19">
        <f t="shared" si="10"/>
        <v>0</v>
      </c>
      <c r="S147" s="164">
        <f t="shared" si="11"/>
        <v>0</v>
      </c>
      <c r="T147" s="20">
        <v>6</v>
      </c>
      <c r="U147" s="20"/>
      <c r="V147" s="161" t="str">
        <f t="array" ref="V147">IF(ISERROR(L147/K147),"",L147/K147)</f>
        <v/>
      </c>
      <c r="W147" s="20"/>
      <c r="X147" s="20"/>
      <c r="Y147" s="20"/>
      <c r="Z147" s="20"/>
      <c r="AA147" s="20"/>
      <c r="AB147" s="20"/>
      <c r="AC147" s="20"/>
    </row>
    <row r="148" spans="1:29" s="2" customFormat="1" ht="21.95" customHeight="1">
      <c r="A148" s="160">
        <v>300312</v>
      </c>
      <c r="B148" s="153">
        <v>6504</v>
      </c>
      <c r="C148" s="248" t="s">
        <v>145</v>
      </c>
      <c r="D148" s="248"/>
      <c r="E148" s="166" t="s">
        <v>147</v>
      </c>
      <c r="F148" s="27"/>
      <c r="G148" s="110"/>
      <c r="H148" s="110"/>
      <c r="I148" s="110"/>
      <c r="J148" s="110"/>
      <c r="K148" s="164">
        <f t="shared" si="7"/>
        <v>0</v>
      </c>
      <c r="L148" s="164">
        <f t="shared" si="8"/>
        <v>0</v>
      </c>
      <c r="M148" s="164">
        <v>316.88</v>
      </c>
      <c r="N148" s="15">
        <f>+M148*1000/(75.2*4*16*60)*T148</f>
        <v>6.5841090425531918</v>
      </c>
      <c r="O148" s="164"/>
      <c r="P148" s="164">
        <f t="shared" si="9"/>
        <v>0</v>
      </c>
      <c r="Q148" s="164"/>
      <c r="R148" s="19">
        <f t="shared" si="10"/>
        <v>0</v>
      </c>
      <c r="S148" s="164">
        <f t="shared" si="11"/>
        <v>0</v>
      </c>
      <c r="T148" s="20">
        <v>6</v>
      </c>
      <c r="U148" s="20"/>
      <c r="V148" s="161" t="str">
        <f t="array" ref="V148">IF(ISERROR(L148/K148),"",L148/K148)</f>
        <v/>
      </c>
      <c r="W148" s="20"/>
      <c r="X148" s="20"/>
      <c r="Y148" s="20"/>
      <c r="Z148" s="20"/>
      <c r="AA148" s="20"/>
      <c r="AB148" s="20"/>
      <c r="AC148" s="20"/>
    </row>
    <row r="149" spans="1:29" s="2" customFormat="1" ht="21.95" customHeight="1">
      <c r="A149" s="160">
        <v>300311</v>
      </c>
      <c r="B149" s="153">
        <v>6504</v>
      </c>
      <c r="C149" s="259" t="s">
        <v>145</v>
      </c>
      <c r="D149" s="260"/>
      <c r="E149" s="166" t="s">
        <v>74</v>
      </c>
      <c r="F149" s="27"/>
      <c r="G149" s="110"/>
      <c r="H149" s="110"/>
      <c r="I149" s="110"/>
      <c r="J149" s="110"/>
      <c r="K149" s="164">
        <f t="shared" si="7"/>
        <v>0</v>
      </c>
      <c r="L149" s="164">
        <f t="shared" si="8"/>
        <v>0</v>
      </c>
      <c r="M149" s="164">
        <v>316.88</v>
      </c>
      <c r="N149" s="15">
        <f>+M149*1000/(75.2*4*16*60)*T149</f>
        <v>6.5841090425531918</v>
      </c>
      <c r="O149" s="164"/>
      <c r="P149" s="164">
        <f t="shared" si="9"/>
        <v>0</v>
      </c>
      <c r="Q149" s="164"/>
      <c r="R149" s="19">
        <f t="shared" si="10"/>
        <v>0</v>
      </c>
      <c r="S149" s="164">
        <f t="shared" si="11"/>
        <v>0</v>
      </c>
      <c r="T149" s="20">
        <v>6</v>
      </c>
      <c r="U149" s="20"/>
      <c r="V149" s="161" t="str">
        <f t="array" ref="V149">IF(ISERROR(L149/K149),"",L149/K149)</f>
        <v/>
      </c>
      <c r="W149" s="20"/>
      <c r="X149" s="20"/>
      <c r="Y149" s="20"/>
      <c r="Z149" s="20"/>
      <c r="AA149" s="20"/>
      <c r="AB149" s="20"/>
      <c r="AC149" s="20"/>
    </row>
    <row r="150" spans="1:29" s="2" customFormat="1" ht="21.95" customHeight="1">
      <c r="A150" s="160">
        <v>300399</v>
      </c>
      <c r="B150" s="153">
        <v>18501</v>
      </c>
      <c r="C150" s="264" t="s">
        <v>148</v>
      </c>
      <c r="D150" s="265"/>
      <c r="E150" s="32" t="s">
        <v>41</v>
      </c>
      <c r="F150" s="27"/>
      <c r="G150" s="110"/>
      <c r="H150" s="110"/>
      <c r="I150" s="110"/>
      <c r="J150" s="110"/>
      <c r="K150" s="164">
        <f t="shared" si="7"/>
        <v>0</v>
      </c>
      <c r="L150" s="164">
        <f t="shared" si="8"/>
        <v>0</v>
      </c>
      <c r="M150" s="164">
        <v>311.2</v>
      </c>
      <c r="N150" s="40">
        <f>+M150*1000/(100*4*16*60)*T150</f>
        <v>4.8624999999999998</v>
      </c>
      <c r="O150" s="164"/>
      <c r="P150" s="164">
        <f t="shared" si="9"/>
        <v>0</v>
      </c>
      <c r="Q150" s="164"/>
      <c r="R150" s="19">
        <f t="shared" si="10"/>
        <v>0</v>
      </c>
      <c r="S150" s="164">
        <f t="shared" si="11"/>
        <v>0</v>
      </c>
      <c r="T150" s="43">
        <v>6</v>
      </c>
      <c r="U150" s="20"/>
      <c r="V150" s="161"/>
      <c r="W150" s="20"/>
      <c r="X150" s="20"/>
      <c r="Y150" s="20"/>
      <c r="Z150" s="20"/>
      <c r="AA150" s="20"/>
      <c r="AB150" s="20"/>
      <c r="AC150" s="20"/>
    </row>
    <row r="151" spans="1:29" s="2" customFormat="1" ht="21.95" customHeight="1">
      <c r="A151" s="160">
        <v>300400</v>
      </c>
      <c r="B151" s="153">
        <v>18501</v>
      </c>
      <c r="C151" s="264" t="s">
        <v>148</v>
      </c>
      <c r="D151" s="265"/>
      <c r="E151" s="32" t="s">
        <v>66</v>
      </c>
      <c r="F151" s="27"/>
      <c r="G151" s="110"/>
      <c r="H151" s="110"/>
      <c r="I151" s="110"/>
      <c r="J151" s="110"/>
      <c r="K151" s="164">
        <f t="shared" si="7"/>
        <v>0</v>
      </c>
      <c r="L151" s="164">
        <f t="shared" si="8"/>
        <v>0</v>
      </c>
      <c r="M151" s="164">
        <v>311.2</v>
      </c>
      <c r="N151" s="40">
        <f>+M151*1000/(100*4*16*60)*T151</f>
        <v>4.8624999999999998</v>
      </c>
      <c r="O151" s="164"/>
      <c r="P151" s="164">
        <f t="shared" si="9"/>
        <v>0</v>
      </c>
      <c r="Q151" s="164"/>
      <c r="R151" s="19">
        <f t="shared" si="10"/>
        <v>0</v>
      </c>
      <c r="S151" s="164">
        <f t="shared" si="11"/>
        <v>0</v>
      </c>
      <c r="T151" s="43">
        <v>6</v>
      </c>
      <c r="U151" s="20"/>
      <c r="V151" s="161"/>
      <c r="W151" s="20"/>
      <c r="X151" s="20"/>
      <c r="Y151" s="20"/>
      <c r="Z151" s="20"/>
      <c r="AA151" s="20"/>
      <c r="AB151" s="20"/>
      <c r="AC151" s="20"/>
    </row>
    <row r="152" spans="1:29" s="2" customFormat="1" ht="21.95" customHeight="1">
      <c r="A152" s="160">
        <v>300401</v>
      </c>
      <c r="B152" s="153">
        <v>18501</v>
      </c>
      <c r="C152" s="264" t="s">
        <v>148</v>
      </c>
      <c r="D152" s="265"/>
      <c r="E152" s="32" t="s">
        <v>149</v>
      </c>
      <c r="F152" s="27"/>
      <c r="G152" s="110"/>
      <c r="H152" s="110"/>
      <c r="I152" s="110"/>
      <c r="J152" s="110"/>
      <c r="K152" s="164">
        <f t="shared" si="7"/>
        <v>0</v>
      </c>
      <c r="L152" s="164">
        <f t="shared" si="8"/>
        <v>0</v>
      </c>
      <c r="M152" s="164">
        <v>311.2</v>
      </c>
      <c r="N152" s="40">
        <f>+M152*1000/(100*4*16*60)*T152</f>
        <v>4.8624999999999998</v>
      </c>
      <c r="O152" s="164"/>
      <c r="P152" s="164">
        <f t="shared" si="9"/>
        <v>0</v>
      </c>
      <c r="Q152" s="164"/>
      <c r="R152" s="19">
        <f t="shared" si="10"/>
        <v>0</v>
      </c>
      <c r="S152" s="164">
        <f t="shared" si="11"/>
        <v>0</v>
      </c>
      <c r="T152" s="43">
        <v>6</v>
      </c>
      <c r="U152" s="20"/>
      <c r="V152" s="161"/>
      <c r="W152" s="20"/>
      <c r="X152" s="20"/>
      <c r="Y152" s="20"/>
      <c r="Z152" s="20"/>
      <c r="AA152" s="20"/>
      <c r="AB152" s="20"/>
      <c r="AC152" s="20"/>
    </row>
    <row r="153" spans="1:29" s="2" customFormat="1" ht="21.95" customHeight="1">
      <c r="A153" s="160">
        <v>300402</v>
      </c>
      <c r="B153" s="153">
        <v>18501</v>
      </c>
      <c r="C153" s="264" t="s">
        <v>150</v>
      </c>
      <c r="D153" s="265"/>
      <c r="E153" s="32" t="s">
        <v>151</v>
      </c>
      <c r="F153" s="27"/>
      <c r="G153" s="110"/>
      <c r="H153" s="110"/>
      <c r="I153" s="110"/>
      <c r="J153" s="110"/>
      <c r="K153" s="164">
        <f t="shared" si="7"/>
        <v>0</v>
      </c>
      <c r="L153" s="164">
        <f t="shared" si="8"/>
        <v>0</v>
      </c>
      <c r="M153" s="164">
        <v>465.3</v>
      </c>
      <c r="N153" s="40">
        <f>+M153*1000/(137*4*16*60)*T153</f>
        <v>5.3067974452554747</v>
      </c>
      <c r="O153" s="164"/>
      <c r="P153" s="164">
        <f t="shared" si="9"/>
        <v>0</v>
      </c>
      <c r="Q153" s="164"/>
      <c r="R153" s="19">
        <f t="shared" si="10"/>
        <v>0</v>
      </c>
      <c r="S153" s="164">
        <f t="shared" si="11"/>
        <v>0</v>
      </c>
      <c r="T153" s="43">
        <v>6</v>
      </c>
      <c r="U153" s="20"/>
      <c r="V153" s="161"/>
      <c r="W153" s="20"/>
      <c r="X153" s="20"/>
      <c r="Y153" s="20"/>
      <c r="Z153" s="20"/>
      <c r="AA153" s="20"/>
      <c r="AB153" s="20"/>
      <c r="AC153" s="20"/>
    </row>
    <row r="154" spans="1:29" s="2" customFormat="1" ht="21.95" customHeight="1">
      <c r="A154" s="160">
        <v>300403</v>
      </c>
      <c r="B154" s="153">
        <v>18501</v>
      </c>
      <c r="C154" s="264" t="s">
        <v>150</v>
      </c>
      <c r="D154" s="265"/>
      <c r="E154" s="32" t="s">
        <v>152</v>
      </c>
      <c r="F154" s="27"/>
      <c r="G154" s="110"/>
      <c r="H154" s="110"/>
      <c r="I154" s="110"/>
      <c r="J154" s="110"/>
      <c r="K154" s="164">
        <f t="shared" ref="K154:K190" si="15">G154*M154</f>
        <v>0</v>
      </c>
      <c r="L154" s="164">
        <f t="shared" ref="L154:L190" si="16">I154*M154</f>
        <v>0</v>
      </c>
      <c r="M154" s="164">
        <v>465.3</v>
      </c>
      <c r="N154" s="40">
        <f>+M154*1000/(137*4*16*60)*T154</f>
        <v>5.3067974452554747</v>
      </c>
      <c r="O154" s="164"/>
      <c r="P154" s="164">
        <f t="shared" ref="P154:P190" si="17">N154*I154+O154*U154</f>
        <v>0</v>
      </c>
      <c r="Q154" s="164"/>
      <c r="R154" s="19">
        <f t="shared" ref="R154:R190" si="18">Q154*U154</f>
        <v>0</v>
      </c>
      <c r="S154" s="164">
        <f t="shared" ref="S154:S190" si="19">R154-P154</f>
        <v>0</v>
      </c>
      <c r="T154" s="43">
        <v>6</v>
      </c>
      <c r="U154" s="20"/>
      <c r="V154" s="161"/>
      <c r="W154" s="20"/>
      <c r="X154" s="20"/>
      <c r="Y154" s="20"/>
      <c r="Z154" s="20"/>
      <c r="AA154" s="20"/>
      <c r="AB154" s="20"/>
      <c r="AC154" s="20"/>
    </row>
    <row r="155" spans="1:29" s="2" customFormat="1" ht="21.95" customHeight="1">
      <c r="A155" s="160">
        <v>300404</v>
      </c>
      <c r="B155" s="153">
        <v>18501</v>
      </c>
      <c r="C155" s="264" t="s">
        <v>150</v>
      </c>
      <c r="D155" s="265"/>
      <c r="E155" s="32" t="s">
        <v>70</v>
      </c>
      <c r="F155" s="27"/>
      <c r="G155" s="110"/>
      <c r="H155" s="110"/>
      <c r="I155" s="110"/>
      <c r="J155" s="110"/>
      <c r="K155" s="164">
        <f t="shared" si="15"/>
        <v>0</v>
      </c>
      <c r="L155" s="164">
        <f t="shared" si="16"/>
        <v>0</v>
      </c>
      <c r="M155" s="164">
        <v>465.3</v>
      </c>
      <c r="N155" s="40">
        <f>+M155*1000/(137*4*16*60)*T155</f>
        <v>5.3067974452554747</v>
      </c>
      <c r="O155" s="164"/>
      <c r="P155" s="164">
        <f t="shared" si="17"/>
        <v>0</v>
      </c>
      <c r="Q155" s="164"/>
      <c r="R155" s="19">
        <f t="shared" si="18"/>
        <v>0</v>
      </c>
      <c r="S155" s="164">
        <f t="shared" si="19"/>
        <v>0</v>
      </c>
      <c r="T155" s="43">
        <v>6</v>
      </c>
      <c r="U155" s="20"/>
      <c r="V155" s="161"/>
      <c r="W155" s="20"/>
      <c r="X155" s="20"/>
      <c r="Y155" s="20"/>
      <c r="Z155" s="20"/>
      <c r="AA155" s="20"/>
      <c r="AB155" s="20"/>
      <c r="AC155" s="20"/>
    </row>
    <row r="156" spans="1:29" s="2" customFormat="1" ht="21.95" customHeight="1">
      <c r="A156" s="160">
        <v>300405</v>
      </c>
      <c r="B156" s="153">
        <v>18501</v>
      </c>
      <c r="C156" s="264" t="s">
        <v>150</v>
      </c>
      <c r="D156" s="265"/>
      <c r="E156" s="32" t="s">
        <v>35</v>
      </c>
      <c r="F156" s="27"/>
      <c r="G156" s="110"/>
      <c r="H156" s="110"/>
      <c r="I156" s="110"/>
      <c r="J156" s="110"/>
      <c r="K156" s="164">
        <f t="shared" si="15"/>
        <v>0</v>
      </c>
      <c r="L156" s="164">
        <f t="shared" si="16"/>
        <v>0</v>
      </c>
      <c r="M156" s="164">
        <v>465.3</v>
      </c>
      <c r="N156" s="40">
        <f>+M156*1000/(137*4*16*60)*T156</f>
        <v>5.3067974452554747</v>
      </c>
      <c r="O156" s="164"/>
      <c r="P156" s="164">
        <f t="shared" si="17"/>
        <v>0</v>
      </c>
      <c r="Q156" s="164"/>
      <c r="R156" s="19">
        <f t="shared" si="18"/>
        <v>0</v>
      </c>
      <c r="S156" s="164">
        <f t="shared" si="19"/>
        <v>0</v>
      </c>
      <c r="T156" s="43">
        <v>6</v>
      </c>
      <c r="U156" s="20"/>
      <c r="V156" s="161"/>
      <c r="W156" s="20"/>
      <c r="X156" s="20"/>
      <c r="Y156" s="20"/>
      <c r="Z156" s="20"/>
      <c r="AA156" s="20"/>
      <c r="AB156" s="20"/>
      <c r="AC156" s="20"/>
    </row>
    <row r="157" spans="1:29" s="2" customFormat="1" ht="21.95" customHeight="1">
      <c r="A157" s="160">
        <v>300372</v>
      </c>
      <c r="B157" s="153">
        <v>18501</v>
      </c>
      <c r="C157" s="259" t="s">
        <v>153</v>
      </c>
      <c r="D157" s="260"/>
      <c r="E157" s="166" t="s">
        <v>47</v>
      </c>
      <c r="F157" s="27"/>
      <c r="G157" s="110"/>
      <c r="H157" s="110"/>
      <c r="I157" s="110"/>
      <c r="J157" s="110"/>
      <c r="K157" s="164">
        <f t="shared" si="15"/>
        <v>0</v>
      </c>
      <c r="L157" s="164">
        <f t="shared" si="16"/>
        <v>0</v>
      </c>
      <c r="M157" s="164">
        <v>420.58</v>
      </c>
      <c r="N157" s="15">
        <f>+M157*1000/(140*4*16*60)*T157</f>
        <v>4.6939732142857142</v>
      </c>
      <c r="O157" s="164"/>
      <c r="P157" s="164">
        <f t="shared" si="17"/>
        <v>0</v>
      </c>
      <c r="Q157" s="164"/>
      <c r="R157" s="19">
        <f t="shared" si="18"/>
        <v>0</v>
      </c>
      <c r="S157" s="164">
        <f t="shared" si="19"/>
        <v>0</v>
      </c>
      <c r="T157" s="20">
        <v>6</v>
      </c>
      <c r="U157" s="20"/>
      <c r="V157" s="161"/>
      <c r="W157" s="20"/>
      <c r="X157" s="20"/>
      <c r="Y157" s="20"/>
      <c r="Z157" s="20"/>
      <c r="AA157" s="20"/>
      <c r="AB157" s="20"/>
      <c r="AC157" s="20"/>
    </row>
    <row r="158" spans="1:29" s="2" customFormat="1" ht="21.95" customHeight="1">
      <c r="A158" s="160">
        <v>300373</v>
      </c>
      <c r="B158" s="153">
        <v>18501</v>
      </c>
      <c r="C158" s="259" t="s">
        <v>153</v>
      </c>
      <c r="D158" s="260"/>
      <c r="E158" s="166" t="s">
        <v>146</v>
      </c>
      <c r="F158" s="27"/>
      <c r="G158" s="110"/>
      <c r="H158" s="110"/>
      <c r="I158" s="110"/>
      <c r="J158" s="110"/>
      <c r="K158" s="164">
        <f t="shared" si="15"/>
        <v>0</v>
      </c>
      <c r="L158" s="164">
        <f t="shared" si="16"/>
        <v>0</v>
      </c>
      <c r="M158" s="164">
        <v>420.58</v>
      </c>
      <c r="N158" s="15">
        <f>+M158*1000/(140*4*16*60)*T158</f>
        <v>4.6939732142857142</v>
      </c>
      <c r="O158" s="164"/>
      <c r="P158" s="164">
        <f t="shared" si="17"/>
        <v>0</v>
      </c>
      <c r="Q158" s="164"/>
      <c r="R158" s="19">
        <f t="shared" si="18"/>
        <v>0</v>
      </c>
      <c r="S158" s="164">
        <f t="shared" si="19"/>
        <v>0</v>
      </c>
      <c r="T158" s="20">
        <v>6</v>
      </c>
      <c r="U158" s="20"/>
      <c r="V158" s="161"/>
      <c r="W158" s="20"/>
      <c r="X158" s="20"/>
      <c r="Y158" s="20"/>
      <c r="Z158" s="20"/>
      <c r="AA158" s="20"/>
      <c r="AB158" s="20"/>
      <c r="AC158" s="20"/>
    </row>
    <row r="159" spans="1:29" s="2" customFormat="1" ht="21.95" customHeight="1">
      <c r="A159" s="160">
        <v>300374</v>
      </c>
      <c r="B159" s="153">
        <v>18501</v>
      </c>
      <c r="C159" s="259" t="s">
        <v>153</v>
      </c>
      <c r="D159" s="260"/>
      <c r="E159" s="166" t="s">
        <v>147</v>
      </c>
      <c r="F159" s="27"/>
      <c r="G159" s="110"/>
      <c r="H159" s="110"/>
      <c r="I159" s="110"/>
      <c r="J159" s="110"/>
      <c r="K159" s="164">
        <f t="shared" si="15"/>
        <v>0</v>
      </c>
      <c r="L159" s="164">
        <f t="shared" si="16"/>
        <v>0</v>
      </c>
      <c r="M159" s="164">
        <v>420.58</v>
      </c>
      <c r="N159" s="15">
        <f>+M159*1000/(140*4*16*60)*T159</f>
        <v>4.6939732142857142</v>
      </c>
      <c r="O159" s="164"/>
      <c r="P159" s="164">
        <f t="shared" si="17"/>
        <v>0</v>
      </c>
      <c r="Q159" s="164"/>
      <c r="R159" s="19">
        <f t="shared" si="18"/>
        <v>0</v>
      </c>
      <c r="S159" s="164">
        <f t="shared" si="19"/>
        <v>0</v>
      </c>
      <c r="T159" s="20">
        <v>6</v>
      </c>
      <c r="U159" s="20"/>
      <c r="V159" s="161"/>
      <c r="W159" s="20"/>
      <c r="X159" s="20"/>
      <c r="Y159" s="20"/>
      <c r="Z159" s="20"/>
      <c r="AA159" s="20"/>
      <c r="AB159" s="20"/>
      <c r="AC159" s="20"/>
    </row>
    <row r="160" spans="1:29" s="2" customFormat="1" ht="21.95" customHeight="1">
      <c r="A160" s="160">
        <v>300375</v>
      </c>
      <c r="B160" s="153">
        <v>18501</v>
      </c>
      <c r="C160" s="259" t="s">
        <v>153</v>
      </c>
      <c r="D160" s="260"/>
      <c r="E160" s="166" t="s">
        <v>74</v>
      </c>
      <c r="F160" s="27"/>
      <c r="G160" s="110"/>
      <c r="H160" s="110"/>
      <c r="I160" s="110"/>
      <c r="J160" s="110"/>
      <c r="K160" s="164">
        <f t="shared" si="15"/>
        <v>0</v>
      </c>
      <c r="L160" s="164">
        <f t="shared" si="16"/>
        <v>0</v>
      </c>
      <c r="M160" s="164">
        <v>420.58</v>
      </c>
      <c r="N160" s="15">
        <f>+M160*1000/(140*4*16*60)*T160</f>
        <v>4.6939732142857142</v>
      </c>
      <c r="O160" s="164"/>
      <c r="P160" s="164">
        <f t="shared" si="17"/>
        <v>0</v>
      </c>
      <c r="Q160" s="164"/>
      <c r="R160" s="19">
        <f t="shared" si="18"/>
        <v>0</v>
      </c>
      <c r="S160" s="164">
        <f t="shared" si="19"/>
        <v>0</v>
      </c>
      <c r="T160" s="20">
        <v>6</v>
      </c>
      <c r="U160" s="20"/>
      <c r="V160" s="161"/>
      <c r="W160" s="20"/>
      <c r="X160" s="20"/>
      <c r="Y160" s="20"/>
      <c r="Z160" s="20"/>
      <c r="AA160" s="20"/>
      <c r="AB160" s="20"/>
      <c r="AC160" s="20"/>
    </row>
    <row r="161" spans="1:29" s="2" customFormat="1" ht="21.95" customHeight="1">
      <c r="A161" s="160">
        <v>300341</v>
      </c>
      <c r="B161" s="153">
        <v>18501</v>
      </c>
      <c r="C161" s="266" t="s">
        <v>154</v>
      </c>
      <c r="D161" s="267"/>
      <c r="E161" s="166" t="s">
        <v>39</v>
      </c>
      <c r="F161" s="27"/>
      <c r="G161" s="110"/>
      <c r="H161" s="110"/>
      <c r="I161" s="110"/>
      <c r="J161" s="110"/>
      <c r="K161" s="164">
        <f t="shared" si="15"/>
        <v>0</v>
      </c>
      <c r="L161" s="164">
        <f t="shared" si="16"/>
        <v>0</v>
      </c>
      <c r="M161" s="164">
        <v>439.3</v>
      </c>
      <c r="N161" s="15">
        <f t="shared" ref="N161:N167" si="20">+M161*1000/(169.7*4*13*60)*T161</f>
        <v>4.1485351223123761</v>
      </c>
      <c r="O161" s="164"/>
      <c r="P161" s="164">
        <f t="shared" si="17"/>
        <v>0</v>
      </c>
      <c r="Q161" s="164"/>
      <c r="R161" s="19">
        <f t="shared" si="18"/>
        <v>0</v>
      </c>
      <c r="S161" s="164">
        <f t="shared" si="19"/>
        <v>0</v>
      </c>
      <c r="T161" s="20">
        <v>5</v>
      </c>
      <c r="U161" s="20"/>
      <c r="V161" s="161"/>
      <c r="W161" s="20"/>
      <c r="X161" s="20"/>
      <c r="Y161" s="20"/>
      <c r="Z161" s="20"/>
      <c r="AA161" s="20"/>
      <c r="AB161" s="20"/>
      <c r="AC161" s="20"/>
    </row>
    <row r="162" spans="1:29" s="2" customFormat="1" ht="21.95" customHeight="1">
      <c r="A162" s="160">
        <v>300342</v>
      </c>
      <c r="B162" s="153">
        <v>18501</v>
      </c>
      <c r="C162" s="266" t="s">
        <v>154</v>
      </c>
      <c r="D162" s="267"/>
      <c r="E162" s="166" t="s">
        <v>80</v>
      </c>
      <c r="F162" s="27"/>
      <c r="G162" s="110"/>
      <c r="H162" s="110"/>
      <c r="I162" s="110"/>
      <c r="J162" s="110"/>
      <c r="K162" s="164">
        <f t="shared" si="15"/>
        <v>0</v>
      </c>
      <c r="L162" s="164">
        <f t="shared" si="16"/>
        <v>0</v>
      </c>
      <c r="M162" s="164">
        <v>439.3</v>
      </c>
      <c r="N162" s="15">
        <f t="shared" si="20"/>
        <v>4.1485351223123761</v>
      </c>
      <c r="O162" s="164"/>
      <c r="P162" s="164">
        <f t="shared" si="17"/>
        <v>0</v>
      </c>
      <c r="Q162" s="164"/>
      <c r="R162" s="19">
        <f t="shared" si="18"/>
        <v>0</v>
      </c>
      <c r="S162" s="164">
        <f t="shared" si="19"/>
        <v>0</v>
      </c>
      <c r="T162" s="20">
        <v>5</v>
      </c>
      <c r="U162" s="20"/>
      <c r="V162" s="161"/>
      <c r="W162" s="20"/>
      <c r="X162" s="20"/>
      <c r="Y162" s="20"/>
      <c r="Z162" s="20"/>
      <c r="AA162" s="20"/>
      <c r="AB162" s="20"/>
      <c r="AC162" s="20"/>
    </row>
    <row r="163" spans="1:29" s="2" customFormat="1" ht="21.95" customHeight="1">
      <c r="A163" s="160">
        <v>300343</v>
      </c>
      <c r="B163" s="153">
        <v>18501</v>
      </c>
      <c r="C163" s="266" t="s">
        <v>154</v>
      </c>
      <c r="D163" s="267"/>
      <c r="E163" s="166" t="s">
        <v>35</v>
      </c>
      <c r="F163" s="27"/>
      <c r="G163" s="110"/>
      <c r="H163" s="110"/>
      <c r="I163" s="110"/>
      <c r="J163" s="110"/>
      <c r="K163" s="164">
        <f t="shared" si="15"/>
        <v>0</v>
      </c>
      <c r="L163" s="164">
        <f t="shared" si="16"/>
        <v>0</v>
      </c>
      <c r="M163" s="164">
        <v>455.4</v>
      </c>
      <c r="N163" s="15">
        <f t="shared" si="20"/>
        <v>4.3005756765332483</v>
      </c>
      <c r="O163" s="164"/>
      <c r="P163" s="164">
        <f t="shared" si="17"/>
        <v>0</v>
      </c>
      <c r="Q163" s="164"/>
      <c r="R163" s="19">
        <f t="shared" si="18"/>
        <v>0</v>
      </c>
      <c r="S163" s="164">
        <f t="shared" si="19"/>
        <v>0</v>
      </c>
      <c r="T163" s="20">
        <v>5</v>
      </c>
      <c r="U163" s="20"/>
      <c r="V163" s="161"/>
      <c r="W163" s="20"/>
      <c r="X163" s="20"/>
      <c r="Y163" s="20"/>
      <c r="Z163" s="20"/>
      <c r="AA163" s="20"/>
      <c r="AB163" s="20"/>
      <c r="AC163" s="20"/>
    </row>
    <row r="164" spans="1:29" s="2" customFormat="1" ht="21.95" customHeight="1">
      <c r="A164" s="160">
        <v>300344</v>
      </c>
      <c r="B164" s="153">
        <v>18501</v>
      </c>
      <c r="C164" s="266" t="s">
        <v>154</v>
      </c>
      <c r="D164" s="267"/>
      <c r="E164" s="166" t="s">
        <v>40</v>
      </c>
      <c r="F164" s="27"/>
      <c r="G164" s="110"/>
      <c r="H164" s="110"/>
      <c r="I164" s="110"/>
      <c r="J164" s="110"/>
      <c r="K164" s="164">
        <f t="shared" si="15"/>
        <v>0</v>
      </c>
      <c r="L164" s="164">
        <f t="shared" si="16"/>
        <v>0</v>
      </c>
      <c r="M164" s="164">
        <v>455.4</v>
      </c>
      <c r="N164" s="15">
        <f t="shared" si="20"/>
        <v>4.3005756765332483</v>
      </c>
      <c r="O164" s="164"/>
      <c r="P164" s="164">
        <f t="shared" si="17"/>
        <v>0</v>
      </c>
      <c r="Q164" s="164"/>
      <c r="R164" s="19">
        <f t="shared" si="18"/>
        <v>0</v>
      </c>
      <c r="S164" s="164">
        <f t="shared" si="19"/>
        <v>0</v>
      </c>
      <c r="T164" s="20">
        <v>5</v>
      </c>
      <c r="U164" s="20"/>
      <c r="V164" s="161"/>
      <c r="W164" s="20"/>
      <c r="X164" s="20"/>
      <c r="Y164" s="20"/>
      <c r="Z164" s="20"/>
      <c r="AA164" s="20"/>
      <c r="AB164" s="20"/>
      <c r="AC164" s="20"/>
    </row>
    <row r="165" spans="1:29" s="2" customFormat="1" ht="21.95" customHeight="1">
      <c r="A165" s="160">
        <v>300396</v>
      </c>
      <c r="B165" s="153">
        <v>18501</v>
      </c>
      <c r="C165" s="268" t="s">
        <v>155</v>
      </c>
      <c r="D165" s="269"/>
      <c r="E165" s="32" t="s">
        <v>41</v>
      </c>
      <c r="F165" s="27"/>
      <c r="G165" s="110"/>
      <c r="H165" s="110"/>
      <c r="I165" s="110"/>
      <c r="J165" s="110"/>
      <c r="K165" s="164">
        <f t="shared" si="15"/>
        <v>0</v>
      </c>
      <c r="L165" s="164">
        <f t="shared" si="16"/>
        <v>0</v>
      </c>
      <c r="M165" s="40">
        <v>417.1</v>
      </c>
      <c r="N165" s="15">
        <f t="shared" si="20"/>
        <v>3.9388891407158937</v>
      </c>
      <c r="O165" s="164"/>
      <c r="P165" s="164">
        <f t="shared" si="17"/>
        <v>0</v>
      </c>
      <c r="Q165" s="164"/>
      <c r="R165" s="19">
        <f t="shared" si="18"/>
        <v>0</v>
      </c>
      <c r="S165" s="164">
        <f t="shared" si="19"/>
        <v>0</v>
      </c>
      <c r="T165" s="20">
        <v>5</v>
      </c>
      <c r="U165" s="20"/>
      <c r="V165" s="161"/>
      <c r="W165" s="20"/>
      <c r="X165" s="20"/>
      <c r="Y165" s="20"/>
      <c r="Z165" s="20"/>
      <c r="AA165" s="20"/>
      <c r="AB165" s="20"/>
      <c r="AC165" s="20"/>
    </row>
    <row r="166" spans="1:29" s="2" customFormat="1" ht="21.95" customHeight="1">
      <c r="A166" s="160">
        <v>300397</v>
      </c>
      <c r="B166" s="153">
        <v>18501</v>
      </c>
      <c r="C166" s="268" t="s">
        <v>155</v>
      </c>
      <c r="D166" s="269"/>
      <c r="E166" s="32" t="s">
        <v>66</v>
      </c>
      <c r="F166" s="27"/>
      <c r="G166" s="110"/>
      <c r="H166" s="110"/>
      <c r="I166" s="110"/>
      <c r="J166" s="110"/>
      <c r="K166" s="164">
        <f t="shared" si="15"/>
        <v>0</v>
      </c>
      <c r="L166" s="164">
        <f t="shared" si="16"/>
        <v>0</v>
      </c>
      <c r="M166" s="40">
        <v>417.1</v>
      </c>
      <c r="N166" s="15">
        <f t="shared" si="20"/>
        <v>3.9388891407158937</v>
      </c>
      <c r="O166" s="164"/>
      <c r="P166" s="164">
        <f t="shared" si="17"/>
        <v>0</v>
      </c>
      <c r="Q166" s="164"/>
      <c r="R166" s="19">
        <f t="shared" si="18"/>
        <v>0</v>
      </c>
      <c r="S166" s="164">
        <f t="shared" si="19"/>
        <v>0</v>
      </c>
      <c r="T166" s="20">
        <v>5</v>
      </c>
      <c r="U166" s="20"/>
      <c r="V166" s="161"/>
      <c r="W166" s="20"/>
      <c r="X166" s="20"/>
      <c r="Y166" s="20"/>
      <c r="Z166" s="20"/>
      <c r="AA166" s="20"/>
      <c r="AB166" s="20"/>
      <c r="AC166" s="20"/>
    </row>
    <row r="167" spans="1:29" s="2" customFormat="1" ht="21.95" customHeight="1">
      <c r="A167" s="160">
        <v>300398</v>
      </c>
      <c r="B167" s="153">
        <v>18501</v>
      </c>
      <c r="C167" s="268" t="s">
        <v>155</v>
      </c>
      <c r="D167" s="269"/>
      <c r="E167" s="32" t="s">
        <v>149</v>
      </c>
      <c r="F167" s="27"/>
      <c r="G167" s="110"/>
      <c r="H167" s="110"/>
      <c r="I167" s="110"/>
      <c r="J167" s="110"/>
      <c r="K167" s="164">
        <f t="shared" si="15"/>
        <v>0</v>
      </c>
      <c r="L167" s="164">
        <f t="shared" si="16"/>
        <v>0</v>
      </c>
      <c r="M167" s="40">
        <v>417.1</v>
      </c>
      <c r="N167" s="15">
        <f t="shared" si="20"/>
        <v>3.9388891407158937</v>
      </c>
      <c r="O167" s="164"/>
      <c r="P167" s="164">
        <f t="shared" si="17"/>
        <v>0</v>
      </c>
      <c r="Q167" s="164"/>
      <c r="R167" s="19">
        <f t="shared" si="18"/>
        <v>0</v>
      </c>
      <c r="S167" s="164">
        <f t="shared" si="19"/>
        <v>0</v>
      </c>
      <c r="T167" s="20">
        <v>5</v>
      </c>
      <c r="U167" s="20"/>
      <c r="V167" s="161"/>
      <c r="W167" s="20"/>
      <c r="X167" s="20"/>
      <c r="Y167" s="20"/>
      <c r="Z167" s="20"/>
      <c r="AA167" s="20"/>
      <c r="AB167" s="20"/>
      <c r="AC167" s="20"/>
    </row>
    <row r="168" spans="1:29" s="2" customFormat="1" ht="21.95" customHeight="1">
      <c r="A168" s="160">
        <v>300271</v>
      </c>
      <c r="B168" s="153">
        <v>18501</v>
      </c>
      <c r="C168" s="248" t="s">
        <v>156</v>
      </c>
      <c r="D168" s="248"/>
      <c r="E168" s="166" t="s">
        <v>142</v>
      </c>
      <c r="F168" s="27"/>
      <c r="G168" s="110"/>
      <c r="H168" s="110"/>
      <c r="I168" s="110"/>
      <c r="J168" s="110"/>
      <c r="K168" s="164">
        <f t="shared" si="15"/>
        <v>0</v>
      </c>
      <c r="L168" s="164">
        <f t="shared" si="16"/>
        <v>0</v>
      </c>
      <c r="M168" s="164">
        <v>580.1</v>
      </c>
      <c r="N168" s="164">
        <f>+M168*1000/(202*4*13*60)*T168</f>
        <v>3.6817720233561819</v>
      </c>
      <c r="O168" s="164"/>
      <c r="P168" s="164">
        <f t="shared" si="17"/>
        <v>0</v>
      </c>
      <c r="Q168" s="164"/>
      <c r="R168" s="19">
        <f t="shared" si="18"/>
        <v>0</v>
      </c>
      <c r="S168" s="164">
        <f t="shared" si="19"/>
        <v>0</v>
      </c>
      <c r="T168" s="20">
        <v>4</v>
      </c>
      <c r="U168" s="20"/>
      <c r="V168" s="161" t="str">
        <f t="array" ref="V168">IF(ISERROR(L168/K168),"",L168/K168)</f>
        <v/>
      </c>
      <c r="W168" s="20"/>
      <c r="X168" s="20"/>
      <c r="Y168" s="20"/>
      <c r="Z168" s="20"/>
      <c r="AA168" s="20"/>
      <c r="AB168" s="20"/>
      <c r="AC168" s="20"/>
    </row>
    <row r="169" spans="1:29" s="2" customFormat="1" ht="21.95" customHeight="1">
      <c r="A169" s="160">
        <v>300009</v>
      </c>
      <c r="B169" s="153">
        <v>18501</v>
      </c>
      <c r="C169" s="248" t="s">
        <v>157</v>
      </c>
      <c r="D169" s="248" t="s">
        <v>158</v>
      </c>
      <c r="E169" s="166" t="s">
        <v>135</v>
      </c>
      <c r="F169" s="27"/>
      <c r="G169" s="110"/>
      <c r="H169" s="110"/>
      <c r="I169" s="110"/>
      <c r="J169" s="110"/>
      <c r="K169" s="164">
        <f t="shared" si="15"/>
        <v>0</v>
      </c>
      <c r="L169" s="164">
        <f t="shared" si="16"/>
        <v>0</v>
      </c>
      <c r="M169" s="15">
        <v>520.79999999999995</v>
      </c>
      <c r="N169" s="164">
        <f>+M169*1000/(188*4*13*60)*T169</f>
        <v>5.3273322422258591</v>
      </c>
      <c r="O169" s="164"/>
      <c r="P169" s="164">
        <f t="shared" si="17"/>
        <v>0</v>
      </c>
      <c r="Q169" s="164"/>
      <c r="R169" s="19">
        <f t="shared" si="18"/>
        <v>0</v>
      </c>
      <c r="S169" s="164">
        <f t="shared" si="19"/>
        <v>0</v>
      </c>
      <c r="T169" s="20">
        <v>6</v>
      </c>
      <c r="U169" s="20"/>
      <c r="V169" s="161" t="str">
        <f t="array" ref="V169">IF(ISERROR(L169/K169),"",L169/K169)</f>
        <v/>
      </c>
      <c r="W169" s="20"/>
      <c r="X169" s="20"/>
      <c r="Y169" s="20"/>
      <c r="Z169" s="20"/>
      <c r="AA169" s="20"/>
      <c r="AB169" s="20"/>
      <c r="AC169" s="20"/>
    </row>
    <row r="170" spans="1:29" s="2" customFormat="1" ht="21.95" customHeight="1">
      <c r="A170" s="160">
        <v>300010</v>
      </c>
      <c r="B170" s="153">
        <v>18501</v>
      </c>
      <c r="C170" s="248" t="s">
        <v>157</v>
      </c>
      <c r="D170" s="248" t="s">
        <v>158</v>
      </c>
      <c r="E170" s="166" t="s">
        <v>80</v>
      </c>
      <c r="F170" s="27"/>
      <c r="G170" s="110"/>
      <c r="H170" s="110"/>
      <c r="I170" s="110"/>
      <c r="J170" s="113"/>
      <c r="K170" s="164">
        <f t="shared" si="15"/>
        <v>0</v>
      </c>
      <c r="L170" s="164">
        <f t="shared" si="16"/>
        <v>0</v>
      </c>
      <c r="M170" s="15">
        <v>530.9</v>
      </c>
      <c r="N170" s="164">
        <f>+M170*1000/(188*4*13*60)*T170</f>
        <v>4.5255387343153304</v>
      </c>
      <c r="O170" s="164"/>
      <c r="P170" s="164">
        <f t="shared" si="17"/>
        <v>0</v>
      </c>
      <c r="Q170" s="164"/>
      <c r="R170" s="19">
        <f t="shared" si="18"/>
        <v>0</v>
      </c>
      <c r="S170" s="164">
        <f t="shared" si="19"/>
        <v>0</v>
      </c>
      <c r="T170" s="20">
        <v>5</v>
      </c>
      <c r="U170" s="20"/>
      <c r="V170" s="161" t="str">
        <f t="array" ref="V170">IF(ISERROR(L170/K170),"",L170/K170)</f>
        <v/>
      </c>
      <c r="W170" s="20"/>
      <c r="X170" s="20"/>
      <c r="Y170" s="20"/>
      <c r="Z170" s="20"/>
      <c r="AA170" s="20"/>
      <c r="AB170" s="20"/>
      <c r="AC170" s="20"/>
    </row>
    <row r="171" spans="1:29" s="2" customFormat="1" ht="21.95" customHeight="1">
      <c r="A171" s="160">
        <v>300305</v>
      </c>
      <c r="B171" s="153">
        <v>18501</v>
      </c>
      <c r="C171" s="248" t="s">
        <v>159</v>
      </c>
      <c r="D171" s="248" t="s">
        <v>160</v>
      </c>
      <c r="E171" s="166" t="s">
        <v>57</v>
      </c>
      <c r="F171" s="27"/>
      <c r="G171" s="110"/>
      <c r="H171" s="110"/>
      <c r="I171" s="110"/>
      <c r="J171" s="113"/>
      <c r="K171" s="164">
        <f t="shared" si="15"/>
        <v>0</v>
      </c>
      <c r="L171" s="164">
        <f t="shared" si="16"/>
        <v>0</v>
      </c>
      <c r="M171" s="164">
        <v>530.20000000000005</v>
      </c>
      <c r="N171" s="164">
        <f t="shared" ref="N171:N176" si="21">+M171*1000/(202*4*13*60)*T171</f>
        <v>4.2063340949479562</v>
      </c>
      <c r="O171" s="164"/>
      <c r="P171" s="164">
        <f t="shared" si="17"/>
        <v>0</v>
      </c>
      <c r="Q171" s="164"/>
      <c r="R171" s="19">
        <f t="shared" si="18"/>
        <v>0</v>
      </c>
      <c r="S171" s="164">
        <f t="shared" si="19"/>
        <v>0</v>
      </c>
      <c r="T171" s="20">
        <v>5</v>
      </c>
      <c r="U171" s="20"/>
      <c r="V171" s="161" t="str">
        <f t="array" ref="V171">IF(ISERROR(L171/K171),"",L171/K171)</f>
        <v/>
      </c>
      <c r="W171" s="20"/>
      <c r="X171" s="20"/>
      <c r="Y171" s="20"/>
      <c r="Z171" s="20"/>
      <c r="AA171" s="20"/>
      <c r="AB171" s="20"/>
      <c r="AC171" s="20"/>
    </row>
    <row r="172" spans="1:29" s="2" customFormat="1" ht="22.5" customHeight="1">
      <c r="A172" s="160">
        <v>300306</v>
      </c>
      <c r="B172" s="153">
        <v>18501</v>
      </c>
      <c r="C172" s="248" t="s">
        <v>159</v>
      </c>
      <c r="D172" s="248" t="s">
        <v>160</v>
      </c>
      <c r="E172" s="166" t="s">
        <v>117</v>
      </c>
      <c r="F172" s="27"/>
      <c r="G172" s="110"/>
      <c r="H172" s="110"/>
      <c r="I172" s="110"/>
      <c r="J172" s="110"/>
      <c r="K172" s="164">
        <f t="shared" si="15"/>
        <v>0</v>
      </c>
      <c r="L172" s="164">
        <f t="shared" si="16"/>
        <v>0</v>
      </c>
      <c r="M172" s="164">
        <v>538.79999999999995</v>
      </c>
      <c r="N172" s="164">
        <f t="shared" si="21"/>
        <v>4.2745620715917747</v>
      </c>
      <c r="O172" s="164"/>
      <c r="P172" s="164">
        <f t="shared" si="17"/>
        <v>0</v>
      </c>
      <c r="Q172" s="164"/>
      <c r="R172" s="19">
        <f t="shared" si="18"/>
        <v>0</v>
      </c>
      <c r="S172" s="164">
        <f t="shared" si="19"/>
        <v>0</v>
      </c>
      <c r="T172" s="20">
        <v>5</v>
      </c>
      <c r="U172" s="20"/>
      <c r="V172" s="161" t="str">
        <f t="array" ref="V172">IF(ISERROR(L172/K172),"",L172/K172)</f>
        <v/>
      </c>
      <c r="W172" s="20"/>
      <c r="X172" s="20"/>
      <c r="Y172" s="20"/>
      <c r="Z172" s="20"/>
      <c r="AA172" s="20"/>
      <c r="AB172" s="20"/>
      <c r="AC172" s="20"/>
    </row>
    <row r="173" spans="1:29" s="2" customFormat="1" ht="21.95" customHeight="1">
      <c r="A173" s="160">
        <v>300307</v>
      </c>
      <c r="B173" s="153">
        <v>18501</v>
      </c>
      <c r="C173" s="248" t="s">
        <v>159</v>
      </c>
      <c r="D173" s="248" t="s">
        <v>160</v>
      </c>
      <c r="E173" s="166" t="s">
        <v>133</v>
      </c>
      <c r="F173" s="27"/>
      <c r="G173" s="110"/>
      <c r="H173" s="110"/>
      <c r="I173" s="110"/>
      <c r="J173" s="110"/>
      <c r="K173" s="164">
        <f t="shared" si="15"/>
        <v>0</v>
      </c>
      <c r="L173" s="164">
        <f t="shared" si="16"/>
        <v>0</v>
      </c>
      <c r="M173" s="164">
        <v>569</v>
      </c>
      <c r="N173" s="164">
        <f t="shared" si="21"/>
        <v>4.5141533384107637</v>
      </c>
      <c r="O173" s="164"/>
      <c r="P173" s="164">
        <f t="shared" si="17"/>
        <v>0</v>
      </c>
      <c r="Q173" s="164"/>
      <c r="R173" s="19">
        <f t="shared" si="18"/>
        <v>0</v>
      </c>
      <c r="S173" s="164">
        <f t="shared" si="19"/>
        <v>0</v>
      </c>
      <c r="T173" s="20">
        <v>5</v>
      </c>
      <c r="U173" s="20"/>
      <c r="V173" s="161" t="str">
        <f t="array" ref="V173">IF(ISERROR(L173/K173),"",L173/K173)</f>
        <v/>
      </c>
      <c r="W173" s="20"/>
      <c r="X173" s="20"/>
      <c r="Y173" s="20"/>
      <c r="Z173" s="20"/>
      <c r="AA173" s="20"/>
      <c r="AB173" s="20"/>
      <c r="AC173" s="20"/>
    </row>
    <row r="174" spans="1:29" s="2" customFormat="1" ht="21.95" customHeight="1">
      <c r="A174" s="160">
        <v>300308</v>
      </c>
      <c r="B174" s="153">
        <v>18501</v>
      </c>
      <c r="C174" s="248" t="s">
        <v>159</v>
      </c>
      <c r="D174" s="248" t="s">
        <v>160</v>
      </c>
      <c r="E174" s="166" t="s">
        <v>132</v>
      </c>
      <c r="F174" s="27"/>
      <c r="G174" s="110"/>
      <c r="H174" s="110"/>
      <c r="I174" s="110"/>
      <c r="J174" s="110"/>
      <c r="K174" s="164">
        <f t="shared" si="15"/>
        <v>0</v>
      </c>
      <c r="L174" s="164">
        <f t="shared" si="16"/>
        <v>0</v>
      </c>
      <c r="M174" s="164">
        <v>523.6</v>
      </c>
      <c r="N174" s="164">
        <f t="shared" si="21"/>
        <v>4.1539730896166542</v>
      </c>
      <c r="O174" s="164"/>
      <c r="P174" s="164">
        <f t="shared" si="17"/>
        <v>0</v>
      </c>
      <c r="Q174" s="164"/>
      <c r="R174" s="19">
        <f t="shared" si="18"/>
        <v>0</v>
      </c>
      <c r="S174" s="164">
        <f t="shared" si="19"/>
        <v>0</v>
      </c>
      <c r="T174" s="20">
        <v>5</v>
      </c>
      <c r="U174" s="20"/>
      <c r="V174" s="161" t="str">
        <f t="array" ref="V174">IF(ISERROR(L174/K174),"",L174/K174)</f>
        <v/>
      </c>
      <c r="W174" s="20"/>
      <c r="X174" s="20"/>
      <c r="Y174" s="20"/>
      <c r="Z174" s="20"/>
      <c r="AA174" s="20"/>
      <c r="AB174" s="20"/>
      <c r="AC174" s="20"/>
    </row>
    <row r="175" spans="1:29" s="2" customFormat="1" ht="21.95" customHeight="1">
      <c r="A175" s="160">
        <v>300182</v>
      </c>
      <c r="B175" s="153">
        <v>18501</v>
      </c>
      <c r="C175" s="248" t="s">
        <v>161</v>
      </c>
      <c r="D175" s="248" t="s">
        <v>160</v>
      </c>
      <c r="E175" s="166" t="s">
        <v>80</v>
      </c>
      <c r="F175" s="27"/>
      <c r="G175" s="110"/>
      <c r="H175" s="110"/>
      <c r="I175" s="110"/>
      <c r="J175" s="110"/>
      <c r="K175" s="164">
        <f t="shared" si="15"/>
        <v>0</v>
      </c>
      <c r="L175" s="164">
        <f t="shared" si="16"/>
        <v>0</v>
      </c>
      <c r="M175" s="15">
        <v>649.1</v>
      </c>
      <c r="N175" s="164">
        <f t="shared" si="21"/>
        <v>5.1496255394770252</v>
      </c>
      <c r="O175" s="164"/>
      <c r="P175" s="164">
        <f t="shared" si="17"/>
        <v>0</v>
      </c>
      <c r="Q175" s="164"/>
      <c r="R175" s="19">
        <f t="shared" si="18"/>
        <v>0</v>
      </c>
      <c r="S175" s="164">
        <f t="shared" si="19"/>
        <v>0</v>
      </c>
      <c r="T175" s="20">
        <v>5</v>
      </c>
      <c r="U175" s="20"/>
      <c r="V175" s="161" t="str">
        <f t="array" ref="V175">IF(ISERROR(L175/K175),"",L175/K175)</f>
        <v/>
      </c>
      <c r="W175" s="20"/>
      <c r="X175" s="20"/>
      <c r="Y175" s="20"/>
      <c r="Z175" s="20"/>
      <c r="AA175" s="20"/>
      <c r="AB175" s="20"/>
      <c r="AC175" s="20"/>
    </row>
    <row r="176" spans="1:29" s="2" customFormat="1" ht="21.95" customHeight="1">
      <c r="A176" s="160">
        <v>300185</v>
      </c>
      <c r="B176" s="153">
        <v>18501</v>
      </c>
      <c r="C176" s="248" t="s">
        <v>161</v>
      </c>
      <c r="D176" s="248" t="s">
        <v>160</v>
      </c>
      <c r="E176" s="166" t="s">
        <v>135</v>
      </c>
      <c r="F176" s="27"/>
      <c r="G176" s="110"/>
      <c r="H176" s="110"/>
      <c r="I176" s="110"/>
      <c r="J176" s="110"/>
      <c r="K176" s="164">
        <f t="shared" si="15"/>
        <v>0</v>
      </c>
      <c r="L176" s="164">
        <f t="shared" si="16"/>
        <v>0</v>
      </c>
      <c r="M176" s="15">
        <v>638</v>
      </c>
      <c r="N176" s="164">
        <f t="shared" si="21"/>
        <v>6.0738766184310737</v>
      </c>
      <c r="O176" s="164"/>
      <c r="P176" s="164">
        <f t="shared" si="17"/>
        <v>0</v>
      </c>
      <c r="Q176" s="164"/>
      <c r="R176" s="19">
        <f t="shared" si="18"/>
        <v>0</v>
      </c>
      <c r="S176" s="164">
        <f t="shared" si="19"/>
        <v>0</v>
      </c>
      <c r="T176" s="20">
        <v>6</v>
      </c>
      <c r="U176" s="20"/>
      <c r="V176" s="161" t="str">
        <f t="array" ref="V176">IF(ISERROR(L176/K176),"",L176/K176)</f>
        <v/>
      </c>
      <c r="W176" s="20"/>
      <c r="X176" s="20"/>
      <c r="Y176" s="20"/>
      <c r="Z176" s="20"/>
      <c r="AA176" s="20"/>
      <c r="AB176" s="20"/>
      <c r="AC176" s="20"/>
    </row>
    <row r="177" spans="1:29" s="2" customFormat="1" ht="21.95" customHeight="1">
      <c r="A177" s="160">
        <v>300272</v>
      </c>
      <c r="B177" s="153">
        <v>18502</v>
      </c>
      <c r="C177" s="248" t="s">
        <v>162</v>
      </c>
      <c r="D177" s="248"/>
      <c r="E177" s="166" t="s">
        <v>42</v>
      </c>
      <c r="F177" s="27"/>
      <c r="G177" s="110"/>
      <c r="H177" s="110"/>
      <c r="I177" s="110"/>
      <c r="J177" s="110"/>
      <c r="K177" s="164">
        <f t="shared" si="15"/>
        <v>0</v>
      </c>
      <c r="L177" s="164">
        <f t="shared" si="16"/>
        <v>0</v>
      </c>
      <c r="M177" s="164">
        <v>523.9</v>
      </c>
      <c r="N177" s="164">
        <f>+M177*1000/(128*4*13*60)*T177</f>
        <v>5.247395833333333</v>
      </c>
      <c r="O177" s="164"/>
      <c r="P177" s="164">
        <f t="shared" si="17"/>
        <v>0</v>
      </c>
      <c r="Q177" s="164"/>
      <c r="R177" s="19">
        <f t="shared" si="18"/>
        <v>0</v>
      </c>
      <c r="S177" s="164">
        <f t="shared" si="19"/>
        <v>0</v>
      </c>
      <c r="T177" s="20">
        <v>4</v>
      </c>
      <c r="U177" s="20"/>
      <c r="V177" s="161" t="str">
        <f t="array" ref="V177">IF(ISERROR(L177/K177),"",L177/K177)</f>
        <v/>
      </c>
      <c r="W177" s="20"/>
      <c r="X177" s="20"/>
      <c r="Y177" s="20"/>
      <c r="Z177" s="20"/>
      <c r="AA177" s="20"/>
      <c r="AB177" s="20"/>
      <c r="AC177" s="20"/>
    </row>
    <row r="178" spans="1:29" s="2" customFormat="1" ht="21.95" customHeight="1">
      <c r="A178" s="160">
        <v>300273</v>
      </c>
      <c r="B178" s="153">
        <v>18502</v>
      </c>
      <c r="C178" s="248" t="s">
        <v>162</v>
      </c>
      <c r="D178" s="248"/>
      <c r="E178" s="166" t="s">
        <v>163</v>
      </c>
      <c r="F178" s="27"/>
      <c r="G178" s="110"/>
      <c r="H178" s="110"/>
      <c r="I178" s="110"/>
      <c r="J178" s="110"/>
      <c r="K178" s="164">
        <f t="shared" si="15"/>
        <v>0</v>
      </c>
      <c r="L178" s="164">
        <f t="shared" si="16"/>
        <v>0</v>
      </c>
      <c r="M178" s="164">
        <v>523.9</v>
      </c>
      <c r="N178" s="164">
        <f>+M178*1000/(128*4*13*60)*T178</f>
        <v>6.5592447916666661</v>
      </c>
      <c r="O178" s="164"/>
      <c r="P178" s="164">
        <f t="shared" si="17"/>
        <v>0</v>
      </c>
      <c r="Q178" s="164"/>
      <c r="R178" s="19">
        <f t="shared" si="18"/>
        <v>0</v>
      </c>
      <c r="S178" s="164">
        <f t="shared" si="19"/>
        <v>0</v>
      </c>
      <c r="T178" s="20">
        <v>5</v>
      </c>
      <c r="U178" s="20"/>
      <c r="V178" s="161" t="str">
        <f t="array" ref="V178">IF(ISERROR(L178/K178),"",L178/K178)</f>
        <v/>
      </c>
      <c r="W178" s="20"/>
      <c r="X178" s="20"/>
      <c r="Y178" s="20"/>
      <c r="Z178" s="20"/>
      <c r="AA178" s="20"/>
      <c r="AB178" s="20"/>
      <c r="AC178" s="20"/>
    </row>
    <row r="179" spans="1:29" s="2" customFormat="1" ht="21.95" customHeight="1">
      <c r="A179" s="160">
        <v>300274</v>
      </c>
      <c r="B179" s="153">
        <v>18502</v>
      </c>
      <c r="C179" s="248" t="s">
        <v>162</v>
      </c>
      <c r="D179" s="248"/>
      <c r="E179" s="166" t="s">
        <v>146</v>
      </c>
      <c r="F179" s="27"/>
      <c r="G179" s="110"/>
      <c r="H179" s="110"/>
      <c r="I179" s="110"/>
      <c r="J179" s="110"/>
      <c r="K179" s="164">
        <f t="shared" si="15"/>
        <v>0</v>
      </c>
      <c r="L179" s="164">
        <f t="shared" si="16"/>
        <v>0</v>
      </c>
      <c r="M179" s="164">
        <v>523.9</v>
      </c>
      <c r="N179" s="164">
        <f>+M179*1000/(128*4*13*60)*T179</f>
        <v>5.247395833333333</v>
      </c>
      <c r="O179" s="164"/>
      <c r="P179" s="164">
        <f t="shared" si="17"/>
        <v>0</v>
      </c>
      <c r="Q179" s="164"/>
      <c r="R179" s="19">
        <f t="shared" si="18"/>
        <v>0</v>
      </c>
      <c r="S179" s="164">
        <f t="shared" si="19"/>
        <v>0</v>
      </c>
      <c r="T179" s="20">
        <v>4</v>
      </c>
      <c r="U179" s="20"/>
      <c r="V179" s="161" t="str">
        <f t="array" ref="V179">IF(ISERROR(L179/K179),"",L179/K179)</f>
        <v/>
      </c>
      <c r="W179" s="20"/>
      <c r="X179" s="20"/>
      <c r="Y179" s="20"/>
      <c r="Z179" s="20"/>
      <c r="AA179" s="20"/>
      <c r="AB179" s="20"/>
      <c r="AC179" s="20"/>
    </row>
    <row r="180" spans="1:29" s="2" customFormat="1" ht="21.95" customHeight="1">
      <c r="A180" s="160">
        <v>300275</v>
      </c>
      <c r="B180" s="153">
        <v>18502</v>
      </c>
      <c r="C180" s="248" t="s">
        <v>162</v>
      </c>
      <c r="D180" s="248"/>
      <c r="E180" s="166" t="s">
        <v>164</v>
      </c>
      <c r="F180" s="27"/>
      <c r="G180" s="110"/>
      <c r="H180" s="110"/>
      <c r="I180" s="110"/>
      <c r="J180" s="110"/>
      <c r="K180" s="164">
        <f t="shared" si="15"/>
        <v>0</v>
      </c>
      <c r="L180" s="164">
        <f t="shared" si="16"/>
        <v>0</v>
      </c>
      <c r="M180" s="164">
        <v>523.9</v>
      </c>
      <c r="N180" s="164">
        <f>+M180*1000/(128*4*13*60)*T180</f>
        <v>5.247395833333333</v>
      </c>
      <c r="O180" s="164"/>
      <c r="P180" s="164">
        <f t="shared" si="17"/>
        <v>0</v>
      </c>
      <c r="Q180" s="164"/>
      <c r="R180" s="19">
        <f t="shared" si="18"/>
        <v>0</v>
      </c>
      <c r="S180" s="164">
        <f t="shared" si="19"/>
        <v>0</v>
      </c>
      <c r="T180" s="20">
        <v>4</v>
      </c>
      <c r="U180" s="20"/>
      <c r="V180" s="161" t="str">
        <f t="array" ref="V180">IF(ISERROR(L180/K180),"",L180/K180)</f>
        <v/>
      </c>
      <c r="W180" s="20"/>
      <c r="X180" s="20"/>
      <c r="Y180" s="20"/>
      <c r="Z180" s="20"/>
      <c r="AA180" s="20"/>
      <c r="AB180" s="20"/>
      <c r="AC180" s="20"/>
    </row>
    <row r="181" spans="1:29" s="2" customFormat="1" ht="21.95" customHeight="1">
      <c r="A181" s="160">
        <v>300285</v>
      </c>
      <c r="B181" s="153">
        <v>13001</v>
      </c>
      <c r="C181" s="248" t="s">
        <v>165</v>
      </c>
      <c r="D181" s="248"/>
      <c r="E181" s="166" t="s">
        <v>37</v>
      </c>
      <c r="F181" s="27"/>
      <c r="G181" s="110"/>
      <c r="H181" s="110"/>
      <c r="I181" s="110"/>
      <c r="J181" s="110"/>
      <c r="K181" s="164">
        <f t="shared" si="15"/>
        <v>0</v>
      </c>
      <c r="L181" s="164">
        <f t="shared" si="16"/>
        <v>0</v>
      </c>
      <c r="M181" s="164">
        <v>438.7</v>
      </c>
      <c r="N181" s="164">
        <f t="shared" ref="N181:N186" si="22">+M181*1000/(90*4*18*60)*T181</f>
        <v>5.6417181069958842</v>
      </c>
      <c r="O181" s="164"/>
      <c r="P181" s="164">
        <f t="shared" si="17"/>
        <v>0</v>
      </c>
      <c r="Q181" s="164"/>
      <c r="R181" s="19">
        <f t="shared" si="18"/>
        <v>0</v>
      </c>
      <c r="S181" s="164">
        <f t="shared" si="19"/>
        <v>0</v>
      </c>
      <c r="T181" s="20">
        <v>5</v>
      </c>
      <c r="U181" s="20"/>
      <c r="V181" s="161" t="str">
        <f t="array" ref="V181">IF(ISERROR(L181/K181),"",L181/K181)</f>
        <v/>
      </c>
      <c r="W181" s="20"/>
      <c r="X181" s="20"/>
      <c r="Y181" s="20"/>
      <c r="Z181" s="20"/>
      <c r="AA181" s="20"/>
      <c r="AB181" s="20"/>
      <c r="AC181" s="20"/>
    </row>
    <row r="182" spans="1:29" s="2" customFormat="1" ht="21.95" customHeight="1">
      <c r="A182" s="160">
        <v>300287</v>
      </c>
      <c r="B182" s="153">
        <v>13001</v>
      </c>
      <c r="C182" s="248" t="s">
        <v>165</v>
      </c>
      <c r="D182" s="248"/>
      <c r="E182" s="166" t="s">
        <v>57</v>
      </c>
      <c r="F182" s="27"/>
      <c r="G182" s="110"/>
      <c r="H182" s="110"/>
      <c r="I182" s="110"/>
      <c r="J182" s="110"/>
      <c r="K182" s="164">
        <f t="shared" si="15"/>
        <v>0</v>
      </c>
      <c r="L182" s="164">
        <f t="shared" si="16"/>
        <v>0</v>
      </c>
      <c r="M182" s="164">
        <v>438.7</v>
      </c>
      <c r="N182" s="164">
        <f t="shared" si="22"/>
        <v>5.6417181069958842</v>
      </c>
      <c r="O182" s="164"/>
      <c r="P182" s="164">
        <f t="shared" si="17"/>
        <v>0</v>
      </c>
      <c r="Q182" s="164"/>
      <c r="R182" s="19">
        <f t="shared" si="18"/>
        <v>0</v>
      </c>
      <c r="S182" s="164">
        <f t="shared" si="19"/>
        <v>0</v>
      </c>
      <c r="T182" s="20">
        <v>5</v>
      </c>
      <c r="U182" s="20"/>
      <c r="V182" s="161" t="str">
        <f t="array" ref="V182">IF(ISERROR(L182/K182),"",L182/K182)</f>
        <v/>
      </c>
      <c r="W182" s="20"/>
      <c r="X182" s="20"/>
      <c r="Y182" s="20"/>
      <c r="Z182" s="20"/>
      <c r="AA182" s="20"/>
      <c r="AB182" s="20"/>
      <c r="AC182" s="20"/>
    </row>
    <row r="183" spans="1:29" s="2" customFormat="1" ht="21.95" customHeight="1">
      <c r="A183" s="160">
        <v>300284</v>
      </c>
      <c r="B183" s="153">
        <v>13001</v>
      </c>
      <c r="C183" s="248" t="s">
        <v>165</v>
      </c>
      <c r="D183" s="248"/>
      <c r="E183" s="166" t="s">
        <v>41</v>
      </c>
      <c r="F183" s="27"/>
      <c r="G183" s="110"/>
      <c r="H183" s="110"/>
      <c r="I183" s="110"/>
      <c r="J183" s="110"/>
      <c r="K183" s="164">
        <f t="shared" si="15"/>
        <v>0</v>
      </c>
      <c r="L183" s="164">
        <f t="shared" si="16"/>
        <v>0</v>
      </c>
      <c r="M183" s="164">
        <v>438.7</v>
      </c>
      <c r="N183" s="164">
        <f t="shared" si="22"/>
        <v>5.6417181069958842</v>
      </c>
      <c r="O183" s="164"/>
      <c r="P183" s="164">
        <f t="shared" si="17"/>
        <v>0</v>
      </c>
      <c r="Q183" s="164"/>
      <c r="R183" s="19">
        <f t="shared" si="18"/>
        <v>0</v>
      </c>
      <c r="S183" s="164">
        <f t="shared" si="19"/>
        <v>0</v>
      </c>
      <c r="T183" s="20">
        <v>5</v>
      </c>
      <c r="U183" s="20"/>
      <c r="V183" s="161" t="str">
        <f t="array" ref="V183">IF(ISERROR(L183/K183),"",L183/K183)</f>
        <v/>
      </c>
      <c r="W183" s="20"/>
      <c r="X183" s="20"/>
      <c r="Y183" s="20"/>
      <c r="Z183" s="20"/>
      <c r="AA183" s="20"/>
      <c r="AB183" s="20"/>
      <c r="AC183" s="20"/>
    </row>
    <row r="184" spans="1:29" s="2" customFormat="1" ht="21.95" customHeight="1">
      <c r="A184" s="160">
        <v>300283</v>
      </c>
      <c r="B184" s="153">
        <v>13001</v>
      </c>
      <c r="C184" s="248" t="s">
        <v>165</v>
      </c>
      <c r="D184" s="248"/>
      <c r="E184" s="166" t="s">
        <v>35</v>
      </c>
      <c r="F184" s="27"/>
      <c r="G184" s="110"/>
      <c r="H184" s="110"/>
      <c r="I184" s="110"/>
      <c r="J184" s="67"/>
      <c r="K184" s="154">
        <f t="shared" si="15"/>
        <v>0</v>
      </c>
      <c r="L184" s="154">
        <f t="shared" si="16"/>
        <v>0</v>
      </c>
      <c r="M184" s="164">
        <v>438.7</v>
      </c>
      <c r="N184" s="164">
        <f t="shared" si="22"/>
        <v>5.6417181069958842</v>
      </c>
      <c r="O184" s="154"/>
      <c r="P184" s="164">
        <f t="shared" si="17"/>
        <v>0</v>
      </c>
      <c r="Q184" s="164"/>
      <c r="R184" s="19">
        <f t="shared" si="18"/>
        <v>0</v>
      </c>
      <c r="S184" s="164">
        <f t="shared" si="19"/>
        <v>0</v>
      </c>
      <c r="T184" s="20">
        <v>5</v>
      </c>
      <c r="U184" s="20"/>
      <c r="V184" s="161" t="str">
        <f t="array" ref="V184">IF(ISERROR(L184/K184),"",L184/K184)</f>
        <v/>
      </c>
      <c r="W184" s="20"/>
      <c r="X184" s="20"/>
      <c r="Y184" s="20"/>
      <c r="Z184" s="20"/>
      <c r="AA184" s="20"/>
      <c r="AB184" s="20"/>
      <c r="AC184" s="20"/>
    </row>
    <row r="185" spans="1:29" s="2" customFormat="1" ht="21.95" customHeight="1">
      <c r="A185" s="160">
        <v>300289</v>
      </c>
      <c r="B185" s="153">
        <v>13001</v>
      </c>
      <c r="C185" s="248" t="s">
        <v>165</v>
      </c>
      <c r="D185" s="248"/>
      <c r="E185" s="166" t="s">
        <v>66</v>
      </c>
      <c r="F185" s="27"/>
      <c r="G185" s="67"/>
      <c r="H185" s="67"/>
      <c r="I185" s="67"/>
      <c r="J185" s="114"/>
      <c r="K185" s="154">
        <f t="shared" si="15"/>
        <v>0</v>
      </c>
      <c r="L185" s="154">
        <f t="shared" si="16"/>
        <v>0</v>
      </c>
      <c r="M185" s="164">
        <v>438.7</v>
      </c>
      <c r="N185" s="164">
        <f t="shared" si="22"/>
        <v>5.6417181069958842</v>
      </c>
      <c r="O185" s="154"/>
      <c r="P185" s="164">
        <f t="shared" si="17"/>
        <v>0</v>
      </c>
      <c r="Q185" s="164"/>
      <c r="R185" s="19">
        <f t="shared" si="18"/>
        <v>0</v>
      </c>
      <c r="S185" s="164">
        <f t="shared" si="19"/>
        <v>0</v>
      </c>
      <c r="T185" s="20">
        <v>5</v>
      </c>
      <c r="U185" s="20"/>
      <c r="V185" s="161" t="str">
        <f t="array" ref="V185">IF(ISERROR(L185/K185),"",L185/K185)</f>
        <v/>
      </c>
      <c r="W185" s="20"/>
      <c r="X185" s="20"/>
      <c r="Y185" s="20"/>
      <c r="Z185" s="20"/>
      <c r="AA185" s="20"/>
      <c r="AB185" s="20"/>
      <c r="AC185" s="20"/>
    </row>
    <row r="186" spans="1:29" s="2" customFormat="1" ht="21.95" customHeight="1">
      <c r="A186" s="160">
        <v>300288</v>
      </c>
      <c r="B186" s="153">
        <v>13001</v>
      </c>
      <c r="C186" s="248" t="s">
        <v>165</v>
      </c>
      <c r="D186" s="248"/>
      <c r="E186" s="166" t="s">
        <v>166</v>
      </c>
      <c r="F186" s="27"/>
      <c r="G186" s="164"/>
      <c r="H186" s="164"/>
      <c r="I186" s="110"/>
      <c r="J186" s="110"/>
      <c r="K186" s="164">
        <f t="shared" si="15"/>
        <v>0</v>
      </c>
      <c r="L186" s="164">
        <f t="shared" si="16"/>
        <v>0</v>
      </c>
      <c r="M186" s="164">
        <v>438.7</v>
      </c>
      <c r="N186" s="164">
        <f t="shared" si="22"/>
        <v>5.6417181069958842</v>
      </c>
      <c r="O186" s="164"/>
      <c r="P186" s="164">
        <f t="shared" si="17"/>
        <v>0</v>
      </c>
      <c r="Q186" s="164"/>
      <c r="R186" s="19">
        <f t="shared" si="18"/>
        <v>0</v>
      </c>
      <c r="S186" s="164">
        <f t="shared" si="19"/>
        <v>0</v>
      </c>
      <c r="T186" s="20">
        <v>5</v>
      </c>
      <c r="U186" s="20"/>
      <c r="V186" s="161" t="str">
        <f t="array" ref="V186">IF(ISERROR(L186/K186),"",L186/K186)</f>
        <v/>
      </c>
      <c r="W186" s="20"/>
      <c r="X186" s="20"/>
      <c r="Y186" s="20"/>
      <c r="Z186" s="20"/>
      <c r="AA186" s="20"/>
      <c r="AB186" s="20"/>
      <c r="AC186" s="20"/>
    </row>
    <row r="187" spans="1:29" s="2" customFormat="1" ht="21.95" customHeight="1">
      <c r="A187" s="157">
        <v>300355</v>
      </c>
      <c r="B187" s="153" t="s">
        <v>167</v>
      </c>
      <c r="C187" s="259" t="s">
        <v>168</v>
      </c>
      <c r="D187" s="260"/>
      <c r="E187" s="33" t="s">
        <v>35</v>
      </c>
      <c r="F187" s="27"/>
      <c r="G187" s="164"/>
      <c r="H187" s="164"/>
      <c r="I187" s="110"/>
      <c r="J187" s="110"/>
      <c r="K187" s="154">
        <f t="shared" si="15"/>
        <v>0</v>
      </c>
      <c r="L187" s="164">
        <f t="shared" si="16"/>
        <v>0</v>
      </c>
      <c r="M187" s="164">
        <v>438</v>
      </c>
      <c r="N187" s="15">
        <f>+M187*1000/(110*4*18*60)*T187</f>
        <v>4.6085858585858581</v>
      </c>
      <c r="O187" s="164"/>
      <c r="P187" s="164">
        <f t="shared" si="17"/>
        <v>0</v>
      </c>
      <c r="Q187" s="164"/>
      <c r="R187" s="19">
        <f t="shared" si="18"/>
        <v>0</v>
      </c>
      <c r="S187" s="164">
        <f t="shared" si="19"/>
        <v>0</v>
      </c>
      <c r="T187" s="20">
        <v>5</v>
      </c>
      <c r="U187" s="20"/>
      <c r="V187" s="161" t="str">
        <f t="array" ref="V187">IF(ISERROR(L187/K187),"",L187/K187)</f>
        <v/>
      </c>
      <c r="W187" s="20"/>
      <c r="X187" s="20"/>
      <c r="Y187" s="20"/>
      <c r="Z187" s="20"/>
      <c r="AA187" s="20"/>
      <c r="AB187" s="20"/>
      <c r="AC187" s="20"/>
    </row>
    <row r="188" spans="1:29" s="2" customFormat="1" ht="21.95" customHeight="1">
      <c r="A188" s="157">
        <v>300356</v>
      </c>
      <c r="B188" s="153" t="s">
        <v>169</v>
      </c>
      <c r="C188" s="259" t="s">
        <v>168</v>
      </c>
      <c r="D188" s="260"/>
      <c r="E188" s="168" t="s">
        <v>41</v>
      </c>
      <c r="F188" s="27"/>
      <c r="G188" s="164"/>
      <c r="H188" s="164"/>
      <c r="I188" s="110"/>
      <c r="J188" s="110"/>
      <c r="K188" s="154">
        <f t="shared" si="15"/>
        <v>0</v>
      </c>
      <c r="L188" s="164">
        <f t="shared" si="16"/>
        <v>0</v>
      </c>
      <c r="M188" s="164">
        <v>438</v>
      </c>
      <c r="N188" s="15">
        <f>+M188*1000/(110*4*18*60)*T188</f>
        <v>4.6085858585858581</v>
      </c>
      <c r="O188" s="164"/>
      <c r="P188" s="164">
        <f t="shared" si="17"/>
        <v>0</v>
      </c>
      <c r="Q188" s="164"/>
      <c r="R188" s="19">
        <f t="shared" si="18"/>
        <v>0</v>
      </c>
      <c r="S188" s="164">
        <f t="shared" si="19"/>
        <v>0</v>
      </c>
      <c r="T188" s="20">
        <v>5</v>
      </c>
      <c r="U188" s="20"/>
      <c r="V188" s="161" t="str">
        <f t="array" ref="V188">IF(ISERROR(L188/K188),"",L188/K188)</f>
        <v/>
      </c>
      <c r="W188" s="20"/>
      <c r="X188" s="20"/>
      <c r="Y188" s="20"/>
      <c r="Z188" s="20"/>
      <c r="AA188" s="20"/>
      <c r="AB188" s="20"/>
      <c r="AC188" s="20"/>
    </row>
    <row r="189" spans="1:29" s="2" customFormat="1" ht="21.95" customHeight="1">
      <c r="A189" s="157">
        <v>300357</v>
      </c>
      <c r="B189" s="153" t="s">
        <v>170</v>
      </c>
      <c r="C189" s="259" t="s">
        <v>168</v>
      </c>
      <c r="D189" s="260"/>
      <c r="E189" s="168" t="s">
        <v>37</v>
      </c>
      <c r="F189" s="27"/>
      <c r="G189" s="164"/>
      <c r="H189" s="164"/>
      <c r="I189" s="110"/>
      <c r="J189" s="110"/>
      <c r="K189" s="154">
        <f t="shared" si="15"/>
        <v>0</v>
      </c>
      <c r="L189" s="164">
        <f t="shared" si="16"/>
        <v>0</v>
      </c>
      <c r="M189" s="164">
        <v>438</v>
      </c>
      <c r="N189" s="15">
        <f>+M189*1000/(110*4*18*60)*T189</f>
        <v>4.6085858585858581</v>
      </c>
      <c r="O189" s="164"/>
      <c r="P189" s="164">
        <f t="shared" si="17"/>
        <v>0</v>
      </c>
      <c r="Q189" s="164"/>
      <c r="R189" s="19">
        <f t="shared" si="18"/>
        <v>0</v>
      </c>
      <c r="S189" s="164">
        <f t="shared" si="19"/>
        <v>0</v>
      </c>
      <c r="T189" s="20">
        <v>5</v>
      </c>
      <c r="U189" s="20"/>
      <c r="V189" s="161" t="str">
        <f t="array" ref="V189">IF(ISERROR(L189/K189),"",L189/K189)</f>
        <v/>
      </c>
      <c r="W189" s="20"/>
      <c r="X189" s="20"/>
      <c r="Y189" s="20"/>
      <c r="Z189" s="20"/>
      <c r="AA189" s="20"/>
      <c r="AB189" s="20"/>
      <c r="AC189" s="20"/>
    </row>
    <row r="190" spans="1:29" s="2" customFormat="1" ht="21.95" customHeight="1">
      <c r="A190" s="157">
        <v>300358</v>
      </c>
      <c r="B190" s="153" t="s">
        <v>171</v>
      </c>
      <c r="C190" s="259" t="s">
        <v>168</v>
      </c>
      <c r="D190" s="260"/>
      <c r="E190" s="168" t="s">
        <v>66</v>
      </c>
      <c r="F190" s="27"/>
      <c r="G190" s="164"/>
      <c r="H190" s="164"/>
      <c r="I190" s="110"/>
      <c r="J190" s="110"/>
      <c r="K190" s="154">
        <f t="shared" si="15"/>
        <v>0</v>
      </c>
      <c r="L190" s="164">
        <f t="shared" si="16"/>
        <v>0</v>
      </c>
      <c r="M190" s="164">
        <v>438</v>
      </c>
      <c r="N190" s="15">
        <f>+M190*1000/(110*4*18*60)*T190</f>
        <v>4.6085858585858581</v>
      </c>
      <c r="O190" s="164"/>
      <c r="P190" s="164">
        <f t="shared" si="17"/>
        <v>0</v>
      </c>
      <c r="Q190" s="164"/>
      <c r="R190" s="19">
        <f t="shared" si="18"/>
        <v>0</v>
      </c>
      <c r="S190" s="164">
        <f t="shared" si="19"/>
        <v>0</v>
      </c>
      <c r="T190" s="20">
        <v>5</v>
      </c>
      <c r="U190" s="20"/>
      <c r="V190" s="161" t="str">
        <f t="array" ref="V190">IF(ISERROR(L190/K190),"",L190/K190)</f>
        <v/>
      </c>
      <c r="W190" s="20"/>
      <c r="X190" s="20"/>
      <c r="Y190" s="20"/>
      <c r="Z190" s="20"/>
      <c r="AA190" s="20"/>
      <c r="AB190" s="20"/>
      <c r="AC190" s="20"/>
    </row>
    <row r="191" spans="1:29" ht="21.95" customHeight="1">
      <c r="A191" s="160">
        <v>300438</v>
      </c>
      <c r="B191" s="153" t="s">
        <v>87</v>
      </c>
      <c r="C191" s="248" t="s">
        <v>312</v>
      </c>
      <c r="D191" s="248" t="s">
        <v>89</v>
      </c>
      <c r="E191" s="166" t="s">
        <v>35</v>
      </c>
      <c r="F191" s="13"/>
      <c r="G191" s="110"/>
      <c r="H191" s="110"/>
      <c r="I191" s="110"/>
      <c r="J191" s="110"/>
      <c r="K191" s="164">
        <f>G191*M191</f>
        <v>0</v>
      </c>
      <c r="L191" s="164">
        <f>I191*M191</f>
        <v>0</v>
      </c>
      <c r="M191" s="164">
        <v>336.6</v>
      </c>
      <c r="N191" s="164">
        <f>+M191*1000/(45*10*18*60)*T191</f>
        <v>1.3851851851851851</v>
      </c>
      <c r="O191" s="164"/>
      <c r="P191" s="164">
        <f>N191*I191+O191*U191</f>
        <v>0</v>
      </c>
      <c r="Q191" s="164"/>
      <c r="R191" s="19">
        <f>Q191*U191</f>
        <v>0</v>
      </c>
      <c r="S191" s="164">
        <f>R191-P191</f>
        <v>0</v>
      </c>
      <c r="T191" s="20">
        <v>2</v>
      </c>
      <c r="U191" s="20"/>
      <c r="V191" s="161"/>
      <c r="W191" s="20"/>
      <c r="X191" s="20"/>
      <c r="Y191" s="20"/>
      <c r="Z191" s="20"/>
      <c r="AA191" s="20"/>
      <c r="AB191" s="20"/>
      <c r="AC191" s="20"/>
    </row>
    <row r="192" spans="1:29" ht="21.95" customHeight="1">
      <c r="A192" s="160">
        <v>300439</v>
      </c>
      <c r="B192" s="153" t="s">
        <v>87</v>
      </c>
      <c r="C192" s="248" t="s">
        <v>312</v>
      </c>
      <c r="D192" s="248" t="s">
        <v>89</v>
      </c>
      <c r="E192" s="166" t="s">
        <v>66</v>
      </c>
      <c r="F192" s="13"/>
      <c r="G192" s="110"/>
      <c r="H192" s="110"/>
      <c r="I192" s="110"/>
      <c r="J192" s="110"/>
      <c r="K192" s="164">
        <f>G192*M192</f>
        <v>0</v>
      </c>
      <c r="L192" s="164">
        <f>I192*M192</f>
        <v>0</v>
      </c>
      <c r="M192" s="164">
        <v>336.6</v>
      </c>
      <c r="N192" s="164">
        <f>+M192*1000/(45*10*18*60)*T192</f>
        <v>1.3851851851851851</v>
      </c>
      <c r="O192" s="164"/>
      <c r="P192" s="164">
        <f>N192*I192+O192*U192</f>
        <v>0</v>
      </c>
      <c r="Q192" s="164"/>
      <c r="R192" s="19">
        <f>Q192*U192</f>
        <v>0</v>
      </c>
      <c r="S192" s="164">
        <f>R192-P192</f>
        <v>0</v>
      </c>
      <c r="T192" s="20">
        <v>2</v>
      </c>
      <c r="U192" s="20"/>
      <c r="V192" s="161"/>
      <c r="W192" s="20"/>
      <c r="X192" s="20"/>
      <c r="Y192" s="20"/>
      <c r="Z192" s="20"/>
      <c r="AA192" s="20"/>
      <c r="AB192" s="20"/>
      <c r="AC192" s="20"/>
    </row>
    <row r="193" spans="1:29" ht="21.95" customHeight="1">
      <c r="A193" s="160">
        <v>300440</v>
      </c>
      <c r="B193" s="153" t="s">
        <v>87</v>
      </c>
      <c r="C193" s="248" t="s">
        <v>312</v>
      </c>
      <c r="D193" s="248" t="s">
        <v>89</v>
      </c>
      <c r="E193" s="166" t="s">
        <v>41</v>
      </c>
      <c r="F193" s="13"/>
      <c r="G193" s="110"/>
      <c r="H193" s="110"/>
      <c r="I193" s="110"/>
      <c r="J193" s="110"/>
      <c r="K193" s="164">
        <f>G193*M193</f>
        <v>0</v>
      </c>
      <c r="L193" s="164">
        <f>I193*M193</f>
        <v>0</v>
      </c>
      <c r="M193" s="164">
        <v>336.6</v>
      </c>
      <c r="N193" s="164">
        <f>+M193*1000/(45*10*18*60)*T193</f>
        <v>1.3851851851851851</v>
      </c>
      <c r="O193" s="164"/>
      <c r="P193" s="164">
        <f>N193*I193+O193*U193</f>
        <v>0</v>
      </c>
      <c r="Q193" s="164"/>
      <c r="R193" s="19">
        <f>Q193*U193</f>
        <v>0</v>
      </c>
      <c r="S193" s="164">
        <f>R193-P193</f>
        <v>0</v>
      </c>
      <c r="T193" s="20">
        <v>2</v>
      </c>
      <c r="U193" s="20"/>
      <c r="V193" s="161"/>
      <c r="W193" s="20"/>
      <c r="X193" s="20"/>
      <c r="Y193" s="20"/>
      <c r="Z193" s="20"/>
      <c r="AA193" s="20"/>
      <c r="AB193" s="20"/>
      <c r="AC193" s="20"/>
    </row>
    <row r="194" spans="1:29" ht="21.95" customHeight="1">
      <c r="A194" s="160">
        <v>300441</v>
      </c>
      <c r="B194" s="153" t="s">
        <v>87</v>
      </c>
      <c r="C194" s="248" t="s">
        <v>312</v>
      </c>
      <c r="D194" s="248" t="s">
        <v>89</v>
      </c>
      <c r="E194" s="166" t="s">
        <v>37</v>
      </c>
      <c r="F194" s="13"/>
      <c r="G194" s="110"/>
      <c r="H194" s="110"/>
      <c r="I194" s="110"/>
      <c r="J194" s="110"/>
      <c r="K194" s="164">
        <f>G194*M194</f>
        <v>0</v>
      </c>
      <c r="L194" s="164">
        <f>I194*M194</f>
        <v>0</v>
      </c>
      <c r="M194" s="164">
        <v>336.6</v>
      </c>
      <c r="N194" s="164">
        <f>+M194*1000/(45*10*18*60)*T194</f>
        <v>1.3851851851851851</v>
      </c>
      <c r="O194" s="164"/>
      <c r="P194" s="164">
        <f>N194*I194+O194*U194</f>
        <v>0</v>
      </c>
      <c r="Q194" s="164"/>
      <c r="R194" s="19">
        <f>Q194*U194</f>
        <v>0</v>
      </c>
      <c r="S194" s="164">
        <f>R194-P194</f>
        <v>0</v>
      </c>
      <c r="T194" s="20">
        <v>2</v>
      </c>
      <c r="U194" s="20"/>
      <c r="V194" s="161"/>
      <c r="W194" s="20"/>
      <c r="X194" s="20"/>
      <c r="Y194" s="20"/>
      <c r="Z194" s="20"/>
      <c r="AA194" s="20"/>
      <c r="AB194" s="20"/>
      <c r="AC194" s="20"/>
    </row>
    <row r="195" spans="1:29" s="2" customFormat="1" ht="21.95" customHeight="1">
      <c r="A195" s="157">
        <v>300406</v>
      </c>
      <c r="B195" s="153" t="s">
        <v>171</v>
      </c>
      <c r="C195" s="259" t="s">
        <v>172</v>
      </c>
      <c r="D195" s="260"/>
      <c r="E195" s="168" t="s">
        <v>149</v>
      </c>
      <c r="F195" s="27"/>
      <c r="G195" s="67"/>
      <c r="H195" s="67"/>
      <c r="I195" s="110"/>
      <c r="J195" s="110"/>
      <c r="K195" s="154">
        <f t="shared" ref="K195:K198" si="23">G195*M195</f>
        <v>0</v>
      </c>
      <c r="L195" s="164">
        <f t="shared" ref="L195:L198" si="24">I195*M195</f>
        <v>0</v>
      </c>
      <c r="M195" s="164">
        <v>628.29999999999995</v>
      </c>
      <c r="N195" s="15">
        <f>+M195*1000/(132*4*18*60)*T195</f>
        <v>5.5090838945005611</v>
      </c>
      <c r="O195" s="164"/>
      <c r="P195" s="164">
        <f t="shared" ref="P195:P198" si="25">N195*I195+O195*U195</f>
        <v>0</v>
      </c>
      <c r="Q195" s="164"/>
      <c r="R195" s="19">
        <f t="shared" ref="R195:R198" si="26">Q195*U195</f>
        <v>0</v>
      </c>
      <c r="S195" s="164">
        <f t="shared" ref="S195:S198" si="27">R195-P195</f>
        <v>0</v>
      </c>
      <c r="T195" s="20">
        <v>5</v>
      </c>
      <c r="U195" s="20"/>
      <c r="V195" s="161" t="str">
        <f t="array" ref="V195">IF(ISERROR(L195/K195),"",L195/K195)</f>
        <v/>
      </c>
      <c r="W195" s="20"/>
      <c r="X195" s="20"/>
      <c r="Y195" s="20"/>
      <c r="Z195" s="20"/>
      <c r="AA195" s="20"/>
      <c r="AB195" s="20"/>
      <c r="AC195" s="20"/>
    </row>
    <row r="196" spans="1:29" s="2" customFormat="1" ht="21.95" customHeight="1">
      <c r="A196" s="157">
        <v>300407</v>
      </c>
      <c r="B196" s="153" t="s">
        <v>171</v>
      </c>
      <c r="C196" s="259" t="s">
        <v>172</v>
      </c>
      <c r="D196" s="260"/>
      <c r="E196" s="168" t="s">
        <v>173</v>
      </c>
      <c r="F196" s="27"/>
      <c r="G196" s="67"/>
      <c r="H196" s="67"/>
      <c r="I196" s="110"/>
      <c r="J196" s="110"/>
      <c r="K196" s="154">
        <f t="shared" si="23"/>
        <v>0</v>
      </c>
      <c r="L196" s="164">
        <f t="shared" si="24"/>
        <v>0</v>
      </c>
      <c r="M196" s="164">
        <v>628.29999999999995</v>
      </c>
      <c r="N196" s="15">
        <f>+M196*1000/(132*4*18*60)*T196</f>
        <v>5.5090838945005611</v>
      </c>
      <c r="O196" s="164"/>
      <c r="P196" s="164">
        <f t="shared" si="25"/>
        <v>0</v>
      </c>
      <c r="Q196" s="164"/>
      <c r="R196" s="19">
        <f t="shared" si="26"/>
        <v>0</v>
      </c>
      <c r="S196" s="164">
        <f t="shared" si="27"/>
        <v>0</v>
      </c>
      <c r="T196" s="20">
        <v>5</v>
      </c>
      <c r="U196" s="20"/>
      <c r="V196" s="161" t="str">
        <f t="array" ref="V196">IF(ISERROR(L196/K196),"",L196/K196)</f>
        <v/>
      </c>
      <c r="W196" s="20"/>
      <c r="X196" s="20"/>
      <c r="Y196" s="20"/>
      <c r="Z196" s="20"/>
      <c r="AA196" s="20"/>
      <c r="AB196" s="20"/>
      <c r="AC196" s="20"/>
    </row>
    <row r="197" spans="1:29" s="2" customFormat="1" ht="21.95" customHeight="1">
      <c r="A197" s="157">
        <v>300408</v>
      </c>
      <c r="B197" s="153" t="s">
        <v>171</v>
      </c>
      <c r="C197" s="259" t="s">
        <v>172</v>
      </c>
      <c r="D197" s="260"/>
      <c r="E197" s="168" t="s">
        <v>41</v>
      </c>
      <c r="F197" s="27"/>
      <c r="G197" s="67"/>
      <c r="H197" s="67"/>
      <c r="I197" s="110"/>
      <c r="J197" s="110"/>
      <c r="K197" s="154">
        <f t="shared" si="23"/>
        <v>0</v>
      </c>
      <c r="L197" s="164">
        <f t="shared" si="24"/>
        <v>0</v>
      </c>
      <c r="M197" s="164">
        <v>628.29999999999995</v>
      </c>
      <c r="N197" s="15">
        <f>+M197*1000/(132*4*18*60)*T197</f>
        <v>5.5090838945005611</v>
      </c>
      <c r="O197" s="164"/>
      <c r="P197" s="164">
        <f t="shared" si="25"/>
        <v>0</v>
      </c>
      <c r="Q197" s="164"/>
      <c r="R197" s="19">
        <f t="shared" si="26"/>
        <v>0</v>
      </c>
      <c r="S197" s="164">
        <f t="shared" si="27"/>
        <v>0</v>
      </c>
      <c r="T197" s="20">
        <v>5</v>
      </c>
      <c r="U197" s="20"/>
      <c r="V197" s="161" t="str">
        <f t="array" ref="V197">IF(ISERROR(L197/K197),"",L197/K197)</f>
        <v/>
      </c>
      <c r="W197" s="20"/>
      <c r="X197" s="20"/>
      <c r="Y197" s="20"/>
      <c r="Z197" s="20"/>
      <c r="AA197" s="20"/>
      <c r="AB197" s="20"/>
      <c r="AC197" s="20"/>
    </row>
    <row r="198" spans="1:29" s="2" customFormat="1" ht="21.95" customHeight="1">
      <c r="A198" s="157">
        <v>300409</v>
      </c>
      <c r="B198" s="153" t="s">
        <v>171</v>
      </c>
      <c r="C198" s="259" t="s">
        <v>172</v>
      </c>
      <c r="D198" s="260"/>
      <c r="E198" s="168" t="s">
        <v>174</v>
      </c>
      <c r="F198" s="27"/>
      <c r="G198" s="67"/>
      <c r="H198" s="67"/>
      <c r="I198" s="110"/>
      <c r="J198" s="110"/>
      <c r="K198" s="154">
        <f t="shared" si="23"/>
        <v>0</v>
      </c>
      <c r="L198" s="164">
        <f t="shared" si="24"/>
        <v>0</v>
      </c>
      <c r="M198" s="164">
        <v>628.29999999999995</v>
      </c>
      <c r="N198" s="15">
        <f>+M198*1000/(132*4*18*60)*T198</f>
        <v>5.5090838945005611</v>
      </c>
      <c r="O198" s="164"/>
      <c r="P198" s="164">
        <f t="shared" si="25"/>
        <v>0</v>
      </c>
      <c r="Q198" s="164"/>
      <c r="R198" s="19">
        <f t="shared" si="26"/>
        <v>0</v>
      </c>
      <c r="S198" s="164">
        <f t="shared" si="27"/>
        <v>0</v>
      </c>
      <c r="T198" s="20">
        <v>5</v>
      </c>
      <c r="U198" s="20"/>
      <c r="V198" s="161" t="str">
        <f t="array" ref="V198">IF(ISERROR(L198/K198),"",L198/K198)</f>
        <v/>
      </c>
      <c r="W198" s="20"/>
      <c r="X198" s="20"/>
      <c r="Y198" s="20"/>
      <c r="Z198" s="20"/>
      <c r="AA198" s="20"/>
      <c r="AB198" s="20"/>
      <c r="AC198" s="20"/>
    </row>
    <row r="199" spans="1:29" ht="21.95" customHeight="1">
      <c r="A199" s="249" t="s">
        <v>175</v>
      </c>
      <c r="B199" s="249"/>
      <c r="C199" s="249"/>
      <c r="D199" s="249"/>
      <c r="E199" s="249"/>
      <c r="F199" s="249"/>
      <c r="G199" s="164">
        <f t="array" ref="G199">SUM(IF(ISERROR(G6:G198),“”,G6:G198))</f>
        <v>0</v>
      </c>
      <c r="H199" s="164">
        <f t="array" ref="H199">SUM(IF(ISERROR(H6:H198),“”,H6:H198))</f>
        <v>0</v>
      </c>
      <c r="I199" s="164">
        <f t="array" ref="I199">SUM(IF(ISERROR(I6:I198),“”,I6:I198))</f>
        <v>0</v>
      </c>
      <c r="J199" s="164">
        <f t="array" ref="J199">SUM(IF(ISERROR(J6:J198),“”,J6:J198))</f>
        <v>0</v>
      </c>
      <c r="K199" s="164">
        <f t="array" ref="K199">SUM(IF(ISERROR(K6:K198),“”,K6:K198))</f>
        <v>0</v>
      </c>
      <c r="L199" s="56">
        <f>SUM(L6:L198)</f>
        <v>0</v>
      </c>
      <c r="M199" s="164"/>
      <c r="N199" s="164"/>
      <c r="O199" s="164">
        <f>SUM(O6:O190)</f>
        <v>0</v>
      </c>
      <c r="P199" s="56">
        <f>SUM((P6:P190),(W204:X209))</f>
        <v>0</v>
      </c>
      <c r="Q199" s="164"/>
      <c r="R199" s="56">
        <f>SUM((R6:R190),(Y204:Z209))</f>
        <v>0</v>
      </c>
      <c r="S199" s="164">
        <f t="array" ref="S199">SUM(IF(ISERROR(S6:S198),“”,S6:S198))</f>
        <v>0</v>
      </c>
      <c r="T199" s="164"/>
      <c r="U199" s="164"/>
      <c r="V199" s="161" t="str">
        <f>IF(ISERROR(L199/K199),"",L199/K199)</f>
        <v/>
      </c>
      <c r="W199" s="164">
        <f t="array" ref="W199">SUM(IF(ISERROR(W6:W198),“”,W6:W198))</f>
        <v>0</v>
      </c>
      <c r="X199" s="164">
        <f t="array" ref="X199">SUM(IF(ISERROR(X6:X198),“”,X6:X198))</f>
        <v>0</v>
      </c>
      <c r="Y199" s="164">
        <f t="array" ref="Y199">SUM(IF(ISERROR(Y6:Y198),“”,Y6:Y198))</f>
        <v>0</v>
      </c>
      <c r="Z199" s="164">
        <f t="array" ref="Z199">SUM(IF(ISERROR(Z6:Z198),“”,Z6:Z198))</f>
        <v>0</v>
      </c>
      <c r="AA199" s="164">
        <f t="array" ref="AA199">SUM(IF(ISERROR(AA6:AA198),“”,AA6:AA198))</f>
        <v>0</v>
      </c>
      <c r="AB199" s="164">
        <f t="array" ref="AB199">SUM(IF(ISERROR(AB6:AB198),“”,AB6:AB198))</f>
        <v>0</v>
      </c>
      <c r="AC199" s="164">
        <f t="array" ref="AC199">SUM(IF(ISERROR(AC6:AC198),“”,AC6:AC198))</f>
        <v>0</v>
      </c>
    </row>
    <row r="200" spans="1:29" ht="21.95" customHeight="1">
      <c r="A200" s="34"/>
      <c r="B200" s="34"/>
      <c r="C200" s="34"/>
      <c r="D200" s="34"/>
      <c r="E200" s="34"/>
      <c r="F200" s="34"/>
      <c r="G200" s="35"/>
      <c r="H200" s="35"/>
      <c r="I200" s="35"/>
      <c r="J200" s="35"/>
      <c r="K200" s="270" t="s">
        <v>176</v>
      </c>
      <c r="L200" s="271"/>
      <c r="M200" s="271"/>
      <c r="N200" s="272"/>
      <c r="O200" s="273" t="str">
        <f>IF(ISERROR(P199/R199),"",P199/R199)</f>
        <v/>
      </c>
      <c r="P200" s="274"/>
      <c r="Q200" s="274"/>
      <c r="R200" s="275"/>
      <c r="S200" s="44"/>
      <c r="T200" s="45"/>
      <c r="U200" s="45"/>
      <c r="V200" s="45"/>
      <c r="W200" s="276">
        <f>SUM(W199:AC199)</f>
        <v>0</v>
      </c>
      <c r="X200" s="277"/>
      <c r="Y200" s="277"/>
      <c r="Z200" s="277"/>
      <c r="AA200" s="277"/>
      <c r="AB200" s="277"/>
      <c r="AC200" s="278"/>
    </row>
    <row r="201" spans="1:29" ht="21.95" customHeight="1">
      <c r="A201" s="279" t="s">
        <v>177</v>
      </c>
      <c r="B201" s="279"/>
      <c r="C201" s="279" t="s">
        <v>178</v>
      </c>
      <c r="D201" s="279"/>
      <c r="E201" s="279" t="s">
        <v>179</v>
      </c>
      <c r="F201" s="279"/>
      <c r="G201" s="279" t="s">
        <v>180</v>
      </c>
      <c r="H201" s="279"/>
      <c r="I201" s="279" t="s">
        <v>181</v>
      </c>
      <c r="J201" s="279"/>
      <c r="K201" s="279" t="s">
        <v>182</v>
      </c>
      <c r="L201" s="279"/>
      <c r="M201" s="266" t="s">
        <v>183</v>
      </c>
      <c r="N201" s="267"/>
      <c r="O201" s="282" t="s">
        <v>184</v>
      </c>
      <c r="P201" s="282"/>
      <c r="Q201" s="280" t="s">
        <v>185</v>
      </c>
      <c r="R201" s="280"/>
      <c r="S201" s="280" t="s">
        <v>186</v>
      </c>
      <c r="T201" s="280"/>
      <c r="U201" s="280" t="s">
        <v>187</v>
      </c>
      <c r="V201" s="280"/>
      <c r="W201" s="280" t="s">
        <v>188</v>
      </c>
      <c r="X201" s="280"/>
      <c r="Y201" s="280" t="s">
        <v>189</v>
      </c>
      <c r="Z201" s="280"/>
      <c r="AA201" s="280" t="s">
        <v>190</v>
      </c>
      <c r="AB201" s="280"/>
      <c r="AC201" s="280"/>
    </row>
    <row r="202" spans="1:29" ht="21.95" customHeight="1">
      <c r="A202" s="279"/>
      <c r="B202" s="279"/>
      <c r="C202" s="279" t="s">
        <v>191</v>
      </c>
      <c r="D202" s="279"/>
      <c r="E202" s="279"/>
      <c r="F202" s="279"/>
      <c r="G202" s="279"/>
      <c r="H202" s="279"/>
      <c r="I202" s="279">
        <f>G202-E202</f>
        <v>0</v>
      </c>
      <c r="J202" s="279"/>
      <c r="K202" s="281" t="str">
        <f t="array" ref="K202">IF(ISERROR(I202/E202),"",I202/E202)</f>
        <v/>
      </c>
      <c r="L202" s="281"/>
      <c r="M202" s="266"/>
      <c r="N202" s="267"/>
      <c r="O202" s="282"/>
      <c r="P202" s="282"/>
      <c r="Q202" s="280"/>
      <c r="R202" s="280"/>
      <c r="S202" s="280"/>
      <c r="T202" s="280"/>
      <c r="U202" s="280"/>
      <c r="V202" s="280"/>
      <c r="W202" s="280"/>
      <c r="X202" s="280"/>
      <c r="Y202" s="280"/>
      <c r="Z202" s="280"/>
      <c r="AA202" s="280"/>
      <c r="AB202" s="280"/>
      <c r="AC202" s="280"/>
    </row>
    <row r="203" spans="1:29" ht="21.95" customHeight="1">
      <c r="A203" s="279"/>
      <c r="B203" s="279"/>
      <c r="C203" s="279" t="s">
        <v>192</v>
      </c>
      <c r="D203" s="279"/>
      <c r="E203" s="279"/>
      <c r="F203" s="279"/>
      <c r="G203" s="279"/>
      <c r="H203" s="279"/>
      <c r="I203" s="279">
        <f>G203-E203</f>
        <v>0</v>
      </c>
      <c r="J203" s="279"/>
      <c r="K203" s="281" t="str">
        <f t="array" ref="K203">IF(ISERROR(I203/E203),"",I203/E203)</f>
        <v/>
      </c>
      <c r="L203" s="281"/>
      <c r="M203" s="266"/>
      <c r="N203" s="267"/>
      <c r="O203" s="282"/>
      <c r="P203" s="282"/>
      <c r="Q203" s="283" t="s">
        <v>193</v>
      </c>
      <c r="R203" s="283"/>
      <c r="S203" s="284"/>
      <c r="T203" s="284"/>
      <c r="U203" s="284"/>
      <c r="V203" s="284"/>
      <c r="W203" s="283">
        <f t="shared" ref="W203:W210" si="28">S203*11</f>
        <v>0</v>
      </c>
      <c r="X203" s="283"/>
      <c r="Y203" s="283">
        <f t="shared" ref="Y203:Y210" si="29">U203*11</f>
        <v>0</v>
      </c>
      <c r="Z203" s="283"/>
      <c r="AA203" s="283">
        <f t="shared" ref="AA203:AA210" si="30">Y203-W203</f>
        <v>0</v>
      </c>
      <c r="AB203" s="283"/>
      <c r="AC203" s="283"/>
    </row>
    <row r="204" spans="1:29" ht="21.95" customHeight="1">
      <c r="A204" s="279"/>
      <c r="B204" s="279"/>
      <c r="C204" s="279" t="s">
        <v>194</v>
      </c>
      <c r="D204" s="279"/>
      <c r="E204" s="279"/>
      <c r="F204" s="279"/>
      <c r="G204" s="279"/>
      <c r="H204" s="279"/>
      <c r="I204" s="279">
        <f>G204-E204</f>
        <v>0</v>
      </c>
      <c r="J204" s="279"/>
      <c r="K204" s="281" t="str">
        <f t="array" ref="K204">IF(ISERROR(I204/E204),"",I204/E204)</f>
        <v/>
      </c>
      <c r="L204" s="281"/>
      <c r="M204" s="266"/>
      <c r="N204" s="267"/>
      <c r="O204" s="282"/>
      <c r="P204" s="282"/>
      <c r="Q204" s="283" t="s">
        <v>195</v>
      </c>
      <c r="R204" s="283"/>
      <c r="S204" s="284"/>
      <c r="T204" s="284"/>
      <c r="U204" s="284"/>
      <c r="V204" s="284"/>
      <c r="W204" s="283">
        <f t="shared" si="28"/>
        <v>0</v>
      </c>
      <c r="X204" s="283"/>
      <c r="Y204" s="283">
        <f t="shared" si="29"/>
        <v>0</v>
      </c>
      <c r="Z204" s="283"/>
      <c r="AA204" s="283">
        <f t="shared" si="30"/>
        <v>0</v>
      </c>
      <c r="AB204" s="283"/>
      <c r="AC204" s="283"/>
    </row>
    <row r="205" spans="1:29" ht="21.95" customHeight="1">
      <c r="A205" s="307" t="s">
        <v>196</v>
      </c>
      <c r="B205" s="308"/>
      <c r="C205" s="298" t="s">
        <v>197</v>
      </c>
      <c r="D205" s="299"/>
      <c r="E205" s="299"/>
      <c r="F205" s="300"/>
      <c r="G205" s="313" t="s">
        <v>198</v>
      </c>
      <c r="H205" s="313"/>
      <c r="I205" s="291" t="s">
        <v>199</v>
      </c>
      <c r="J205" s="292"/>
      <c r="K205" s="291" t="s">
        <v>200</v>
      </c>
      <c r="L205" s="292"/>
      <c r="M205" s="291" t="s">
        <v>201</v>
      </c>
      <c r="N205" s="292"/>
      <c r="O205" s="282"/>
      <c r="P205" s="282"/>
      <c r="Q205" s="283" t="s">
        <v>202</v>
      </c>
      <c r="R205" s="283"/>
      <c r="S205" s="284"/>
      <c r="T205" s="284"/>
      <c r="U205" s="284"/>
      <c r="V205" s="284"/>
      <c r="W205" s="283">
        <f t="shared" si="28"/>
        <v>0</v>
      </c>
      <c r="X205" s="283"/>
      <c r="Y205" s="283">
        <f t="shared" si="29"/>
        <v>0</v>
      </c>
      <c r="Z205" s="283"/>
      <c r="AA205" s="283">
        <f t="shared" si="30"/>
        <v>0</v>
      </c>
      <c r="AB205" s="283"/>
      <c r="AC205" s="283"/>
    </row>
    <row r="206" spans="1:29" ht="21.95" customHeight="1">
      <c r="A206" s="309"/>
      <c r="B206" s="310"/>
      <c r="C206" s="36" t="s">
        <v>203</v>
      </c>
      <c r="D206" s="37" t="s">
        <v>204</v>
      </c>
      <c r="E206" s="38"/>
      <c r="F206" s="162">
        <v>5</v>
      </c>
      <c r="G206" s="285"/>
      <c r="H206" s="286"/>
      <c r="I206" s="287"/>
      <c r="J206" s="288"/>
      <c r="K206" s="289">
        <f>G206-I206</f>
        <v>0</v>
      </c>
      <c r="L206" s="289"/>
      <c r="M206" s="290" t="str">
        <f t="array" ref="M206">IF(ISERROR(K206/L199),"",K206/(L199/1000))</f>
        <v/>
      </c>
      <c r="N206" s="290"/>
      <c r="O206" s="282"/>
      <c r="P206" s="282"/>
      <c r="Q206" s="283" t="s">
        <v>205</v>
      </c>
      <c r="R206" s="283"/>
      <c r="S206" s="284"/>
      <c r="T206" s="284"/>
      <c r="U206" s="284"/>
      <c r="V206" s="284"/>
      <c r="W206" s="283">
        <f t="shared" si="28"/>
        <v>0</v>
      </c>
      <c r="X206" s="283"/>
      <c r="Y206" s="283">
        <f t="shared" si="29"/>
        <v>0</v>
      </c>
      <c r="Z206" s="283"/>
      <c r="AA206" s="283">
        <f t="shared" si="30"/>
        <v>0</v>
      </c>
      <c r="AB206" s="283"/>
      <c r="AC206" s="283"/>
    </row>
    <row r="207" spans="1:29" ht="21.95" customHeight="1">
      <c r="A207" s="309"/>
      <c r="B207" s="310"/>
      <c r="C207" s="36" t="s">
        <v>206</v>
      </c>
      <c r="D207" s="37" t="s">
        <v>207</v>
      </c>
      <c r="E207" s="38"/>
      <c r="F207" s="162">
        <v>105</v>
      </c>
      <c r="G207" s="285"/>
      <c r="H207" s="286"/>
      <c r="I207" s="287"/>
      <c r="J207" s="288"/>
      <c r="K207" s="289">
        <f>G207-I207</f>
        <v>0</v>
      </c>
      <c r="L207" s="289"/>
      <c r="M207" s="290" t="str">
        <f t="array" ref="M207">IF(ISERROR(K207/L199),"",K207/(L199/1000))</f>
        <v/>
      </c>
      <c r="N207" s="290"/>
      <c r="O207" s="282"/>
      <c r="P207" s="282"/>
      <c r="Q207" s="283" t="s">
        <v>208</v>
      </c>
      <c r="R207" s="283"/>
      <c r="S207" s="284"/>
      <c r="T207" s="284"/>
      <c r="U207" s="284"/>
      <c r="V207" s="284"/>
      <c r="W207" s="283">
        <f t="shared" si="28"/>
        <v>0</v>
      </c>
      <c r="X207" s="283"/>
      <c r="Y207" s="283">
        <f t="shared" si="29"/>
        <v>0</v>
      </c>
      <c r="Z207" s="283"/>
      <c r="AA207" s="283">
        <f t="shared" si="30"/>
        <v>0</v>
      </c>
      <c r="AB207" s="283"/>
      <c r="AC207" s="283"/>
    </row>
    <row r="208" spans="1:29" ht="21.95" customHeight="1">
      <c r="A208" s="309"/>
      <c r="B208" s="310"/>
      <c r="C208" s="36" t="s">
        <v>209</v>
      </c>
      <c r="D208" s="37" t="s">
        <v>210</v>
      </c>
      <c r="E208" s="38"/>
      <c r="F208" s="162">
        <v>0.55000000000000004</v>
      </c>
      <c r="G208" s="285"/>
      <c r="H208" s="286"/>
      <c r="I208" s="291"/>
      <c r="J208" s="292"/>
      <c r="K208" s="289">
        <f>G208-I208</f>
        <v>0</v>
      </c>
      <c r="L208" s="289"/>
      <c r="M208" s="293" t="str">
        <f t="array" ref="M208">IF(ISERROR(K208/L199),"",K208/(L199/1000))</f>
        <v/>
      </c>
      <c r="N208" s="293"/>
      <c r="O208" s="282"/>
      <c r="P208" s="282"/>
      <c r="Q208" s="283" t="s">
        <v>211</v>
      </c>
      <c r="R208" s="283"/>
      <c r="S208" s="284"/>
      <c r="T208" s="284"/>
      <c r="U208" s="284"/>
      <c r="V208" s="284"/>
      <c r="W208" s="283">
        <f t="shared" si="28"/>
        <v>0</v>
      </c>
      <c r="X208" s="283"/>
      <c r="Y208" s="283">
        <f t="shared" si="29"/>
        <v>0</v>
      </c>
      <c r="Z208" s="283"/>
      <c r="AA208" s="283">
        <f t="shared" si="30"/>
        <v>0</v>
      </c>
      <c r="AB208" s="283"/>
      <c r="AC208" s="283"/>
    </row>
    <row r="209" spans="1:29" ht="21.95" customHeight="1">
      <c r="A209" s="309"/>
      <c r="B209" s="310"/>
      <c r="C209" s="39" t="s">
        <v>212</v>
      </c>
      <c r="D209" s="298" t="s">
        <v>213</v>
      </c>
      <c r="E209" s="299"/>
      <c r="F209" s="299"/>
      <c r="G209" s="299"/>
      <c r="H209" s="299"/>
      <c r="I209" s="299"/>
      <c r="J209" s="300"/>
      <c r="K209" s="291"/>
      <c r="L209" s="292"/>
      <c r="M209" s="294" t="str">
        <f t="array" ref="M209">IF(ISERROR((K209+K210)/L199),"",((K209+K210)*1000)/(L199/1000))</f>
        <v/>
      </c>
      <c r="N209" s="295"/>
      <c r="O209" s="282"/>
      <c r="P209" s="282"/>
      <c r="Q209" s="283" t="s">
        <v>214</v>
      </c>
      <c r="R209" s="283"/>
      <c r="S209" s="284"/>
      <c r="T209" s="284"/>
      <c r="U209" s="284"/>
      <c r="V209" s="284"/>
      <c r="W209" s="283">
        <f t="shared" si="28"/>
        <v>0</v>
      </c>
      <c r="X209" s="283"/>
      <c r="Y209" s="283">
        <f t="shared" si="29"/>
        <v>0</v>
      </c>
      <c r="Z209" s="283"/>
      <c r="AA209" s="283">
        <f t="shared" si="30"/>
        <v>0</v>
      </c>
      <c r="AB209" s="283"/>
      <c r="AC209" s="283"/>
    </row>
    <row r="210" spans="1:29" ht="21.95" customHeight="1">
      <c r="A210" s="309"/>
      <c r="B210" s="310"/>
      <c r="C210" s="39" t="s">
        <v>212</v>
      </c>
      <c r="D210" s="298" t="s">
        <v>215</v>
      </c>
      <c r="E210" s="299"/>
      <c r="F210" s="299"/>
      <c r="G210" s="299"/>
      <c r="H210" s="299"/>
      <c r="I210" s="299"/>
      <c r="J210" s="300"/>
      <c r="K210" s="291"/>
      <c r="L210" s="292"/>
      <c r="M210" s="296"/>
      <c r="N210" s="297"/>
      <c r="O210" s="282"/>
      <c r="P210" s="282"/>
      <c r="Q210" s="283" t="s">
        <v>216</v>
      </c>
      <c r="R210" s="283"/>
      <c r="S210" s="284">
        <f>SUM(S203:T209)</f>
        <v>0</v>
      </c>
      <c r="T210" s="284"/>
      <c r="U210" s="284">
        <f>SUM(U203:V209)</f>
        <v>0</v>
      </c>
      <c r="V210" s="284"/>
      <c r="W210" s="283">
        <f t="shared" si="28"/>
        <v>0</v>
      </c>
      <c r="X210" s="283"/>
      <c r="Y210" s="283">
        <f t="shared" si="29"/>
        <v>0</v>
      </c>
      <c r="Z210" s="283"/>
      <c r="AA210" s="283">
        <f t="shared" si="30"/>
        <v>0</v>
      </c>
      <c r="AB210" s="283"/>
      <c r="AC210" s="283"/>
    </row>
    <row r="211" spans="1:29" ht="21.95" customHeight="1">
      <c r="A211" s="311"/>
      <c r="B211" s="312"/>
      <c r="C211" s="301" t="s">
        <v>217</v>
      </c>
      <c r="D211" s="301"/>
      <c r="E211" s="301"/>
      <c r="F211" s="301"/>
      <c r="G211" s="302" t="str">
        <f>IF(ISERROR(K208/K210),"",K208/K210)</f>
        <v/>
      </c>
      <c r="H211" s="303"/>
      <c r="I211" s="301" t="s">
        <v>218</v>
      </c>
      <c r="J211" s="301"/>
      <c r="K211" s="301"/>
      <c r="L211" s="301"/>
      <c r="M211" s="302" t="str">
        <f>IF(ISERROR(K208/K209),"",K208/K209)</f>
        <v/>
      </c>
      <c r="N211" s="303"/>
      <c r="O211" s="282"/>
      <c r="P211" s="282"/>
      <c r="Q211" s="280" t="s">
        <v>219</v>
      </c>
      <c r="R211" s="280"/>
      <c r="S211" s="304" t="str">
        <f t="array" ref="S211">IF(ISERROR(L199/Y210),"",L199/Y210)</f>
        <v/>
      </c>
      <c r="T211" s="305"/>
      <c r="U211" s="305"/>
      <c r="V211" s="305"/>
      <c r="W211" s="305"/>
      <c r="X211" s="305"/>
      <c r="Y211" s="305"/>
      <c r="Z211" s="305"/>
      <c r="AA211" s="305"/>
      <c r="AB211" s="305"/>
      <c r="AC211" s="306"/>
    </row>
    <row r="212" spans="1:29" ht="21.95" customHeight="1">
      <c r="A212" s="46" t="s">
        <v>220</v>
      </c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9"/>
      <c r="P212" s="50"/>
      <c r="Q212" s="49"/>
      <c r="R212" s="51"/>
      <c r="S212" s="44"/>
      <c r="T212" s="44"/>
      <c r="U212" s="52"/>
      <c r="V212" s="52"/>
      <c r="W212" s="1"/>
      <c r="X212" s="1"/>
      <c r="Y212" s="2"/>
      <c r="Z212" s="2"/>
      <c r="AA212" s="2"/>
      <c r="AB212" s="2"/>
    </row>
    <row r="213" spans="1:29" ht="21.95" customHeight="1">
      <c r="A213" s="248" t="s">
        <v>3</v>
      </c>
      <c r="B213" s="248" t="s">
        <v>4</v>
      </c>
      <c r="C213" s="248" t="s">
        <v>5</v>
      </c>
      <c r="D213" s="248"/>
      <c r="E213" s="248" t="s">
        <v>6</v>
      </c>
      <c r="F213" s="248" t="s">
        <v>7</v>
      </c>
      <c r="G213" s="249" t="s">
        <v>8</v>
      </c>
      <c r="H213" s="249" t="s">
        <v>9</v>
      </c>
      <c r="I213" s="249" t="s">
        <v>10</v>
      </c>
      <c r="J213" s="249" t="s">
        <v>11</v>
      </c>
      <c r="K213" s="249" t="s">
        <v>12</v>
      </c>
      <c r="L213" s="249" t="s">
        <v>13</v>
      </c>
      <c r="M213" s="249" t="s">
        <v>14</v>
      </c>
      <c r="N213" s="249" t="s">
        <v>15</v>
      </c>
      <c r="O213" s="257" t="s">
        <v>16</v>
      </c>
      <c r="P213" s="257" t="s">
        <v>17</v>
      </c>
      <c r="Q213" s="249" t="s">
        <v>18</v>
      </c>
      <c r="R213" s="249"/>
      <c r="S213" s="249" t="s">
        <v>19</v>
      </c>
      <c r="T213" s="250" t="s">
        <v>20</v>
      </c>
      <c r="U213" s="250" t="s">
        <v>21</v>
      </c>
      <c r="V213" s="252" t="s">
        <v>22</v>
      </c>
      <c r="W213" s="254" t="s">
        <v>23</v>
      </c>
      <c r="X213" s="255"/>
      <c r="Y213" s="255"/>
      <c r="Z213" s="255"/>
      <c r="AA213" s="255"/>
      <c r="AB213" s="255"/>
      <c r="AC213" s="256"/>
    </row>
    <row r="214" spans="1:29" ht="21.95" customHeight="1">
      <c r="A214" s="248"/>
      <c r="B214" s="248"/>
      <c r="C214" s="248"/>
      <c r="D214" s="248"/>
      <c r="E214" s="248"/>
      <c r="F214" s="248"/>
      <c r="G214" s="249"/>
      <c r="H214" s="249"/>
      <c r="I214" s="249"/>
      <c r="J214" s="249"/>
      <c r="K214" s="249"/>
      <c r="L214" s="249"/>
      <c r="M214" s="249"/>
      <c r="N214" s="249"/>
      <c r="O214" s="258"/>
      <c r="P214" s="258"/>
      <c r="Q214" s="17" t="s">
        <v>24</v>
      </c>
      <c r="R214" s="153" t="s">
        <v>25</v>
      </c>
      <c r="S214" s="249"/>
      <c r="T214" s="251"/>
      <c r="U214" s="251"/>
      <c r="V214" s="253"/>
      <c r="W214" s="153" t="s">
        <v>26</v>
      </c>
      <c r="X214" s="18" t="s">
        <v>27</v>
      </c>
      <c r="Y214" s="18" t="s">
        <v>28</v>
      </c>
      <c r="Z214" s="153" t="s">
        <v>29</v>
      </c>
      <c r="AA214" s="18" t="s">
        <v>30</v>
      </c>
      <c r="AB214" s="18" t="s">
        <v>31</v>
      </c>
      <c r="AC214" s="153" t="s">
        <v>32</v>
      </c>
    </row>
    <row r="215" spans="1:29" ht="21.95" customHeight="1">
      <c r="A215" s="160">
        <v>300320</v>
      </c>
      <c r="B215" s="153" t="s">
        <v>33</v>
      </c>
      <c r="C215" s="261" t="s">
        <v>34</v>
      </c>
      <c r="D215" s="261"/>
      <c r="E215" s="166" t="s">
        <v>35</v>
      </c>
      <c r="F215" s="13"/>
      <c r="G215" s="164"/>
      <c r="H215" s="164"/>
      <c r="I215" s="164"/>
      <c r="J215" s="164"/>
      <c r="K215" s="164">
        <f t="shared" ref="K215:K285" si="31">G215*M215</f>
        <v>0</v>
      </c>
      <c r="L215" s="164">
        <f t="shared" ref="L215:L285" si="32">I215*M215</f>
        <v>0</v>
      </c>
      <c r="M215" s="164">
        <v>633.6</v>
      </c>
      <c r="N215" s="164">
        <f t="shared" ref="N215:N222" si="33">+M215*1000/(28.3*10*40*60)*T215</f>
        <v>4.6643109540636036</v>
      </c>
      <c r="O215" s="164"/>
      <c r="P215" s="164">
        <f t="shared" ref="P215:P285" si="34">N215*I215+O215*U215</f>
        <v>0</v>
      </c>
      <c r="Q215" s="164"/>
      <c r="R215" s="19">
        <f t="shared" ref="R215:R285" si="35">Q215*U215</f>
        <v>0</v>
      </c>
      <c r="S215" s="164">
        <f t="shared" ref="S215:S285" si="36">R215-P215</f>
        <v>0</v>
      </c>
      <c r="T215" s="20">
        <v>5</v>
      </c>
      <c r="U215" s="20"/>
      <c r="V215" s="161" t="str">
        <f t="array" ref="V215">IF(ISERROR(L215/K215),"",L215/K215)</f>
        <v/>
      </c>
      <c r="W215" s="20"/>
      <c r="X215" s="153"/>
      <c r="Y215" s="153"/>
      <c r="Z215" s="165"/>
      <c r="AA215" s="20"/>
      <c r="AB215" s="20"/>
      <c r="AC215" s="20"/>
    </row>
    <row r="216" spans="1:29" s="2" customFormat="1" ht="21.95" customHeight="1">
      <c r="A216" s="160">
        <v>300318</v>
      </c>
      <c r="B216" s="163" t="s">
        <v>33</v>
      </c>
      <c r="C216" s="314" t="s">
        <v>34</v>
      </c>
      <c r="D216" s="314"/>
      <c r="E216" s="48" t="s">
        <v>36</v>
      </c>
      <c r="F216" s="165"/>
      <c r="G216" s="164"/>
      <c r="H216" s="164"/>
      <c r="I216" s="164"/>
      <c r="J216" s="164"/>
      <c r="K216" s="164">
        <f t="shared" si="31"/>
        <v>0</v>
      </c>
      <c r="L216" s="164">
        <f t="shared" si="32"/>
        <v>0</v>
      </c>
      <c r="M216" s="164">
        <v>633.6</v>
      </c>
      <c r="N216" s="164">
        <f t="shared" si="33"/>
        <v>3.7314487632508833</v>
      </c>
      <c r="O216" s="164"/>
      <c r="P216" s="164">
        <f t="shared" si="34"/>
        <v>0</v>
      </c>
      <c r="Q216" s="164"/>
      <c r="R216" s="19">
        <f t="shared" si="35"/>
        <v>0</v>
      </c>
      <c r="S216" s="164">
        <f t="shared" si="36"/>
        <v>0</v>
      </c>
      <c r="T216" s="20">
        <v>4</v>
      </c>
      <c r="U216" s="20"/>
      <c r="V216" s="161" t="str">
        <f t="array" ref="V216">IF(ISERROR(L216/K216),"",L216/K216)</f>
        <v/>
      </c>
      <c r="W216" s="20"/>
      <c r="X216" s="153"/>
      <c r="Y216" s="153"/>
      <c r="Z216" s="165"/>
      <c r="AA216" s="20"/>
      <c r="AB216" s="20"/>
      <c r="AC216" s="20"/>
    </row>
    <row r="217" spans="1:29" s="2" customFormat="1" ht="21.95" customHeight="1">
      <c r="A217" s="160">
        <v>300319</v>
      </c>
      <c r="B217" s="163" t="s">
        <v>33</v>
      </c>
      <c r="C217" s="314" t="s">
        <v>34</v>
      </c>
      <c r="D217" s="314"/>
      <c r="E217" s="48" t="s">
        <v>37</v>
      </c>
      <c r="F217" s="165"/>
      <c r="G217" s="164"/>
      <c r="H217" s="164"/>
      <c r="I217" s="164"/>
      <c r="J217" s="164"/>
      <c r="K217" s="164">
        <f t="shared" si="31"/>
        <v>0</v>
      </c>
      <c r="L217" s="164">
        <f t="shared" si="32"/>
        <v>0</v>
      </c>
      <c r="M217" s="164">
        <v>633.6</v>
      </c>
      <c r="N217" s="164">
        <f t="shared" si="33"/>
        <v>3.7314487632508833</v>
      </c>
      <c r="O217" s="164"/>
      <c r="P217" s="164">
        <f t="shared" si="34"/>
        <v>0</v>
      </c>
      <c r="Q217" s="164"/>
      <c r="R217" s="19">
        <f t="shared" si="35"/>
        <v>0</v>
      </c>
      <c r="S217" s="164">
        <f t="shared" si="36"/>
        <v>0</v>
      </c>
      <c r="T217" s="20">
        <v>4</v>
      </c>
      <c r="U217" s="20"/>
      <c r="V217" s="161" t="str">
        <f t="array" ref="V217">IF(ISERROR(L217/K217),"",L217/K217)</f>
        <v/>
      </c>
      <c r="W217" s="20"/>
      <c r="X217" s="153"/>
      <c r="Y217" s="153"/>
      <c r="Z217" s="165"/>
      <c r="AA217" s="20"/>
      <c r="AB217" s="20"/>
      <c r="AC217" s="20"/>
    </row>
    <row r="218" spans="1:29" s="2" customFormat="1" ht="21.95" customHeight="1">
      <c r="A218" s="160">
        <v>300316</v>
      </c>
      <c r="B218" s="163" t="s">
        <v>33</v>
      </c>
      <c r="C218" s="314" t="s">
        <v>34</v>
      </c>
      <c r="D218" s="314"/>
      <c r="E218" s="48" t="s">
        <v>38</v>
      </c>
      <c r="F218" s="165"/>
      <c r="G218" s="164"/>
      <c r="H218" s="164"/>
      <c r="I218" s="164"/>
      <c r="J218" s="164"/>
      <c r="K218" s="164">
        <f t="shared" si="31"/>
        <v>0</v>
      </c>
      <c r="L218" s="164">
        <f t="shared" si="32"/>
        <v>0</v>
      </c>
      <c r="M218" s="164">
        <v>616</v>
      </c>
      <c r="N218" s="164">
        <f t="shared" si="33"/>
        <v>3.6277974087161367</v>
      </c>
      <c r="O218" s="164"/>
      <c r="P218" s="164">
        <f t="shared" si="34"/>
        <v>0</v>
      </c>
      <c r="Q218" s="164"/>
      <c r="R218" s="19">
        <f t="shared" si="35"/>
        <v>0</v>
      </c>
      <c r="S218" s="164">
        <f t="shared" si="36"/>
        <v>0</v>
      </c>
      <c r="T218" s="20">
        <v>4</v>
      </c>
      <c r="U218" s="20"/>
      <c r="V218" s="161" t="str">
        <f t="array" ref="V218">IF(ISERROR(L218/K218),"",L218/K218)</f>
        <v/>
      </c>
      <c r="W218" s="20"/>
      <c r="X218" s="153"/>
      <c r="Y218" s="153"/>
      <c r="Z218" s="165"/>
      <c r="AA218" s="20"/>
      <c r="AB218" s="20"/>
      <c r="AC218" s="20"/>
    </row>
    <row r="219" spans="1:29" s="2" customFormat="1" ht="21.95" customHeight="1">
      <c r="A219" s="160">
        <v>300317</v>
      </c>
      <c r="B219" s="163" t="s">
        <v>33</v>
      </c>
      <c r="C219" s="314" t="s">
        <v>34</v>
      </c>
      <c r="D219" s="314"/>
      <c r="E219" s="48" t="s">
        <v>39</v>
      </c>
      <c r="F219" s="165"/>
      <c r="G219" s="164"/>
      <c r="H219" s="164"/>
      <c r="I219" s="164"/>
      <c r="J219" s="164"/>
      <c r="K219" s="164">
        <f t="shared" si="31"/>
        <v>0</v>
      </c>
      <c r="L219" s="164">
        <f t="shared" si="32"/>
        <v>0</v>
      </c>
      <c r="M219" s="164">
        <v>616</v>
      </c>
      <c r="N219" s="164">
        <f t="shared" si="33"/>
        <v>3.6277974087161367</v>
      </c>
      <c r="O219" s="164"/>
      <c r="P219" s="164">
        <f t="shared" si="34"/>
        <v>0</v>
      </c>
      <c r="Q219" s="164"/>
      <c r="R219" s="19">
        <f t="shared" si="35"/>
        <v>0</v>
      </c>
      <c r="S219" s="164">
        <f t="shared" si="36"/>
        <v>0</v>
      </c>
      <c r="T219" s="20">
        <v>4</v>
      </c>
      <c r="U219" s="20"/>
      <c r="V219" s="161" t="str">
        <f t="array" ref="V219">IF(ISERROR(L219/K219),"",L219/K219)</f>
        <v/>
      </c>
      <c r="W219" s="20"/>
      <c r="X219" s="153"/>
      <c r="Y219" s="153"/>
      <c r="Z219" s="165"/>
      <c r="AA219" s="20"/>
      <c r="AB219" s="20"/>
      <c r="AC219" s="20"/>
    </row>
    <row r="220" spans="1:29" s="2" customFormat="1" ht="21.95" customHeight="1">
      <c r="A220" s="160">
        <v>300315</v>
      </c>
      <c r="B220" s="163" t="s">
        <v>33</v>
      </c>
      <c r="C220" s="314" t="s">
        <v>34</v>
      </c>
      <c r="D220" s="314"/>
      <c r="E220" s="48" t="s">
        <v>40</v>
      </c>
      <c r="F220" s="165"/>
      <c r="G220" s="164"/>
      <c r="H220" s="164"/>
      <c r="I220" s="164"/>
      <c r="J220" s="164"/>
      <c r="K220" s="164">
        <f t="shared" si="31"/>
        <v>0</v>
      </c>
      <c r="L220" s="164">
        <f t="shared" si="32"/>
        <v>0</v>
      </c>
      <c r="M220" s="164">
        <v>616</v>
      </c>
      <c r="N220" s="164">
        <f t="shared" si="33"/>
        <v>3.6277974087161367</v>
      </c>
      <c r="O220" s="164"/>
      <c r="P220" s="164">
        <f t="shared" si="34"/>
        <v>0</v>
      </c>
      <c r="Q220" s="164"/>
      <c r="R220" s="19">
        <f t="shared" si="35"/>
        <v>0</v>
      </c>
      <c r="S220" s="164">
        <f t="shared" si="36"/>
        <v>0</v>
      </c>
      <c r="T220" s="20">
        <v>4</v>
      </c>
      <c r="U220" s="20"/>
      <c r="V220" s="161" t="str">
        <f t="array" ref="V220">IF(ISERROR(L220/K220),"",L220/K220)</f>
        <v/>
      </c>
      <c r="W220" s="20"/>
      <c r="X220" s="153"/>
      <c r="Y220" s="153"/>
      <c r="Z220" s="165"/>
      <c r="AA220" s="20"/>
      <c r="AB220" s="20"/>
      <c r="AC220" s="20"/>
    </row>
    <row r="221" spans="1:29" s="2" customFormat="1" ht="21.95" customHeight="1">
      <c r="A221" s="160">
        <v>300314</v>
      </c>
      <c r="B221" s="163" t="s">
        <v>33</v>
      </c>
      <c r="C221" s="314" t="s">
        <v>34</v>
      </c>
      <c r="D221" s="314"/>
      <c r="E221" s="48" t="s">
        <v>41</v>
      </c>
      <c r="F221" s="165"/>
      <c r="G221" s="164"/>
      <c r="H221" s="164"/>
      <c r="I221" s="164"/>
      <c r="J221" s="164"/>
      <c r="K221" s="164">
        <f t="shared" si="31"/>
        <v>0</v>
      </c>
      <c r="L221" s="164">
        <f t="shared" si="32"/>
        <v>0</v>
      </c>
      <c r="M221" s="164">
        <v>616</v>
      </c>
      <c r="N221" s="164">
        <f t="shared" si="33"/>
        <v>3.6277974087161367</v>
      </c>
      <c r="O221" s="164"/>
      <c r="P221" s="164">
        <f t="shared" si="34"/>
        <v>0</v>
      </c>
      <c r="Q221" s="164"/>
      <c r="R221" s="19">
        <f t="shared" si="35"/>
        <v>0</v>
      </c>
      <c r="S221" s="164">
        <f t="shared" si="36"/>
        <v>0</v>
      </c>
      <c r="T221" s="20">
        <v>4</v>
      </c>
      <c r="U221" s="20"/>
      <c r="V221" s="161" t="str">
        <f t="array" ref="V221">IF(ISERROR(L221/K221),"",L221/K221)</f>
        <v/>
      </c>
      <c r="W221" s="20"/>
      <c r="X221" s="153"/>
      <c r="Y221" s="153"/>
      <c r="Z221" s="165"/>
      <c r="AA221" s="20"/>
      <c r="AB221" s="20"/>
      <c r="AC221" s="20"/>
    </row>
    <row r="222" spans="1:29" s="2" customFormat="1" ht="21.95" customHeight="1">
      <c r="A222" s="160">
        <v>300313</v>
      </c>
      <c r="B222" s="163" t="s">
        <v>33</v>
      </c>
      <c r="C222" s="314" t="s">
        <v>34</v>
      </c>
      <c r="D222" s="314"/>
      <c r="E222" s="48" t="s">
        <v>42</v>
      </c>
      <c r="F222" s="165"/>
      <c r="G222" s="164"/>
      <c r="H222" s="164"/>
      <c r="I222" s="164"/>
      <c r="J222" s="164"/>
      <c r="K222" s="164">
        <f t="shared" si="31"/>
        <v>0</v>
      </c>
      <c r="L222" s="164">
        <f t="shared" si="32"/>
        <v>0</v>
      </c>
      <c r="M222" s="164">
        <v>616</v>
      </c>
      <c r="N222" s="164">
        <f t="shared" si="33"/>
        <v>3.6277974087161367</v>
      </c>
      <c r="O222" s="164"/>
      <c r="P222" s="164">
        <f t="shared" si="34"/>
        <v>0</v>
      </c>
      <c r="Q222" s="164"/>
      <c r="R222" s="19">
        <f t="shared" si="35"/>
        <v>0</v>
      </c>
      <c r="S222" s="164">
        <f t="shared" si="36"/>
        <v>0</v>
      </c>
      <c r="T222" s="20">
        <v>4</v>
      </c>
      <c r="U222" s="20"/>
      <c r="V222" s="161" t="str">
        <f t="array" ref="V222">IF(ISERROR(L222/K222),"",L222/K222)</f>
        <v/>
      </c>
      <c r="W222" s="20"/>
      <c r="X222" s="153"/>
      <c r="Y222" s="153"/>
      <c r="Z222" s="165"/>
      <c r="AA222" s="20"/>
      <c r="AB222" s="20"/>
      <c r="AC222" s="20"/>
    </row>
    <row r="223" spans="1:29" ht="21.95" customHeight="1">
      <c r="A223" s="160"/>
      <c r="B223" s="153" t="s">
        <v>43</v>
      </c>
      <c r="C223" s="259" t="s">
        <v>313</v>
      </c>
      <c r="D223" s="260"/>
      <c r="E223" s="166" t="s">
        <v>314</v>
      </c>
      <c r="F223" s="13"/>
      <c r="G223" s="110"/>
      <c r="H223" s="110"/>
      <c r="I223" s="110"/>
      <c r="J223" s="110"/>
      <c r="K223" s="164">
        <f t="shared" si="31"/>
        <v>0</v>
      </c>
      <c r="L223" s="164">
        <f t="shared" si="32"/>
        <v>0</v>
      </c>
      <c r="M223" s="164">
        <v>213.4</v>
      </c>
      <c r="N223" s="164">
        <f>+M223*1000/(15.4*10*17*60)*T223</f>
        <v>4.0756302521008401</v>
      </c>
      <c r="O223" s="164"/>
      <c r="P223" s="164">
        <f t="shared" si="34"/>
        <v>0</v>
      </c>
      <c r="Q223" s="164"/>
      <c r="R223" s="19">
        <f t="shared" si="35"/>
        <v>0</v>
      </c>
      <c r="S223" s="164">
        <f t="shared" si="36"/>
        <v>0</v>
      </c>
      <c r="T223" s="20">
        <v>3</v>
      </c>
      <c r="U223" s="20"/>
      <c r="V223" s="161"/>
      <c r="W223" s="20"/>
      <c r="X223" s="153"/>
      <c r="Y223" s="153"/>
      <c r="Z223" s="165"/>
      <c r="AA223" s="20"/>
      <c r="AB223" s="20"/>
      <c r="AC223" s="20"/>
    </row>
    <row r="224" spans="1:29" ht="21.95" customHeight="1">
      <c r="A224" s="160"/>
      <c r="B224" s="153" t="s">
        <v>43</v>
      </c>
      <c r="C224" s="259" t="s">
        <v>313</v>
      </c>
      <c r="D224" s="260"/>
      <c r="E224" s="166" t="s">
        <v>315</v>
      </c>
      <c r="F224" s="13"/>
      <c r="G224" s="110"/>
      <c r="H224" s="110"/>
      <c r="I224" s="110"/>
      <c r="J224" s="110"/>
      <c r="K224" s="164">
        <f t="shared" si="31"/>
        <v>0</v>
      </c>
      <c r="L224" s="164">
        <f t="shared" si="32"/>
        <v>0</v>
      </c>
      <c r="M224" s="164">
        <v>213.4</v>
      </c>
      <c r="N224" s="164">
        <f>+M224*1000/(15.4*10*17*60)*T224</f>
        <v>4.0756302521008401</v>
      </c>
      <c r="O224" s="164"/>
      <c r="P224" s="164">
        <f t="shared" si="34"/>
        <v>0</v>
      </c>
      <c r="Q224" s="164"/>
      <c r="R224" s="19">
        <f t="shared" si="35"/>
        <v>0</v>
      </c>
      <c r="S224" s="164">
        <f t="shared" si="36"/>
        <v>0</v>
      </c>
      <c r="T224" s="20">
        <v>3</v>
      </c>
      <c r="U224" s="20"/>
      <c r="V224" s="161"/>
      <c r="W224" s="20"/>
      <c r="X224" s="153"/>
      <c r="Y224" s="153"/>
      <c r="Z224" s="165"/>
      <c r="AA224" s="20"/>
      <c r="AB224" s="20"/>
      <c r="AC224" s="20"/>
    </row>
    <row r="225" spans="1:29" s="2" customFormat="1" ht="21.95" customHeight="1">
      <c r="A225" s="153">
        <v>300202</v>
      </c>
      <c r="B225" s="153" t="s">
        <v>52</v>
      </c>
      <c r="C225" s="259" t="s">
        <v>44</v>
      </c>
      <c r="D225" s="260"/>
      <c r="E225" s="153" t="s">
        <v>35</v>
      </c>
      <c r="F225" s="165"/>
      <c r="G225" s="164"/>
      <c r="H225" s="164"/>
      <c r="I225" s="164"/>
      <c r="J225" s="164"/>
      <c r="K225" s="164">
        <f t="shared" si="31"/>
        <v>0</v>
      </c>
      <c r="L225" s="164">
        <f t="shared" si="32"/>
        <v>0</v>
      </c>
      <c r="M225" s="164">
        <v>212.4</v>
      </c>
      <c r="N225" s="164">
        <f>+M225*1000/(15.4*10*17*60)*T225</f>
        <v>8.1130634071810537</v>
      </c>
      <c r="O225" s="164"/>
      <c r="P225" s="164">
        <f t="shared" si="34"/>
        <v>0</v>
      </c>
      <c r="Q225" s="164"/>
      <c r="R225" s="19">
        <f t="shared" si="35"/>
        <v>0</v>
      </c>
      <c r="S225" s="164">
        <f t="shared" si="36"/>
        <v>0</v>
      </c>
      <c r="T225" s="20">
        <v>6</v>
      </c>
      <c r="U225" s="20"/>
      <c r="V225" s="161" t="str">
        <f t="array" ref="V225">IF(ISERROR(L225/K225),"",L225/K225)</f>
        <v/>
      </c>
      <c r="W225" s="20"/>
      <c r="X225" s="20"/>
      <c r="Y225" s="20"/>
      <c r="Z225" s="20"/>
      <c r="AA225" s="20"/>
      <c r="AB225" s="20"/>
      <c r="AC225" s="20"/>
    </row>
    <row r="226" spans="1:29" s="2" customFormat="1" ht="21.95" customHeight="1">
      <c r="A226" s="153">
        <v>300203</v>
      </c>
      <c r="B226" s="153" t="s">
        <v>43</v>
      </c>
      <c r="C226" s="259" t="s">
        <v>44</v>
      </c>
      <c r="D226" s="260"/>
      <c r="E226" s="153" t="s">
        <v>41</v>
      </c>
      <c r="F226" s="165"/>
      <c r="G226" s="164"/>
      <c r="H226" s="164"/>
      <c r="I226" s="164"/>
      <c r="J226" s="164"/>
      <c r="K226" s="164">
        <f t="shared" si="31"/>
        <v>0</v>
      </c>
      <c r="L226" s="164">
        <f t="shared" si="32"/>
        <v>0</v>
      </c>
      <c r="M226" s="164">
        <v>212.4</v>
      </c>
      <c r="N226" s="164">
        <f>+M226*1000/(15.4*10*17*60)*T226</f>
        <v>4.0565317035905268</v>
      </c>
      <c r="O226" s="164"/>
      <c r="P226" s="164">
        <f t="shared" si="34"/>
        <v>0</v>
      </c>
      <c r="Q226" s="164"/>
      <c r="R226" s="19">
        <f t="shared" si="35"/>
        <v>0</v>
      </c>
      <c r="S226" s="164">
        <f t="shared" si="36"/>
        <v>0</v>
      </c>
      <c r="T226" s="20">
        <v>3</v>
      </c>
      <c r="U226" s="20"/>
      <c r="V226" s="161" t="str">
        <f t="array" ref="V226">IF(ISERROR(L226/K226),"",L226/K226)</f>
        <v/>
      </c>
      <c r="W226" s="20"/>
      <c r="X226" s="20"/>
      <c r="Y226" s="20"/>
      <c r="Z226" s="20"/>
      <c r="AA226" s="20"/>
      <c r="AB226" s="20"/>
      <c r="AC226" s="20"/>
    </row>
    <row r="227" spans="1:29" s="2" customFormat="1" ht="21.95" customHeight="1">
      <c r="A227" s="153">
        <v>300204</v>
      </c>
      <c r="B227" s="153" t="s">
        <v>43</v>
      </c>
      <c r="C227" s="259" t="s">
        <v>44</v>
      </c>
      <c r="D227" s="260"/>
      <c r="E227" s="153" t="s">
        <v>37</v>
      </c>
      <c r="F227" s="165"/>
      <c r="G227" s="164"/>
      <c r="H227" s="164"/>
      <c r="I227" s="164"/>
      <c r="J227" s="164"/>
      <c r="K227" s="164">
        <f t="shared" si="31"/>
        <v>0</v>
      </c>
      <c r="L227" s="164">
        <f t="shared" si="32"/>
        <v>0</v>
      </c>
      <c r="M227" s="164">
        <v>212.4</v>
      </c>
      <c r="N227" s="164">
        <f>+M227*1000/(15.4*10*17*60)*T227</f>
        <v>4.0565317035905268</v>
      </c>
      <c r="O227" s="164"/>
      <c r="P227" s="164">
        <f t="shared" si="34"/>
        <v>0</v>
      </c>
      <c r="Q227" s="164"/>
      <c r="R227" s="19">
        <f t="shared" si="35"/>
        <v>0</v>
      </c>
      <c r="S227" s="164">
        <f t="shared" si="36"/>
        <v>0</v>
      </c>
      <c r="T227" s="20">
        <v>3</v>
      </c>
      <c r="U227" s="20"/>
      <c r="V227" s="161" t="str">
        <f t="array" ref="V227">IF(ISERROR(L227/K227),"",L227/K227)</f>
        <v/>
      </c>
      <c r="W227" s="20"/>
      <c r="X227" s="20"/>
      <c r="Y227" s="20"/>
      <c r="Z227" s="20"/>
      <c r="AA227" s="20"/>
      <c r="AB227" s="20"/>
      <c r="AC227" s="20"/>
    </row>
    <row r="228" spans="1:29" s="2" customFormat="1" ht="21.95" customHeight="1">
      <c r="A228" s="160">
        <v>300269</v>
      </c>
      <c r="B228" s="153" t="s">
        <v>43</v>
      </c>
      <c r="C228" s="248" t="s">
        <v>45</v>
      </c>
      <c r="D228" s="248"/>
      <c r="E228" s="166"/>
      <c r="F228" s="165"/>
      <c r="G228" s="164"/>
      <c r="H228" s="164"/>
      <c r="I228" s="164"/>
      <c r="J228" s="164"/>
      <c r="K228" s="164">
        <f t="shared" si="31"/>
        <v>0</v>
      </c>
      <c r="L228" s="164">
        <f t="shared" si="32"/>
        <v>0</v>
      </c>
      <c r="M228" s="164">
        <v>209.4</v>
      </c>
      <c r="N228" s="164">
        <f>+M228*1000/(19.4*10*16*60)*T228</f>
        <v>3.3730670103092786</v>
      </c>
      <c r="O228" s="164"/>
      <c r="P228" s="164">
        <f t="shared" si="34"/>
        <v>0</v>
      </c>
      <c r="Q228" s="164"/>
      <c r="R228" s="19">
        <f t="shared" si="35"/>
        <v>0</v>
      </c>
      <c r="S228" s="164">
        <f t="shared" si="36"/>
        <v>0</v>
      </c>
      <c r="T228" s="20">
        <v>3</v>
      </c>
      <c r="U228" s="20"/>
      <c r="V228" s="161" t="str">
        <f t="array" ref="V228">IF(ISERROR(L228/K228),"",L228/K228)</f>
        <v/>
      </c>
      <c r="W228" s="20"/>
      <c r="X228" s="20"/>
      <c r="Y228" s="20"/>
      <c r="Z228" s="20"/>
      <c r="AA228" s="20"/>
      <c r="AB228" s="20"/>
      <c r="AC228" s="20"/>
    </row>
    <row r="229" spans="1:29" s="2" customFormat="1" ht="21.95" customHeight="1">
      <c r="A229" s="160"/>
      <c r="B229" s="153"/>
      <c r="C229" s="248" t="s">
        <v>46</v>
      </c>
      <c r="D229" s="248"/>
      <c r="E229" s="166" t="s">
        <v>47</v>
      </c>
      <c r="F229" s="165"/>
      <c r="G229" s="164"/>
      <c r="H229" s="164"/>
      <c r="I229" s="164"/>
      <c r="J229" s="164"/>
      <c r="K229" s="164">
        <f t="shared" si="31"/>
        <v>0</v>
      </c>
      <c r="L229" s="164">
        <f t="shared" si="32"/>
        <v>0</v>
      </c>
      <c r="M229" s="164">
        <v>209.9</v>
      </c>
      <c r="N229" s="164">
        <f>+M229*1000/(19*10*16*60)*T229</f>
        <v>3.4523026315789478</v>
      </c>
      <c r="O229" s="164"/>
      <c r="P229" s="164">
        <f t="shared" si="34"/>
        <v>0</v>
      </c>
      <c r="Q229" s="164"/>
      <c r="R229" s="19">
        <f t="shared" si="35"/>
        <v>0</v>
      </c>
      <c r="S229" s="164">
        <f t="shared" si="36"/>
        <v>0</v>
      </c>
      <c r="T229" s="20">
        <v>3</v>
      </c>
      <c r="U229" s="20"/>
      <c r="V229" s="161" t="str">
        <f t="array" ref="V229">IF(ISERROR(L229/K229),"",L229/K229)</f>
        <v/>
      </c>
      <c r="W229" s="20"/>
      <c r="X229" s="20"/>
      <c r="Y229" s="20"/>
      <c r="Z229" s="20"/>
      <c r="AA229" s="20"/>
      <c r="AB229" s="20"/>
      <c r="AC229" s="20"/>
    </row>
    <row r="230" spans="1:29" s="2" customFormat="1" ht="21.95" customHeight="1">
      <c r="A230" s="160">
        <v>300350</v>
      </c>
      <c r="B230" s="153" t="s">
        <v>43</v>
      </c>
      <c r="C230" s="248" t="s">
        <v>48</v>
      </c>
      <c r="D230" s="248"/>
      <c r="E230" s="166" t="s">
        <v>49</v>
      </c>
      <c r="F230" s="165"/>
      <c r="G230" s="164"/>
      <c r="H230" s="164"/>
      <c r="I230" s="164"/>
      <c r="J230" s="164"/>
      <c r="K230" s="164">
        <f t="shared" si="31"/>
        <v>0</v>
      </c>
      <c r="L230" s="164">
        <f t="shared" si="32"/>
        <v>0</v>
      </c>
      <c r="M230" s="164">
        <v>209.9</v>
      </c>
      <c r="N230" s="164">
        <f>+M230*1000/(19*10*16*60)*T230</f>
        <v>2.3015350877192984</v>
      </c>
      <c r="O230" s="164"/>
      <c r="P230" s="164">
        <f t="shared" si="34"/>
        <v>0</v>
      </c>
      <c r="Q230" s="164"/>
      <c r="R230" s="19">
        <f t="shared" si="35"/>
        <v>0</v>
      </c>
      <c r="S230" s="164">
        <f t="shared" si="36"/>
        <v>0</v>
      </c>
      <c r="T230" s="20">
        <v>2</v>
      </c>
      <c r="U230" s="20"/>
      <c r="V230" s="161" t="str">
        <f t="array" ref="V230">IF(ISERROR(L230/K230),"",L230/K230)</f>
        <v/>
      </c>
      <c r="W230" s="20"/>
      <c r="X230" s="20"/>
      <c r="Y230" s="20"/>
      <c r="Z230" s="20"/>
      <c r="AA230" s="20"/>
      <c r="AB230" s="20"/>
      <c r="AC230" s="20"/>
    </row>
    <row r="231" spans="1:29" s="2" customFormat="1" ht="21.95" customHeight="1">
      <c r="A231" s="160">
        <v>300113</v>
      </c>
      <c r="B231" s="153" t="s">
        <v>43</v>
      </c>
      <c r="C231" s="248" t="s">
        <v>50</v>
      </c>
      <c r="D231" s="248"/>
      <c r="E231" s="166" t="s">
        <v>40</v>
      </c>
      <c r="F231" s="165"/>
      <c r="G231" s="164"/>
      <c r="H231" s="164"/>
      <c r="I231" s="164"/>
      <c r="J231" s="164"/>
      <c r="K231" s="164">
        <f t="shared" si="31"/>
        <v>0</v>
      </c>
      <c r="L231" s="164">
        <f t="shared" si="32"/>
        <v>0</v>
      </c>
      <c r="M231" s="164">
        <v>210</v>
      </c>
      <c r="N231" s="164">
        <f>M231*1000/(19.2*10*17*60)*T231</f>
        <v>2.1446078431372548</v>
      </c>
      <c r="O231" s="164"/>
      <c r="P231" s="164">
        <f t="shared" si="34"/>
        <v>0</v>
      </c>
      <c r="Q231" s="164"/>
      <c r="R231" s="19">
        <f t="shared" si="35"/>
        <v>0</v>
      </c>
      <c r="S231" s="164">
        <f t="shared" si="36"/>
        <v>0</v>
      </c>
      <c r="T231" s="20">
        <v>2</v>
      </c>
      <c r="U231" s="20"/>
      <c r="V231" s="161" t="str">
        <f t="array" ref="V231">IF(ISERROR(L231/K231),"",L231/K231)</f>
        <v/>
      </c>
      <c r="W231" s="20"/>
      <c r="X231" s="20"/>
      <c r="Y231" s="20"/>
      <c r="Z231" s="20"/>
      <c r="AA231" s="20"/>
      <c r="AB231" s="20"/>
      <c r="AC231" s="20"/>
    </row>
    <row r="232" spans="1:29" s="2" customFormat="1" ht="21.95" customHeight="1">
      <c r="A232" s="160">
        <v>300114</v>
      </c>
      <c r="B232" s="153" t="s">
        <v>43</v>
      </c>
      <c r="C232" s="248" t="s">
        <v>50</v>
      </c>
      <c r="D232" s="248"/>
      <c r="E232" s="166" t="s">
        <v>42</v>
      </c>
      <c r="F232" s="165"/>
      <c r="G232" s="164"/>
      <c r="H232" s="164"/>
      <c r="I232" s="164"/>
      <c r="J232" s="164"/>
      <c r="K232" s="164">
        <f t="shared" si="31"/>
        <v>0</v>
      </c>
      <c r="L232" s="164">
        <f t="shared" si="32"/>
        <v>0</v>
      </c>
      <c r="M232" s="164">
        <v>210</v>
      </c>
      <c r="N232" s="164">
        <f>M232*1000/(19.2*10*17*60)*T232</f>
        <v>2.1446078431372548</v>
      </c>
      <c r="O232" s="164"/>
      <c r="P232" s="164">
        <f t="shared" si="34"/>
        <v>0</v>
      </c>
      <c r="Q232" s="164"/>
      <c r="R232" s="19">
        <f t="shared" si="35"/>
        <v>0</v>
      </c>
      <c r="S232" s="164">
        <f t="shared" si="36"/>
        <v>0</v>
      </c>
      <c r="T232" s="20">
        <v>2</v>
      </c>
      <c r="U232" s="20"/>
      <c r="V232" s="161" t="str">
        <f t="array" ref="V232">IF(ISERROR(L232/K232),"",L232/K232)</f>
        <v/>
      </c>
      <c r="W232" s="20"/>
      <c r="X232" s="20"/>
      <c r="Y232" s="20"/>
      <c r="Z232" s="20"/>
      <c r="AA232" s="20"/>
      <c r="AB232" s="20"/>
      <c r="AC232" s="20"/>
    </row>
    <row r="233" spans="1:29" s="2" customFormat="1" ht="21.95" customHeight="1">
      <c r="A233" s="160">
        <v>300115</v>
      </c>
      <c r="B233" s="153" t="s">
        <v>43</v>
      </c>
      <c r="C233" s="248" t="s">
        <v>50</v>
      </c>
      <c r="D233" s="248"/>
      <c r="E233" s="166" t="s">
        <v>41</v>
      </c>
      <c r="F233" s="165"/>
      <c r="G233" s="164"/>
      <c r="H233" s="164"/>
      <c r="I233" s="164"/>
      <c r="J233" s="164"/>
      <c r="K233" s="164">
        <f t="shared" si="31"/>
        <v>0</v>
      </c>
      <c r="L233" s="164">
        <f t="shared" si="32"/>
        <v>0</v>
      </c>
      <c r="M233" s="164">
        <v>210</v>
      </c>
      <c r="N233" s="164">
        <f>M233*1000/(19.2*10*17*60)*T233</f>
        <v>2.1446078431372548</v>
      </c>
      <c r="O233" s="164"/>
      <c r="P233" s="164">
        <f t="shared" si="34"/>
        <v>0</v>
      </c>
      <c r="Q233" s="164"/>
      <c r="R233" s="19">
        <f t="shared" si="35"/>
        <v>0</v>
      </c>
      <c r="S233" s="164">
        <f t="shared" si="36"/>
        <v>0</v>
      </c>
      <c r="T233" s="20">
        <v>2</v>
      </c>
      <c r="U233" s="20"/>
      <c r="V233" s="161" t="str">
        <f t="array" ref="V233">IF(ISERROR(L233/K233),"",L233/K233)</f>
        <v/>
      </c>
      <c r="W233" s="20"/>
      <c r="X233" s="20"/>
      <c r="Y233" s="20"/>
      <c r="Z233" s="20"/>
      <c r="AA233" s="20"/>
      <c r="AB233" s="20"/>
      <c r="AC233" s="20"/>
    </row>
    <row r="234" spans="1:29" s="2" customFormat="1" ht="21.95" customHeight="1">
      <c r="A234" s="160">
        <v>300011</v>
      </c>
      <c r="B234" s="153" t="s">
        <v>43</v>
      </c>
      <c r="C234" s="248" t="s">
        <v>51</v>
      </c>
      <c r="D234" s="248"/>
      <c r="E234" s="166" t="s">
        <v>40</v>
      </c>
      <c r="F234" s="165"/>
      <c r="G234" s="164"/>
      <c r="H234" s="164"/>
      <c r="I234" s="164"/>
      <c r="J234" s="164"/>
      <c r="K234" s="164">
        <f t="shared" si="31"/>
        <v>0</v>
      </c>
      <c r="L234" s="164">
        <f t="shared" si="32"/>
        <v>0</v>
      </c>
      <c r="M234" s="164">
        <v>524.6</v>
      </c>
      <c r="N234" s="164">
        <f>+M234*1000/(25.4*20*15*60)*T234</f>
        <v>3.4422572178477688</v>
      </c>
      <c r="O234" s="164"/>
      <c r="P234" s="164">
        <f t="shared" si="34"/>
        <v>0</v>
      </c>
      <c r="Q234" s="164"/>
      <c r="R234" s="19">
        <f t="shared" si="35"/>
        <v>0</v>
      </c>
      <c r="S234" s="164">
        <f t="shared" si="36"/>
        <v>0</v>
      </c>
      <c r="T234" s="20">
        <v>3</v>
      </c>
      <c r="U234" s="20"/>
      <c r="V234" s="161" t="str">
        <f t="array" ref="V234">IF(ISERROR(L234/K234),"",L234/K234)</f>
        <v/>
      </c>
      <c r="W234" s="20"/>
      <c r="X234" s="20"/>
      <c r="Y234" s="20"/>
      <c r="Z234" s="20"/>
      <c r="AA234" s="20"/>
      <c r="AB234" s="20"/>
      <c r="AC234" s="20"/>
    </row>
    <row r="235" spans="1:29" s="2" customFormat="1" ht="21.95" customHeight="1">
      <c r="A235" s="160">
        <v>300012</v>
      </c>
      <c r="B235" s="153" t="s">
        <v>43</v>
      </c>
      <c r="C235" s="248" t="s">
        <v>51</v>
      </c>
      <c r="D235" s="248"/>
      <c r="E235" s="166" t="s">
        <v>41</v>
      </c>
      <c r="F235" s="165"/>
      <c r="G235" s="164"/>
      <c r="H235" s="164"/>
      <c r="I235" s="164"/>
      <c r="J235" s="164"/>
      <c r="K235" s="164">
        <f t="shared" si="31"/>
        <v>0</v>
      </c>
      <c r="L235" s="164">
        <f t="shared" si="32"/>
        <v>0</v>
      </c>
      <c r="M235" s="164">
        <v>524.6</v>
      </c>
      <c r="N235" s="164">
        <f>+M235*1000/(25.4*20*15*60)*T235</f>
        <v>3.4422572178477688</v>
      </c>
      <c r="O235" s="164"/>
      <c r="P235" s="164">
        <f t="shared" si="34"/>
        <v>0</v>
      </c>
      <c r="Q235" s="164"/>
      <c r="R235" s="19">
        <f t="shared" si="35"/>
        <v>0</v>
      </c>
      <c r="S235" s="164">
        <f t="shared" si="36"/>
        <v>0</v>
      </c>
      <c r="T235" s="20">
        <v>3</v>
      </c>
      <c r="U235" s="20"/>
      <c r="V235" s="161" t="str">
        <f t="array" ref="V235">IF(ISERROR(L235/K235),"",L235/K235)</f>
        <v/>
      </c>
      <c r="W235" s="20"/>
      <c r="X235" s="20"/>
      <c r="Y235" s="20"/>
      <c r="Z235" s="20"/>
      <c r="AA235" s="20"/>
      <c r="AB235" s="20"/>
      <c r="AC235" s="20"/>
    </row>
    <row r="236" spans="1:29" s="2" customFormat="1" ht="21.95" customHeight="1">
      <c r="A236" s="160">
        <v>300013</v>
      </c>
      <c r="B236" s="153" t="s">
        <v>221</v>
      </c>
      <c r="C236" s="248" t="s">
        <v>51</v>
      </c>
      <c r="D236" s="248"/>
      <c r="E236" s="166" t="s">
        <v>42</v>
      </c>
      <c r="F236" s="165"/>
      <c r="G236" s="164"/>
      <c r="H236" s="164"/>
      <c r="I236" s="164"/>
      <c r="J236" s="164"/>
      <c r="K236" s="164">
        <f t="shared" si="31"/>
        <v>0</v>
      </c>
      <c r="L236" s="164">
        <f t="shared" si="32"/>
        <v>0</v>
      </c>
      <c r="M236" s="164">
        <v>524.6</v>
      </c>
      <c r="N236" s="164">
        <f>+M236*1000/(25.4*20*15*60)*T236</f>
        <v>3.4422572178477688</v>
      </c>
      <c r="O236" s="164"/>
      <c r="P236" s="164">
        <f t="shared" si="34"/>
        <v>0</v>
      </c>
      <c r="Q236" s="164"/>
      <c r="R236" s="19">
        <f t="shared" si="35"/>
        <v>0</v>
      </c>
      <c r="S236" s="164">
        <f t="shared" si="36"/>
        <v>0</v>
      </c>
      <c r="T236" s="20">
        <v>3</v>
      </c>
      <c r="U236" s="20"/>
      <c r="V236" s="161" t="str">
        <f t="array" ref="V236">IF(ISERROR(L236/K236),"",L236/K236)</f>
        <v/>
      </c>
      <c r="W236" s="20"/>
      <c r="X236" s="20"/>
      <c r="Y236" s="20"/>
      <c r="Z236" s="20"/>
      <c r="AA236" s="20"/>
      <c r="AB236" s="20"/>
      <c r="AC236" s="20"/>
    </row>
    <row r="237" spans="1:29" s="2" customFormat="1" ht="21.95" customHeight="1">
      <c r="A237" s="160">
        <v>300016</v>
      </c>
      <c r="B237" s="153" t="s">
        <v>43</v>
      </c>
      <c r="C237" s="248" t="s">
        <v>51</v>
      </c>
      <c r="D237" s="248"/>
      <c r="E237" s="166" t="s">
        <v>38</v>
      </c>
      <c r="F237" s="165"/>
      <c r="G237" s="164"/>
      <c r="H237" s="164"/>
      <c r="I237" s="164"/>
      <c r="J237" s="164"/>
      <c r="K237" s="164">
        <f t="shared" si="31"/>
        <v>0</v>
      </c>
      <c r="L237" s="164">
        <f t="shared" si="32"/>
        <v>0</v>
      </c>
      <c r="M237" s="164">
        <v>524.6</v>
      </c>
      <c r="N237" s="164">
        <f>+M237*1000/(25.4*20*15*60)*T237</f>
        <v>3.4422572178477688</v>
      </c>
      <c r="O237" s="164"/>
      <c r="P237" s="164">
        <f t="shared" si="34"/>
        <v>0</v>
      </c>
      <c r="Q237" s="164"/>
      <c r="R237" s="19">
        <f t="shared" si="35"/>
        <v>0</v>
      </c>
      <c r="S237" s="164">
        <f t="shared" si="36"/>
        <v>0</v>
      </c>
      <c r="T237" s="20">
        <v>3</v>
      </c>
      <c r="U237" s="20"/>
      <c r="V237" s="161" t="str">
        <f t="array" ref="V237">IF(ISERROR(L237/K237),"",L237/K237)</f>
        <v/>
      </c>
      <c r="W237" s="20"/>
      <c r="X237" s="20"/>
      <c r="Y237" s="20"/>
      <c r="Z237" s="20"/>
      <c r="AA237" s="20"/>
      <c r="AB237" s="20"/>
      <c r="AC237" s="20"/>
    </row>
    <row r="238" spans="1:29" s="132" customFormat="1" ht="21" customHeight="1">
      <c r="A238" s="126">
        <v>3000435</v>
      </c>
      <c r="B238" s="156" t="s">
        <v>43</v>
      </c>
      <c r="C238" s="261" t="s">
        <v>51</v>
      </c>
      <c r="D238" s="261"/>
      <c r="E238" s="42" t="s">
        <v>309</v>
      </c>
      <c r="F238" s="127"/>
      <c r="G238" s="128"/>
      <c r="H238" s="128"/>
      <c r="I238" s="128"/>
      <c r="J238" s="128"/>
      <c r="K238" s="15">
        <f t="shared" si="31"/>
        <v>0</v>
      </c>
      <c r="L238" s="15">
        <f t="shared" si="32"/>
        <v>0</v>
      </c>
      <c r="M238" s="15">
        <v>524.6</v>
      </c>
      <c r="N238" s="15">
        <f>+M238*1000/(25.4*20*15*60)*T238</f>
        <v>3.4422572178477688</v>
      </c>
      <c r="O238" s="15"/>
      <c r="P238" s="15">
        <f t="shared" si="34"/>
        <v>0</v>
      </c>
      <c r="Q238" s="15"/>
      <c r="R238" s="129">
        <f t="shared" si="35"/>
        <v>0</v>
      </c>
      <c r="S238" s="15">
        <f t="shared" si="36"/>
        <v>0</v>
      </c>
      <c r="T238" s="130">
        <v>3</v>
      </c>
      <c r="U238" s="130"/>
      <c r="V238" s="131"/>
      <c r="W238" s="130"/>
      <c r="X238" s="130"/>
      <c r="Y238" s="130"/>
      <c r="Z238" s="130"/>
      <c r="AA238" s="130"/>
      <c r="AB238" s="130"/>
      <c r="AC238" s="130"/>
    </row>
    <row r="239" spans="1:29" ht="21.95" customHeight="1">
      <c r="A239" s="160">
        <v>300276</v>
      </c>
      <c r="B239" s="153" t="s">
        <v>43</v>
      </c>
      <c r="C239" s="248" t="s">
        <v>53</v>
      </c>
      <c r="D239" s="248"/>
      <c r="E239" s="166" t="s">
        <v>41</v>
      </c>
      <c r="F239" s="13"/>
      <c r="G239" s="110"/>
      <c r="H239" s="110"/>
      <c r="I239" s="110"/>
      <c r="J239" s="110"/>
      <c r="K239" s="164">
        <f t="shared" si="31"/>
        <v>0</v>
      </c>
      <c r="L239" s="164">
        <f t="shared" si="32"/>
        <v>0</v>
      </c>
      <c r="M239" s="15">
        <v>266</v>
      </c>
      <c r="N239" s="164">
        <f>+M239*1000/(29.8*10*13*60)*T239</f>
        <v>3.4331440371708828</v>
      </c>
      <c r="O239" s="164"/>
      <c r="P239" s="164">
        <f t="shared" si="34"/>
        <v>0</v>
      </c>
      <c r="Q239" s="164"/>
      <c r="R239" s="19">
        <f t="shared" si="35"/>
        <v>0</v>
      </c>
      <c r="S239" s="164">
        <f t="shared" si="36"/>
        <v>0</v>
      </c>
      <c r="T239" s="20">
        <v>3</v>
      </c>
      <c r="U239" s="20"/>
      <c r="V239" s="161" t="str">
        <f t="array" ref="V239">IF(ISERROR(L239/K239),"",L239/K239)</f>
        <v/>
      </c>
      <c r="W239" s="20"/>
      <c r="X239" s="20"/>
      <c r="Y239" s="20"/>
      <c r="Z239" s="20"/>
      <c r="AA239" s="20"/>
      <c r="AB239" s="20"/>
      <c r="AC239" s="20"/>
    </row>
    <row r="240" spans="1:29" ht="21.95" customHeight="1">
      <c r="A240" s="160">
        <v>300277</v>
      </c>
      <c r="B240" s="153" t="s">
        <v>43</v>
      </c>
      <c r="C240" s="248" t="s">
        <v>53</v>
      </c>
      <c r="D240" s="248"/>
      <c r="E240" s="166" t="s">
        <v>39</v>
      </c>
      <c r="F240" s="13"/>
      <c r="G240" s="110"/>
      <c r="H240" s="110"/>
      <c r="I240" s="110"/>
      <c r="J240" s="110"/>
      <c r="K240" s="164">
        <f t="shared" si="31"/>
        <v>0</v>
      </c>
      <c r="L240" s="164">
        <f t="shared" si="32"/>
        <v>0</v>
      </c>
      <c r="M240" s="15">
        <v>266</v>
      </c>
      <c r="N240" s="164">
        <f>+M240*1000/(29.8*10*13*60)*T240</f>
        <v>3.4331440371708828</v>
      </c>
      <c r="O240" s="164"/>
      <c r="P240" s="164">
        <f t="shared" si="34"/>
        <v>0</v>
      </c>
      <c r="Q240" s="164"/>
      <c r="R240" s="19">
        <f t="shared" si="35"/>
        <v>0</v>
      </c>
      <c r="S240" s="164">
        <f t="shared" si="36"/>
        <v>0</v>
      </c>
      <c r="T240" s="20">
        <v>3</v>
      </c>
      <c r="U240" s="20"/>
      <c r="V240" s="161" t="str">
        <f t="array" ref="V240">IF(ISERROR(L240/K240),"",L240/K240)</f>
        <v/>
      </c>
      <c r="W240" s="20"/>
      <c r="X240" s="20"/>
      <c r="Y240" s="20"/>
      <c r="Z240" s="20"/>
      <c r="AA240" s="20"/>
      <c r="AB240" s="20"/>
      <c r="AC240" s="20"/>
    </row>
    <row r="241" spans="1:29" ht="21.95" customHeight="1">
      <c r="A241" s="160">
        <v>300278</v>
      </c>
      <c r="B241" s="153" t="s">
        <v>43</v>
      </c>
      <c r="C241" s="248" t="s">
        <v>53</v>
      </c>
      <c r="D241" s="248"/>
      <c r="E241" s="166" t="s">
        <v>54</v>
      </c>
      <c r="F241" s="13"/>
      <c r="G241" s="110"/>
      <c r="H241" s="110"/>
      <c r="I241" s="110"/>
      <c r="J241" s="110"/>
      <c r="K241" s="164">
        <f t="shared" si="31"/>
        <v>0</v>
      </c>
      <c r="L241" s="164">
        <f t="shared" si="32"/>
        <v>0</v>
      </c>
      <c r="M241" s="15">
        <v>266</v>
      </c>
      <c r="N241" s="164">
        <f>+M241*1000/(29.8*10*13*60)*T241</f>
        <v>3.4331440371708828</v>
      </c>
      <c r="O241" s="164"/>
      <c r="P241" s="164">
        <f t="shared" si="34"/>
        <v>0</v>
      </c>
      <c r="Q241" s="164"/>
      <c r="R241" s="19">
        <f t="shared" si="35"/>
        <v>0</v>
      </c>
      <c r="S241" s="164">
        <f t="shared" si="36"/>
        <v>0</v>
      </c>
      <c r="T241" s="20">
        <v>3</v>
      </c>
      <c r="U241" s="20"/>
      <c r="V241" s="161" t="str">
        <f t="array" ref="V241">IF(ISERROR(L241/K241),"",L241/K241)</f>
        <v/>
      </c>
      <c r="W241" s="20"/>
      <c r="X241" s="20"/>
      <c r="Y241" s="20"/>
      <c r="Z241" s="20"/>
      <c r="AA241" s="20"/>
      <c r="AB241" s="20"/>
      <c r="AC241" s="20"/>
    </row>
    <row r="242" spans="1:29" s="2" customFormat="1" ht="21" customHeight="1">
      <c r="A242" s="160">
        <v>300027</v>
      </c>
      <c r="B242" s="153" t="s">
        <v>55</v>
      </c>
      <c r="C242" s="248" t="s">
        <v>56</v>
      </c>
      <c r="D242" s="248"/>
      <c r="E242" s="166" t="s">
        <v>54</v>
      </c>
      <c r="F242" s="165"/>
      <c r="G242" s="164"/>
      <c r="H242" s="164"/>
      <c r="I242" s="164"/>
      <c r="J242" s="164"/>
      <c r="K242" s="164">
        <f t="shared" si="31"/>
        <v>0</v>
      </c>
      <c r="L242" s="164">
        <f t="shared" si="32"/>
        <v>0</v>
      </c>
      <c r="M242" s="164">
        <v>550.4</v>
      </c>
      <c r="N242" s="164">
        <f>+M242*1000/(31*20*15*60)*T242</f>
        <v>2.9591397849462364</v>
      </c>
      <c r="O242" s="164"/>
      <c r="P242" s="164">
        <f t="shared" si="34"/>
        <v>0</v>
      </c>
      <c r="Q242" s="164"/>
      <c r="R242" s="19">
        <f t="shared" si="35"/>
        <v>0</v>
      </c>
      <c r="S242" s="164">
        <f t="shared" si="36"/>
        <v>0</v>
      </c>
      <c r="T242" s="20">
        <v>3</v>
      </c>
      <c r="U242" s="20"/>
      <c r="V242" s="161" t="str">
        <f t="array" ref="V242">IF(ISERROR(L242/K242),"",L242/K242)</f>
        <v/>
      </c>
      <c r="W242" s="20"/>
      <c r="X242" s="20"/>
      <c r="Y242" s="20"/>
      <c r="Z242" s="20"/>
      <c r="AA242" s="20"/>
      <c r="AB242" s="20"/>
      <c r="AC242" s="20"/>
    </row>
    <row r="243" spans="1:29" s="2" customFormat="1" ht="21.95" customHeight="1">
      <c r="A243" s="160">
        <v>300028</v>
      </c>
      <c r="B243" s="153" t="s">
        <v>55</v>
      </c>
      <c r="C243" s="248" t="s">
        <v>56</v>
      </c>
      <c r="D243" s="248"/>
      <c r="E243" s="166" t="s">
        <v>35</v>
      </c>
      <c r="F243" s="165"/>
      <c r="G243" s="164"/>
      <c r="H243" s="164"/>
      <c r="I243" s="164"/>
      <c r="J243" s="164"/>
      <c r="K243" s="164">
        <f t="shared" si="31"/>
        <v>0</v>
      </c>
      <c r="L243" s="164">
        <f t="shared" si="32"/>
        <v>0</v>
      </c>
      <c r="M243" s="164">
        <v>550.4</v>
      </c>
      <c r="N243" s="164">
        <f>+M243*1000/(31*20*15*60)*T243</f>
        <v>2.9591397849462364</v>
      </c>
      <c r="O243" s="164"/>
      <c r="P243" s="164">
        <f t="shared" si="34"/>
        <v>0</v>
      </c>
      <c r="Q243" s="164"/>
      <c r="R243" s="19">
        <f t="shared" si="35"/>
        <v>0</v>
      </c>
      <c r="S243" s="164">
        <f t="shared" si="36"/>
        <v>0</v>
      </c>
      <c r="T243" s="20">
        <v>3</v>
      </c>
      <c r="U243" s="20"/>
      <c r="V243" s="161" t="str">
        <f t="array" ref="V243">IF(ISERROR(L243/K243),"",L243/K243)</f>
        <v/>
      </c>
      <c r="W243" s="20"/>
      <c r="X243" s="20"/>
      <c r="Y243" s="20"/>
      <c r="Z243" s="20"/>
      <c r="AA243" s="20"/>
      <c r="AB243" s="20"/>
      <c r="AC243" s="20"/>
    </row>
    <row r="244" spans="1:29" s="2" customFormat="1" ht="21.95" customHeight="1">
      <c r="A244" s="160">
        <v>300029</v>
      </c>
      <c r="B244" s="153" t="s">
        <v>55</v>
      </c>
      <c r="C244" s="248" t="s">
        <v>56</v>
      </c>
      <c r="D244" s="248"/>
      <c r="E244" s="166" t="s">
        <v>57</v>
      </c>
      <c r="F244" s="165"/>
      <c r="G244" s="164"/>
      <c r="H244" s="164"/>
      <c r="I244" s="164"/>
      <c r="J244" s="164"/>
      <c r="K244" s="164">
        <f t="shared" si="31"/>
        <v>0</v>
      </c>
      <c r="L244" s="164">
        <f t="shared" si="32"/>
        <v>0</v>
      </c>
      <c r="M244" s="164">
        <v>550.4</v>
      </c>
      <c r="N244" s="164">
        <f>+M244*1000/(31*20*15*60)*T244</f>
        <v>2.9591397849462364</v>
      </c>
      <c r="O244" s="164"/>
      <c r="P244" s="164">
        <f t="shared" si="34"/>
        <v>0</v>
      </c>
      <c r="Q244" s="164"/>
      <c r="R244" s="19">
        <f t="shared" si="35"/>
        <v>0</v>
      </c>
      <c r="S244" s="164">
        <f t="shared" si="36"/>
        <v>0</v>
      </c>
      <c r="T244" s="20">
        <v>3</v>
      </c>
      <c r="U244" s="20"/>
      <c r="V244" s="161" t="str">
        <f t="array" ref="V244">IF(ISERROR(L244/K244),"",L244/K244)</f>
        <v/>
      </c>
      <c r="W244" s="20"/>
      <c r="X244" s="20"/>
      <c r="Y244" s="20"/>
      <c r="Z244" s="20"/>
      <c r="AA244" s="20"/>
      <c r="AB244" s="20"/>
      <c r="AC244" s="20"/>
    </row>
    <row r="245" spans="1:29" s="2" customFormat="1" ht="21.95" customHeight="1">
      <c r="A245" s="160">
        <v>300026</v>
      </c>
      <c r="B245" s="153" t="s">
        <v>55</v>
      </c>
      <c r="C245" s="248" t="s">
        <v>56</v>
      </c>
      <c r="D245" s="248"/>
      <c r="E245" s="166" t="s">
        <v>37</v>
      </c>
      <c r="F245" s="165"/>
      <c r="G245" s="164"/>
      <c r="H245" s="164"/>
      <c r="I245" s="164"/>
      <c r="J245" s="164"/>
      <c r="K245" s="164">
        <f t="shared" si="31"/>
        <v>0</v>
      </c>
      <c r="L245" s="164">
        <f t="shared" si="32"/>
        <v>0</v>
      </c>
      <c r="M245" s="164">
        <v>550.4</v>
      </c>
      <c r="N245" s="164">
        <f>+M245*1000/(31*20*15*60)*T245</f>
        <v>2.9591397849462364</v>
      </c>
      <c r="O245" s="164"/>
      <c r="P245" s="164">
        <f t="shared" si="34"/>
        <v>0</v>
      </c>
      <c r="Q245" s="164"/>
      <c r="R245" s="19">
        <f t="shared" si="35"/>
        <v>0</v>
      </c>
      <c r="S245" s="164">
        <f t="shared" si="36"/>
        <v>0</v>
      </c>
      <c r="T245" s="20">
        <v>3</v>
      </c>
      <c r="U245" s="20"/>
      <c r="V245" s="161" t="str">
        <f t="array" ref="V245">IF(ISERROR(L245/K245),"",L245/K245)</f>
        <v/>
      </c>
      <c r="W245" s="20"/>
      <c r="X245" s="20"/>
      <c r="Y245" s="20"/>
      <c r="Z245" s="20"/>
      <c r="AA245" s="20"/>
      <c r="AB245" s="20"/>
      <c r="AC245" s="20"/>
    </row>
    <row r="246" spans="1:29" s="2" customFormat="1" ht="21.95" customHeight="1">
      <c r="A246" s="160">
        <v>300032</v>
      </c>
      <c r="B246" s="153">
        <v>3002</v>
      </c>
      <c r="C246" s="248" t="s">
        <v>58</v>
      </c>
      <c r="D246" s="248" t="s">
        <v>59</v>
      </c>
      <c r="E246" s="166" t="s">
        <v>35</v>
      </c>
      <c r="F246" s="165"/>
      <c r="G246" s="164"/>
      <c r="H246" s="164"/>
      <c r="I246" s="164"/>
      <c r="J246" s="164"/>
      <c r="K246" s="164">
        <f t="shared" si="31"/>
        <v>0</v>
      </c>
      <c r="L246" s="164">
        <f t="shared" si="32"/>
        <v>0</v>
      </c>
      <c r="M246" s="164">
        <v>285.7</v>
      </c>
      <c r="N246" s="164">
        <f>+M246*1000/(31*10*13*60)*T246</f>
        <v>7.0893300248138953</v>
      </c>
      <c r="O246" s="164"/>
      <c r="P246" s="164">
        <f t="shared" si="34"/>
        <v>0</v>
      </c>
      <c r="Q246" s="164"/>
      <c r="R246" s="19">
        <f t="shared" si="35"/>
        <v>0</v>
      </c>
      <c r="S246" s="164">
        <f t="shared" si="36"/>
        <v>0</v>
      </c>
      <c r="T246" s="20">
        <v>6</v>
      </c>
      <c r="U246" s="20"/>
      <c r="V246" s="161" t="str">
        <f t="array" ref="V246">IF(ISERROR(L246/K246),"",L246/K246)</f>
        <v/>
      </c>
      <c r="W246" s="20"/>
      <c r="X246" s="20"/>
      <c r="Y246" s="20"/>
      <c r="Z246" s="20"/>
      <c r="AA246" s="20"/>
      <c r="AB246" s="20"/>
      <c r="AC246" s="20"/>
    </row>
    <row r="247" spans="1:29" ht="21.95" customHeight="1">
      <c r="A247" s="160">
        <v>300413</v>
      </c>
      <c r="B247" s="153">
        <v>3002</v>
      </c>
      <c r="C247" s="259" t="s">
        <v>304</v>
      </c>
      <c r="D247" s="260"/>
      <c r="E247" s="166" t="s">
        <v>302</v>
      </c>
      <c r="F247" s="13"/>
      <c r="G247" s="110"/>
      <c r="H247" s="110"/>
      <c r="I247" s="110"/>
      <c r="J247" s="110"/>
      <c r="K247" s="164">
        <f t="shared" si="31"/>
        <v>0</v>
      </c>
      <c r="L247" s="164">
        <f t="shared" si="32"/>
        <v>0</v>
      </c>
      <c r="M247" s="164">
        <v>528.79999999999995</v>
      </c>
      <c r="N247" s="164">
        <f>+M247*1000/(31*10*13*60)*T247</f>
        <v>6.5607940446650126</v>
      </c>
      <c r="O247" s="164"/>
      <c r="P247" s="164">
        <f t="shared" si="34"/>
        <v>0</v>
      </c>
      <c r="Q247" s="164"/>
      <c r="R247" s="19">
        <f t="shared" si="35"/>
        <v>0</v>
      </c>
      <c r="S247" s="164">
        <f t="shared" si="36"/>
        <v>0</v>
      </c>
      <c r="T247" s="20">
        <v>3</v>
      </c>
      <c r="U247" s="20"/>
      <c r="V247" s="161"/>
      <c r="W247" s="20"/>
      <c r="X247" s="20"/>
      <c r="Y247" s="20"/>
      <c r="Z247" s="20"/>
      <c r="AA247" s="20"/>
      <c r="AB247" s="20"/>
      <c r="AC247" s="20"/>
    </row>
    <row r="248" spans="1:29" ht="21.95" customHeight="1">
      <c r="A248" s="160">
        <v>300414</v>
      </c>
      <c r="B248" s="153">
        <v>3002</v>
      </c>
      <c r="C248" s="259" t="s">
        <v>304</v>
      </c>
      <c r="D248" s="260"/>
      <c r="E248" s="166" t="s">
        <v>299</v>
      </c>
      <c r="F248" s="13"/>
      <c r="G248" s="110"/>
      <c r="H248" s="110"/>
      <c r="I248" s="110"/>
      <c r="J248" s="110"/>
      <c r="K248" s="164">
        <f t="shared" si="31"/>
        <v>0</v>
      </c>
      <c r="L248" s="164">
        <f t="shared" si="32"/>
        <v>0</v>
      </c>
      <c r="M248" s="164">
        <v>528.79999999999995</v>
      </c>
      <c r="N248" s="164">
        <f>+M248*1000/(31*10*13*60)*T248</f>
        <v>6.5607940446650126</v>
      </c>
      <c r="O248" s="164"/>
      <c r="P248" s="164">
        <f t="shared" si="34"/>
        <v>0</v>
      </c>
      <c r="Q248" s="164"/>
      <c r="R248" s="19">
        <f t="shared" si="35"/>
        <v>0</v>
      </c>
      <c r="S248" s="164">
        <f t="shared" si="36"/>
        <v>0</v>
      </c>
      <c r="T248" s="20">
        <v>3</v>
      </c>
      <c r="U248" s="20"/>
      <c r="V248" s="161"/>
      <c r="W248" s="20"/>
      <c r="X248" s="20"/>
      <c r="Y248" s="20"/>
      <c r="Z248" s="20"/>
      <c r="AA248" s="20"/>
      <c r="AB248" s="20"/>
      <c r="AC248" s="20"/>
    </row>
    <row r="249" spans="1:29" ht="21.95" customHeight="1">
      <c r="A249" s="160">
        <v>300415</v>
      </c>
      <c r="B249" s="153">
        <v>3002</v>
      </c>
      <c r="C249" s="259" t="s">
        <v>304</v>
      </c>
      <c r="D249" s="260"/>
      <c r="E249" s="166" t="s">
        <v>303</v>
      </c>
      <c r="F249" s="13"/>
      <c r="G249" s="110"/>
      <c r="H249" s="110"/>
      <c r="I249" s="110"/>
      <c r="J249" s="110"/>
      <c r="K249" s="164">
        <f t="shared" si="31"/>
        <v>0</v>
      </c>
      <c r="L249" s="164">
        <f t="shared" si="32"/>
        <v>0</v>
      </c>
      <c r="M249" s="164">
        <v>528.79999999999995</v>
      </c>
      <c r="N249" s="164">
        <f>+M249*1000/(31*10*13*60)*T249</f>
        <v>6.5607940446650126</v>
      </c>
      <c r="O249" s="164"/>
      <c r="P249" s="164">
        <f t="shared" si="34"/>
        <v>0</v>
      </c>
      <c r="Q249" s="164"/>
      <c r="R249" s="19">
        <f t="shared" si="35"/>
        <v>0</v>
      </c>
      <c r="S249" s="164">
        <f t="shared" si="36"/>
        <v>0</v>
      </c>
      <c r="T249" s="20">
        <v>3</v>
      </c>
      <c r="U249" s="20"/>
      <c r="V249" s="161"/>
      <c r="W249" s="20"/>
      <c r="X249" s="20"/>
      <c r="Y249" s="20"/>
      <c r="Z249" s="20"/>
      <c r="AA249" s="20"/>
      <c r="AB249" s="20"/>
      <c r="AC249" s="20"/>
    </row>
    <row r="250" spans="1:29" s="2" customFormat="1" ht="21.95" customHeight="1">
      <c r="A250" s="160">
        <v>300035</v>
      </c>
      <c r="B250" s="153" t="s">
        <v>60</v>
      </c>
      <c r="C250" s="248" t="s">
        <v>61</v>
      </c>
      <c r="D250" s="248" t="s">
        <v>62</v>
      </c>
      <c r="E250" s="166" t="s">
        <v>35</v>
      </c>
      <c r="F250" s="165"/>
      <c r="G250" s="164"/>
      <c r="H250" s="164"/>
      <c r="I250" s="164"/>
      <c r="J250" s="164"/>
      <c r="K250" s="164">
        <f t="shared" si="31"/>
        <v>0</v>
      </c>
      <c r="L250" s="164">
        <f t="shared" si="32"/>
        <v>0</v>
      </c>
      <c r="M250" s="164">
        <v>366.93</v>
      </c>
      <c r="N250" s="164">
        <f>+M250*1000/(35.8*10*13*60)*T250</f>
        <v>2.6280618822518265</v>
      </c>
      <c r="O250" s="164"/>
      <c r="P250" s="164">
        <f t="shared" si="34"/>
        <v>0</v>
      </c>
      <c r="Q250" s="164"/>
      <c r="R250" s="19">
        <f t="shared" si="35"/>
        <v>0</v>
      </c>
      <c r="S250" s="164">
        <f t="shared" si="36"/>
        <v>0</v>
      </c>
      <c r="T250" s="20">
        <v>2</v>
      </c>
      <c r="U250" s="20"/>
      <c r="V250" s="161" t="str">
        <f t="array" ref="V250">IF(ISERROR(L250/K250),"",L250/K250)</f>
        <v/>
      </c>
      <c r="W250" s="20"/>
      <c r="X250" s="20"/>
      <c r="Y250" s="20"/>
      <c r="Z250" s="20"/>
      <c r="AA250" s="20"/>
      <c r="AB250" s="20"/>
      <c r="AC250" s="20"/>
    </row>
    <row r="251" spans="1:29" s="2" customFormat="1" ht="21.95" customHeight="1">
      <c r="A251" s="160">
        <v>300036</v>
      </c>
      <c r="B251" s="153" t="s">
        <v>60</v>
      </c>
      <c r="C251" s="248" t="s">
        <v>61</v>
      </c>
      <c r="D251" s="248" t="s">
        <v>62</v>
      </c>
      <c r="E251" s="166" t="s">
        <v>63</v>
      </c>
      <c r="F251" s="165"/>
      <c r="G251" s="164"/>
      <c r="H251" s="164"/>
      <c r="I251" s="164"/>
      <c r="J251" s="164"/>
      <c r="K251" s="164">
        <f t="shared" si="31"/>
        <v>0</v>
      </c>
      <c r="L251" s="164">
        <f t="shared" si="32"/>
        <v>0</v>
      </c>
      <c r="M251" s="164">
        <v>366.93</v>
      </c>
      <c r="N251" s="164">
        <f>+M251*1000/(35.8*10*13*60)*T251</f>
        <v>2.6280618822518265</v>
      </c>
      <c r="O251" s="164"/>
      <c r="P251" s="164">
        <f t="shared" si="34"/>
        <v>0</v>
      </c>
      <c r="Q251" s="164"/>
      <c r="R251" s="19">
        <f t="shared" si="35"/>
        <v>0</v>
      </c>
      <c r="S251" s="164">
        <f t="shared" si="36"/>
        <v>0</v>
      </c>
      <c r="T251" s="20">
        <v>2</v>
      </c>
      <c r="U251" s="20"/>
      <c r="V251" s="161" t="str">
        <f t="array" ref="V251">IF(ISERROR(L251/K251),"",L251/K251)</f>
        <v/>
      </c>
      <c r="W251" s="20"/>
      <c r="X251" s="20"/>
      <c r="Y251" s="20"/>
      <c r="Z251" s="20"/>
      <c r="AA251" s="20"/>
      <c r="AB251" s="20"/>
      <c r="AC251" s="20"/>
    </row>
    <row r="252" spans="1:29" s="2" customFormat="1" ht="21.95" customHeight="1">
      <c r="A252" s="160">
        <v>300037</v>
      </c>
      <c r="B252" s="153" t="s">
        <v>60</v>
      </c>
      <c r="C252" s="248" t="s">
        <v>61</v>
      </c>
      <c r="D252" s="248" t="s">
        <v>62</v>
      </c>
      <c r="E252" s="166" t="s">
        <v>37</v>
      </c>
      <c r="F252" s="165"/>
      <c r="G252" s="164"/>
      <c r="H252" s="164"/>
      <c r="I252" s="164"/>
      <c r="J252" s="164"/>
      <c r="K252" s="164">
        <f t="shared" si="31"/>
        <v>0</v>
      </c>
      <c r="L252" s="164">
        <f t="shared" si="32"/>
        <v>0</v>
      </c>
      <c r="M252" s="164">
        <v>366.93</v>
      </c>
      <c r="N252" s="164">
        <f>+M252*1000/(35.8*10*13*60)*T252</f>
        <v>2.6280618822518265</v>
      </c>
      <c r="O252" s="164"/>
      <c r="P252" s="164">
        <f t="shared" si="34"/>
        <v>0</v>
      </c>
      <c r="Q252" s="164"/>
      <c r="R252" s="19">
        <f t="shared" si="35"/>
        <v>0</v>
      </c>
      <c r="S252" s="164">
        <f t="shared" si="36"/>
        <v>0</v>
      </c>
      <c r="T252" s="20">
        <v>2</v>
      </c>
      <c r="U252" s="20"/>
      <c r="V252" s="161" t="str">
        <f t="array" ref="V252">IF(ISERROR(L252/K252),"",L252/K252)</f>
        <v/>
      </c>
      <c r="W252" s="20"/>
      <c r="X252" s="20"/>
      <c r="Y252" s="20"/>
      <c r="Z252" s="20"/>
      <c r="AA252" s="20"/>
      <c r="AB252" s="20"/>
      <c r="AC252" s="20"/>
    </row>
    <row r="253" spans="1:29" s="2" customFormat="1" ht="21.95" customHeight="1">
      <c r="A253" s="160">
        <v>300038</v>
      </c>
      <c r="B253" s="153" t="s">
        <v>60</v>
      </c>
      <c r="C253" s="248" t="s">
        <v>64</v>
      </c>
      <c r="D253" s="248" t="s">
        <v>65</v>
      </c>
      <c r="E253" s="166" t="s">
        <v>35</v>
      </c>
      <c r="F253" s="165"/>
      <c r="G253" s="164"/>
      <c r="H253" s="164"/>
      <c r="I253" s="164"/>
      <c r="J253" s="164"/>
      <c r="K253" s="164">
        <f t="shared" si="31"/>
        <v>0</v>
      </c>
      <c r="L253" s="164">
        <f t="shared" si="32"/>
        <v>0</v>
      </c>
      <c r="M253" s="164">
        <v>301.14</v>
      </c>
      <c r="N253" s="164">
        <f>+M253*1000/(35.8*10*13*60)*T253</f>
        <v>5.3921357971637294</v>
      </c>
      <c r="O253" s="164"/>
      <c r="P253" s="164">
        <f t="shared" si="34"/>
        <v>0</v>
      </c>
      <c r="Q253" s="164"/>
      <c r="R253" s="19">
        <f t="shared" si="35"/>
        <v>0</v>
      </c>
      <c r="S253" s="164">
        <f t="shared" si="36"/>
        <v>0</v>
      </c>
      <c r="T253" s="20">
        <v>5</v>
      </c>
      <c r="U253" s="20"/>
      <c r="V253" s="161" t="str">
        <f t="array" ref="V253">IF(ISERROR(L253/K253),"",L253/K253)</f>
        <v/>
      </c>
      <c r="W253" s="20"/>
      <c r="X253" s="20"/>
      <c r="Y253" s="20"/>
      <c r="Z253" s="20"/>
      <c r="AA253" s="20"/>
      <c r="AB253" s="20"/>
      <c r="AC253" s="20"/>
    </row>
    <row r="254" spans="1:29" s="2" customFormat="1" ht="21.95" customHeight="1">
      <c r="A254" s="160">
        <v>300039</v>
      </c>
      <c r="B254" s="153" t="s">
        <v>60</v>
      </c>
      <c r="C254" s="248" t="s">
        <v>64</v>
      </c>
      <c r="D254" s="248" t="s">
        <v>65</v>
      </c>
      <c r="E254" s="166" t="s">
        <v>66</v>
      </c>
      <c r="F254" s="165"/>
      <c r="G254" s="164"/>
      <c r="H254" s="164"/>
      <c r="I254" s="164"/>
      <c r="J254" s="164"/>
      <c r="K254" s="164">
        <f t="shared" si="31"/>
        <v>0</v>
      </c>
      <c r="L254" s="164">
        <f t="shared" si="32"/>
        <v>0</v>
      </c>
      <c r="M254" s="164">
        <v>310.39999999999998</v>
      </c>
      <c r="N254" s="164">
        <f>+M254*1000/(35.8*10*13*60)*T254</f>
        <v>5.557942988110586</v>
      </c>
      <c r="O254" s="164"/>
      <c r="P254" s="164">
        <f t="shared" si="34"/>
        <v>0</v>
      </c>
      <c r="Q254" s="164"/>
      <c r="R254" s="19">
        <f t="shared" si="35"/>
        <v>0</v>
      </c>
      <c r="S254" s="164">
        <f t="shared" si="36"/>
        <v>0</v>
      </c>
      <c r="T254" s="20">
        <v>5</v>
      </c>
      <c r="U254" s="20"/>
      <c r="V254" s="161" t="str">
        <f t="array" ref="V254">IF(ISERROR(L254/K254),"",L254/K254)</f>
        <v/>
      </c>
      <c r="W254" s="20"/>
      <c r="X254" s="20"/>
      <c r="Y254" s="20"/>
      <c r="Z254" s="20"/>
      <c r="AA254" s="20"/>
      <c r="AB254" s="20"/>
      <c r="AC254" s="20"/>
    </row>
    <row r="255" spans="1:29" s="2" customFormat="1" ht="21" customHeight="1">
      <c r="A255" s="160">
        <v>300416</v>
      </c>
      <c r="B255" s="153" t="s">
        <v>67</v>
      </c>
      <c r="C255" s="259" t="s">
        <v>68</v>
      </c>
      <c r="D255" s="260"/>
      <c r="E255" s="166" t="s">
        <v>69</v>
      </c>
      <c r="F255" s="165"/>
      <c r="G255" s="14"/>
      <c r="H255" s="14"/>
      <c r="I255" s="14"/>
      <c r="J255" s="14"/>
      <c r="K255" s="164">
        <f t="shared" si="31"/>
        <v>0</v>
      </c>
      <c r="L255" s="164">
        <f t="shared" si="32"/>
        <v>0</v>
      </c>
      <c r="M255" s="164">
        <v>385.6</v>
      </c>
      <c r="N255" s="164">
        <f>+M255*1000/(25.4*20*15*60)*T255</f>
        <v>2.5301837270341205</v>
      </c>
      <c r="O255" s="164"/>
      <c r="P255" s="164">
        <f t="shared" si="34"/>
        <v>0</v>
      </c>
      <c r="Q255" s="164"/>
      <c r="R255" s="19">
        <f t="shared" si="35"/>
        <v>0</v>
      </c>
      <c r="S255" s="164">
        <f t="shared" si="36"/>
        <v>0</v>
      </c>
      <c r="T255" s="20">
        <v>3</v>
      </c>
      <c r="U255" s="20"/>
      <c r="V255" s="161"/>
      <c r="W255" s="20"/>
      <c r="X255" s="20"/>
      <c r="Y255" s="20"/>
      <c r="Z255" s="20"/>
      <c r="AA255" s="20"/>
      <c r="AB255" s="20"/>
      <c r="AC255" s="20"/>
    </row>
    <row r="256" spans="1:29" s="2" customFormat="1" ht="21" customHeight="1">
      <c r="A256" s="160">
        <v>300417</v>
      </c>
      <c r="B256" s="153" t="s">
        <v>67</v>
      </c>
      <c r="C256" s="259" t="s">
        <v>68</v>
      </c>
      <c r="D256" s="260"/>
      <c r="E256" s="166" t="s">
        <v>70</v>
      </c>
      <c r="F256" s="165"/>
      <c r="G256" s="14"/>
      <c r="H256" s="14"/>
      <c r="I256" s="14"/>
      <c r="J256" s="14"/>
      <c r="K256" s="164">
        <f t="shared" si="31"/>
        <v>0</v>
      </c>
      <c r="L256" s="164">
        <f t="shared" si="32"/>
        <v>0</v>
      </c>
      <c r="M256" s="164">
        <v>385.6</v>
      </c>
      <c r="N256" s="164">
        <f>+M256*1000/(25.4*20*15*60)*T256</f>
        <v>2.5301837270341205</v>
      </c>
      <c r="O256" s="164"/>
      <c r="P256" s="164">
        <f t="shared" si="34"/>
        <v>0</v>
      </c>
      <c r="Q256" s="164"/>
      <c r="R256" s="19">
        <f t="shared" si="35"/>
        <v>0</v>
      </c>
      <c r="S256" s="164">
        <f t="shared" si="36"/>
        <v>0</v>
      </c>
      <c r="T256" s="20">
        <v>3</v>
      </c>
      <c r="U256" s="20"/>
      <c r="V256" s="161"/>
      <c r="W256" s="20"/>
      <c r="X256" s="20"/>
      <c r="Y256" s="20"/>
      <c r="Z256" s="20"/>
      <c r="AA256" s="20"/>
      <c r="AB256" s="20"/>
      <c r="AC256" s="20"/>
    </row>
    <row r="257" spans="1:29" s="2" customFormat="1" ht="21" customHeight="1">
      <c r="A257" s="160">
        <v>300418</v>
      </c>
      <c r="B257" s="153" t="s">
        <v>67</v>
      </c>
      <c r="C257" s="259" t="s">
        <v>68</v>
      </c>
      <c r="D257" s="260"/>
      <c r="E257" s="166" t="s">
        <v>71</v>
      </c>
      <c r="F257" s="165"/>
      <c r="G257" s="14"/>
      <c r="H257" s="14"/>
      <c r="I257" s="14"/>
      <c r="J257" s="14"/>
      <c r="K257" s="164">
        <f t="shared" si="31"/>
        <v>0</v>
      </c>
      <c r="L257" s="164">
        <f t="shared" si="32"/>
        <v>0</v>
      </c>
      <c r="M257" s="164">
        <v>385.6</v>
      </c>
      <c r="N257" s="164">
        <f>+M257*1000/(25.4*20*15*60)*T257</f>
        <v>2.5301837270341205</v>
      </c>
      <c r="O257" s="164"/>
      <c r="P257" s="164">
        <f t="shared" si="34"/>
        <v>0</v>
      </c>
      <c r="Q257" s="164"/>
      <c r="R257" s="19">
        <f t="shared" si="35"/>
        <v>0</v>
      </c>
      <c r="S257" s="164">
        <f t="shared" si="36"/>
        <v>0</v>
      </c>
      <c r="T257" s="20">
        <v>3</v>
      </c>
      <c r="U257" s="20"/>
      <c r="V257" s="161"/>
      <c r="W257" s="20"/>
      <c r="X257" s="20"/>
      <c r="Y257" s="20"/>
      <c r="Z257" s="20"/>
      <c r="AA257" s="20"/>
      <c r="AB257" s="20"/>
      <c r="AC257" s="20"/>
    </row>
    <row r="258" spans="1:29" s="2" customFormat="1" ht="21" customHeight="1">
      <c r="A258" s="160">
        <v>300419</v>
      </c>
      <c r="B258" s="153" t="s">
        <v>67</v>
      </c>
      <c r="C258" s="259" t="s">
        <v>68</v>
      </c>
      <c r="D258" s="260"/>
      <c r="E258" s="166" t="s">
        <v>72</v>
      </c>
      <c r="F258" s="165"/>
      <c r="G258" s="14"/>
      <c r="H258" s="14"/>
      <c r="I258" s="14"/>
      <c r="J258" s="14"/>
      <c r="K258" s="164">
        <f t="shared" si="31"/>
        <v>0</v>
      </c>
      <c r="L258" s="164">
        <f t="shared" si="32"/>
        <v>0</v>
      </c>
      <c r="M258" s="164">
        <v>385.6</v>
      </c>
      <c r="N258" s="164">
        <f>+M258*1000/(25.4*20*15*60)*T258</f>
        <v>2.5301837270341205</v>
      </c>
      <c r="O258" s="164"/>
      <c r="P258" s="164">
        <f t="shared" si="34"/>
        <v>0</v>
      </c>
      <c r="Q258" s="164"/>
      <c r="R258" s="19">
        <f t="shared" si="35"/>
        <v>0</v>
      </c>
      <c r="S258" s="164">
        <f t="shared" si="36"/>
        <v>0</v>
      </c>
      <c r="T258" s="20">
        <v>3</v>
      </c>
      <c r="U258" s="20"/>
      <c r="V258" s="161"/>
      <c r="W258" s="20"/>
      <c r="X258" s="20"/>
      <c r="Y258" s="20"/>
      <c r="Z258" s="20"/>
      <c r="AA258" s="20"/>
      <c r="AB258" s="20"/>
      <c r="AC258" s="20"/>
    </row>
    <row r="259" spans="1:29" s="2" customFormat="1" ht="21.95" customHeight="1">
      <c r="A259" s="160">
        <v>300260</v>
      </c>
      <c r="B259" s="153" t="s">
        <v>67</v>
      </c>
      <c r="C259" s="248" t="s">
        <v>73</v>
      </c>
      <c r="D259" s="248"/>
      <c r="E259" s="166" t="s">
        <v>74</v>
      </c>
      <c r="F259" s="165"/>
      <c r="G259" s="164"/>
      <c r="H259" s="164"/>
      <c r="I259" s="164"/>
      <c r="J259" s="164"/>
      <c r="K259" s="164">
        <f t="shared" si="31"/>
        <v>0</v>
      </c>
      <c r="L259" s="164">
        <f t="shared" si="32"/>
        <v>0</v>
      </c>
      <c r="M259" s="164">
        <v>434.33</v>
      </c>
      <c r="N259" s="164">
        <f>+M259*1000/(42.7*10*15*60)*T259</f>
        <v>2.2603695029924538</v>
      </c>
      <c r="O259" s="164"/>
      <c r="P259" s="164">
        <f t="shared" si="34"/>
        <v>0</v>
      </c>
      <c r="Q259" s="164"/>
      <c r="R259" s="19">
        <f t="shared" si="35"/>
        <v>0</v>
      </c>
      <c r="S259" s="164">
        <f t="shared" si="36"/>
        <v>0</v>
      </c>
      <c r="T259" s="20">
        <v>2</v>
      </c>
      <c r="U259" s="20"/>
      <c r="V259" s="161" t="str">
        <f t="array" ref="V259">IF(ISERROR(L259/K259),"",L259/K259)</f>
        <v/>
      </c>
      <c r="W259" s="20"/>
      <c r="X259" s="20"/>
      <c r="Y259" s="20"/>
      <c r="Z259" s="20"/>
      <c r="AA259" s="20"/>
      <c r="AB259" s="20"/>
      <c r="AC259" s="20"/>
    </row>
    <row r="260" spans="1:29" s="2" customFormat="1" ht="21.95" customHeight="1">
      <c r="A260" s="160">
        <v>300261</v>
      </c>
      <c r="B260" s="153" t="s">
        <v>67</v>
      </c>
      <c r="C260" s="248" t="s">
        <v>73</v>
      </c>
      <c r="D260" s="248"/>
      <c r="E260" s="166" t="s">
        <v>41</v>
      </c>
      <c r="F260" s="165"/>
      <c r="G260" s="164"/>
      <c r="H260" s="164"/>
      <c r="I260" s="164"/>
      <c r="J260" s="164"/>
      <c r="K260" s="164">
        <f t="shared" si="31"/>
        <v>0</v>
      </c>
      <c r="L260" s="164">
        <f t="shared" si="32"/>
        <v>0</v>
      </c>
      <c r="M260" s="164">
        <v>434.33</v>
      </c>
      <c r="N260" s="164">
        <f>+M260*1000/(42.7*10*15*60)*T260</f>
        <v>2.2603695029924538</v>
      </c>
      <c r="O260" s="164"/>
      <c r="P260" s="164">
        <f t="shared" si="34"/>
        <v>0</v>
      </c>
      <c r="Q260" s="164"/>
      <c r="R260" s="19">
        <f t="shared" si="35"/>
        <v>0</v>
      </c>
      <c r="S260" s="164">
        <f t="shared" si="36"/>
        <v>0</v>
      </c>
      <c r="T260" s="20">
        <v>2</v>
      </c>
      <c r="U260" s="20"/>
      <c r="V260" s="161" t="str">
        <f t="array" ref="V260">IF(ISERROR(L260/K260),"",L260/K260)</f>
        <v/>
      </c>
      <c r="W260" s="20"/>
      <c r="X260" s="20"/>
      <c r="Y260" s="20"/>
      <c r="Z260" s="20"/>
      <c r="AA260" s="20"/>
      <c r="AB260" s="20"/>
      <c r="AC260" s="20"/>
    </row>
    <row r="261" spans="1:29" s="2" customFormat="1" ht="21.95" customHeight="1">
      <c r="A261" s="160">
        <v>300262</v>
      </c>
      <c r="B261" s="153" t="s">
        <v>67</v>
      </c>
      <c r="C261" s="248" t="s">
        <v>73</v>
      </c>
      <c r="D261" s="248"/>
      <c r="E261" s="166" t="s">
        <v>39</v>
      </c>
      <c r="F261" s="165"/>
      <c r="G261" s="164"/>
      <c r="H261" s="164"/>
      <c r="I261" s="164"/>
      <c r="J261" s="164"/>
      <c r="K261" s="164">
        <f t="shared" si="31"/>
        <v>0</v>
      </c>
      <c r="L261" s="164">
        <f t="shared" si="32"/>
        <v>0</v>
      </c>
      <c r="M261" s="164">
        <v>434.33</v>
      </c>
      <c r="N261" s="164">
        <f>+M261*1000/(42.7*10*15*60)*T261</f>
        <v>2.2603695029924538</v>
      </c>
      <c r="O261" s="164"/>
      <c r="P261" s="164">
        <f t="shared" si="34"/>
        <v>0</v>
      </c>
      <c r="Q261" s="164"/>
      <c r="R261" s="19">
        <f t="shared" si="35"/>
        <v>0</v>
      </c>
      <c r="S261" s="164">
        <f t="shared" si="36"/>
        <v>0</v>
      </c>
      <c r="T261" s="20">
        <v>2</v>
      </c>
      <c r="U261" s="20"/>
      <c r="V261" s="161" t="str">
        <f t="array" ref="V261">IF(ISERROR(L261/K261),"",L261/K261)</f>
        <v/>
      </c>
      <c r="W261" s="20"/>
      <c r="X261" s="20"/>
      <c r="Y261" s="20"/>
      <c r="Z261" s="20"/>
      <c r="AA261" s="20"/>
      <c r="AB261" s="20"/>
      <c r="AC261" s="20"/>
    </row>
    <row r="262" spans="1:29" s="2" customFormat="1" ht="21.95" customHeight="1">
      <c r="A262" s="160">
        <v>300263</v>
      </c>
      <c r="B262" s="153" t="s">
        <v>67</v>
      </c>
      <c r="C262" s="248" t="s">
        <v>73</v>
      </c>
      <c r="D262" s="248"/>
      <c r="E262" s="166" t="s">
        <v>54</v>
      </c>
      <c r="F262" s="165"/>
      <c r="G262" s="164"/>
      <c r="H262" s="164"/>
      <c r="I262" s="164"/>
      <c r="J262" s="164"/>
      <c r="K262" s="164">
        <f t="shared" si="31"/>
        <v>0</v>
      </c>
      <c r="L262" s="164">
        <f t="shared" si="32"/>
        <v>0</v>
      </c>
      <c r="M262" s="164">
        <v>434.33</v>
      </c>
      <c r="N262" s="164">
        <f>+M262*1000/(42.7*10*15*60)*T262</f>
        <v>2.2603695029924538</v>
      </c>
      <c r="O262" s="164"/>
      <c r="P262" s="164">
        <f t="shared" si="34"/>
        <v>0</v>
      </c>
      <c r="Q262" s="164"/>
      <c r="R262" s="19">
        <f t="shared" si="35"/>
        <v>0</v>
      </c>
      <c r="S262" s="164">
        <f t="shared" si="36"/>
        <v>0</v>
      </c>
      <c r="T262" s="20">
        <v>2</v>
      </c>
      <c r="U262" s="20"/>
      <c r="V262" s="161" t="str">
        <f t="array" ref="V262">IF(ISERROR(L262/K262),"",L262/K262)</f>
        <v/>
      </c>
      <c r="W262" s="20"/>
      <c r="X262" s="20"/>
      <c r="Y262" s="20"/>
      <c r="Z262" s="20"/>
      <c r="AA262" s="20"/>
      <c r="AB262" s="20"/>
      <c r="AC262" s="20"/>
    </row>
    <row r="263" spans="1:29" s="2" customFormat="1" ht="21.95" customHeight="1">
      <c r="A263" s="160">
        <v>300051</v>
      </c>
      <c r="B263" s="153" t="s">
        <v>67</v>
      </c>
      <c r="C263" s="248" t="s">
        <v>75</v>
      </c>
      <c r="D263" s="248" t="s">
        <v>76</v>
      </c>
      <c r="E263" s="166" t="s">
        <v>40</v>
      </c>
      <c r="F263" s="165"/>
      <c r="G263" s="164"/>
      <c r="H263" s="164"/>
      <c r="I263" s="164"/>
      <c r="J263" s="164"/>
      <c r="K263" s="164">
        <f t="shared" si="31"/>
        <v>0</v>
      </c>
      <c r="L263" s="164">
        <f t="shared" si="32"/>
        <v>0</v>
      </c>
      <c r="M263" s="164">
        <v>545.9</v>
      </c>
      <c r="N263" s="164">
        <f>+M263*1000/(41.5*10*16*60)*T263</f>
        <v>2.7404618473895583</v>
      </c>
      <c r="O263" s="164"/>
      <c r="P263" s="164">
        <f t="shared" si="34"/>
        <v>0</v>
      </c>
      <c r="Q263" s="164"/>
      <c r="R263" s="19">
        <f t="shared" si="35"/>
        <v>0</v>
      </c>
      <c r="S263" s="164">
        <f t="shared" si="36"/>
        <v>0</v>
      </c>
      <c r="T263" s="22">
        <v>2</v>
      </c>
      <c r="U263" s="20"/>
      <c r="V263" s="161" t="str">
        <f t="array" ref="V263">IF(ISERROR(L263/K263),"",L263/K263)</f>
        <v/>
      </c>
      <c r="W263" s="20"/>
      <c r="X263" s="20"/>
      <c r="Y263" s="20"/>
      <c r="Z263" s="20"/>
      <c r="AA263" s="20"/>
      <c r="AB263" s="20"/>
      <c r="AC263" s="20"/>
    </row>
    <row r="264" spans="1:29" s="2" customFormat="1" ht="21.95" customHeight="1">
      <c r="A264" s="160">
        <v>300052</v>
      </c>
      <c r="B264" s="153" t="s">
        <v>67</v>
      </c>
      <c r="C264" s="248" t="s">
        <v>75</v>
      </c>
      <c r="D264" s="248" t="s">
        <v>76</v>
      </c>
      <c r="E264" s="166" t="s">
        <v>39</v>
      </c>
      <c r="F264" s="165"/>
      <c r="G264" s="164"/>
      <c r="H264" s="164"/>
      <c r="I264" s="164"/>
      <c r="J264" s="164"/>
      <c r="K264" s="164">
        <f t="shared" si="31"/>
        <v>0</v>
      </c>
      <c r="L264" s="164">
        <f t="shared" si="32"/>
        <v>0</v>
      </c>
      <c r="M264" s="164">
        <v>545.9</v>
      </c>
      <c r="N264" s="164">
        <f>+M264*1000/(41.5*10*16*60)*T264</f>
        <v>2.7404618473895583</v>
      </c>
      <c r="O264" s="164"/>
      <c r="P264" s="164">
        <f t="shared" si="34"/>
        <v>0</v>
      </c>
      <c r="Q264" s="164"/>
      <c r="R264" s="19">
        <f t="shared" si="35"/>
        <v>0</v>
      </c>
      <c r="S264" s="164">
        <f t="shared" si="36"/>
        <v>0</v>
      </c>
      <c r="T264" s="20">
        <v>2</v>
      </c>
      <c r="U264" s="20"/>
      <c r="V264" s="161" t="str">
        <f t="array" ref="V264">IF(ISERROR(L264/K264),"",L264/K264)</f>
        <v/>
      </c>
      <c r="W264" s="20"/>
      <c r="X264" s="20"/>
      <c r="Y264" s="20"/>
      <c r="Z264" s="20"/>
      <c r="AA264" s="20"/>
      <c r="AB264" s="20"/>
      <c r="AC264" s="20"/>
    </row>
    <row r="265" spans="1:29" s="2" customFormat="1" ht="21.95" customHeight="1">
      <c r="A265" s="160">
        <v>300054</v>
      </c>
      <c r="B265" s="153" t="s">
        <v>67</v>
      </c>
      <c r="C265" s="248" t="s">
        <v>75</v>
      </c>
      <c r="D265" s="248" t="s">
        <v>76</v>
      </c>
      <c r="E265" s="166" t="s">
        <v>38</v>
      </c>
      <c r="F265" s="165"/>
      <c r="G265" s="164"/>
      <c r="H265" s="164"/>
      <c r="I265" s="164"/>
      <c r="J265" s="164"/>
      <c r="K265" s="164">
        <f t="shared" si="31"/>
        <v>0</v>
      </c>
      <c r="L265" s="164">
        <f t="shared" si="32"/>
        <v>0</v>
      </c>
      <c r="M265" s="164">
        <v>545.9</v>
      </c>
      <c r="N265" s="164">
        <f>+M265*1000/(41.5*10*16*60)*T265</f>
        <v>2.7404618473895583</v>
      </c>
      <c r="O265" s="164"/>
      <c r="P265" s="164">
        <f t="shared" si="34"/>
        <v>0</v>
      </c>
      <c r="Q265" s="164"/>
      <c r="R265" s="19">
        <f t="shared" si="35"/>
        <v>0</v>
      </c>
      <c r="S265" s="164">
        <f t="shared" si="36"/>
        <v>0</v>
      </c>
      <c r="T265" s="20">
        <v>2</v>
      </c>
      <c r="U265" s="20"/>
      <c r="V265" s="161" t="str">
        <f t="array" ref="V265">IF(ISERROR(L265/K265),"",L265/K265)</f>
        <v/>
      </c>
      <c r="W265" s="20"/>
      <c r="X265" s="20"/>
      <c r="Y265" s="20"/>
      <c r="Z265" s="20"/>
      <c r="AA265" s="20"/>
      <c r="AB265" s="20"/>
      <c r="AC265" s="20"/>
    </row>
    <row r="266" spans="1:29" s="132" customFormat="1" ht="21.95" customHeight="1">
      <c r="A266" s="126">
        <v>300436</v>
      </c>
      <c r="B266" s="156" t="s">
        <v>67</v>
      </c>
      <c r="C266" s="261" t="s">
        <v>75</v>
      </c>
      <c r="D266" s="261" t="s">
        <v>76</v>
      </c>
      <c r="E266" s="42" t="s">
        <v>309</v>
      </c>
      <c r="F266" s="127"/>
      <c r="G266" s="128"/>
      <c r="H266" s="128"/>
      <c r="I266" s="128"/>
      <c r="J266" s="128"/>
      <c r="K266" s="15">
        <f t="shared" si="31"/>
        <v>0</v>
      </c>
      <c r="L266" s="15">
        <f t="shared" si="32"/>
        <v>0</v>
      </c>
      <c r="M266" s="15">
        <v>545.9</v>
      </c>
      <c r="N266" s="15">
        <f>+M266*1000/(41.5*10*16*60)*T266</f>
        <v>2.7404618473895583</v>
      </c>
      <c r="O266" s="15"/>
      <c r="P266" s="15">
        <f t="shared" si="34"/>
        <v>0</v>
      </c>
      <c r="Q266" s="15"/>
      <c r="R266" s="129">
        <f t="shared" si="35"/>
        <v>0</v>
      </c>
      <c r="S266" s="15">
        <f t="shared" si="36"/>
        <v>0</v>
      </c>
      <c r="T266" s="130">
        <v>2</v>
      </c>
      <c r="U266" s="130"/>
      <c r="V266" s="131"/>
      <c r="W266" s="130"/>
      <c r="X266" s="130"/>
      <c r="Y266" s="130"/>
      <c r="Z266" s="130"/>
      <c r="AA266" s="130"/>
      <c r="AB266" s="130"/>
      <c r="AC266" s="130"/>
    </row>
    <row r="267" spans="1:29" s="2" customFormat="1" ht="21.95" customHeight="1">
      <c r="A267" s="160">
        <v>300050</v>
      </c>
      <c r="B267" s="153" t="s">
        <v>67</v>
      </c>
      <c r="C267" s="248" t="s">
        <v>77</v>
      </c>
      <c r="D267" s="248" t="s">
        <v>78</v>
      </c>
      <c r="E267" s="166" t="s">
        <v>79</v>
      </c>
      <c r="F267" s="165"/>
      <c r="G267" s="164"/>
      <c r="H267" s="164"/>
      <c r="I267" s="164"/>
      <c r="J267" s="164"/>
      <c r="K267" s="164">
        <f t="shared" si="31"/>
        <v>0</v>
      </c>
      <c r="L267" s="164">
        <f t="shared" si="32"/>
        <v>0</v>
      </c>
      <c r="M267" s="164">
        <v>427.5</v>
      </c>
      <c r="N267" s="164">
        <f>+M267*1000/(45*10*14*60)*T267</f>
        <v>5.6547619047619051</v>
      </c>
      <c r="O267" s="164"/>
      <c r="P267" s="164">
        <f t="shared" si="34"/>
        <v>0</v>
      </c>
      <c r="Q267" s="164"/>
      <c r="R267" s="19">
        <f t="shared" si="35"/>
        <v>0</v>
      </c>
      <c r="S267" s="164">
        <f t="shared" si="36"/>
        <v>0</v>
      </c>
      <c r="T267" s="20">
        <v>5</v>
      </c>
      <c r="U267" s="20"/>
      <c r="V267" s="161" t="str">
        <f t="array" ref="V267">IF(ISERROR(L267/K267),"",L267/K267)</f>
        <v/>
      </c>
      <c r="W267" s="20"/>
      <c r="X267" s="20"/>
      <c r="Y267" s="20"/>
      <c r="Z267" s="20"/>
      <c r="AA267" s="20"/>
      <c r="AB267" s="20"/>
      <c r="AC267" s="20"/>
    </row>
    <row r="268" spans="1:29" s="2" customFormat="1" ht="21.95" customHeight="1">
      <c r="A268" s="160">
        <v>300045</v>
      </c>
      <c r="B268" s="153" t="s">
        <v>67</v>
      </c>
      <c r="C268" s="248" t="s">
        <v>77</v>
      </c>
      <c r="D268" s="248" t="s">
        <v>78</v>
      </c>
      <c r="E268" s="166" t="s">
        <v>35</v>
      </c>
      <c r="F268" s="165"/>
      <c r="G268" s="164"/>
      <c r="H268" s="164"/>
      <c r="I268" s="164"/>
      <c r="J268" s="164"/>
      <c r="K268" s="164">
        <f t="shared" si="31"/>
        <v>0</v>
      </c>
      <c r="L268" s="164">
        <f t="shared" si="32"/>
        <v>0</v>
      </c>
      <c r="M268" s="164">
        <v>406.6</v>
      </c>
      <c r="N268" s="164">
        <f>+M268*1000/(45*10*13*60)*T268</f>
        <v>5.7920227920227916</v>
      </c>
      <c r="O268" s="164"/>
      <c r="P268" s="164">
        <f t="shared" si="34"/>
        <v>0</v>
      </c>
      <c r="Q268" s="164"/>
      <c r="R268" s="19">
        <f t="shared" si="35"/>
        <v>0</v>
      </c>
      <c r="S268" s="164">
        <f t="shared" si="36"/>
        <v>0</v>
      </c>
      <c r="T268" s="20">
        <v>5</v>
      </c>
      <c r="U268" s="20"/>
      <c r="V268" s="161" t="str">
        <f t="array" ref="V268">IF(ISERROR(L268/K268),"",L268/K268)</f>
        <v/>
      </c>
      <c r="W268" s="20"/>
      <c r="X268" s="20"/>
      <c r="Y268" s="20"/>
      <c r="Z268" s="20"/>
      <c r="AA268" s="20"/>
      <c r="AB268" s="20"/>
      <c r="AC268" s="20"/>
    </row>
    <row r="269" spans="1:29" s="2" customFormat="1" ht="21.95" customHeight="1">
      <c r="A269" s="160">
        <v>300422</v>
      </c>
      <c r="B269" s="153" t="s">
        <v>67</v>
      </c>
      <c r="C269" s="259" t="s">
        <v>301</v>
      </c>
      <c r="D269" s="260"/>
      <c r="E269" s="166" t="s">
        <v>54</v>
      </c>
      <c r="F269" s="165"/>
      <c r="G269" s="110"/>
      <c r="H269" s="110"/>
      <c r="I269" s="110"/>
      <c r="J269" s="110"/>
      <c r="K269" s="164">
        <f t="shared" si="31"/>
        <v>0</v>
      </c>
      <c r="L269" s="164">
        <f t="shared" si="32"/>
        <v>0</v>
      </c>
      <c r="M269" s="164">
        <v>429.8</v>
      </c>
      <c r="N269" s="164">
        <f>+M269*1000/(45*10*13*60)*T269</f>
        <v>3.6735042735042738</v>
      </c>
      <c r="O269" s="164"/>
      <c r="P269" s="164">
        <f t="shared" si="34"/>
        <v>0</v>
      </c>
      <c r="Q269" s="164"/>
      <c r="R269" s="19">
        <f t="shared" si="35"/>
        <v>0</v>
      </c>
      <c r="S269" s="164">
        <f t="shared" si="36"/>
        <v>0</v>
      </c>
      <c r="T269" s="20">
        <v>3</v>
      </c>
      <c r="U269" s="20"/>
      <c r="V269" s="161"/>
      <c r="W269" s="20"/>
      <c r="X269" s="20"/>
      <c r="Y269" s="20"/>
      <c r="Z269" s="20"/>
      <c r="AA269" s="20"/>
      <c r="AB269" s="20"/>
      <c r="AC269" s="20"/>
    </row>
    <row r="270" spans="1:29" s="2" customFormat="1" ht="21.95" customHeight="1">
      <c r="A270" s="160">
        <v>300421</v>
      </c>
      <c r="B270" s="153" t="s">
        <v>67</v>
      </c>
      <c r="C270" s="259" t="s">
        <v>301</v>
      </c>
      <c r="D270" s="260"/>
      <c r="E270" s="166" t="s">
        <v>80</v>
      </c>
      <c r="F270" s="165"/>
      <c r="G270" s="110"/>
      <c r="H270" s="110"/>
      <c r="I270" s="110"/>
      <c r="J270" s="110"/>
      <c r="K270" s="164">
        <f t="shared" si="31"/>
        <v>0</v>
      </c>
      <c r="L270" s="164">
        <f t="shared" si="32"/>
        <v>0</v>
      </c>
      <c r="M270" s="164">
        <v>429.8</v>
      </c>
      <c r="N270" s="164">
        <f>+M270*1000/(45*10*13*60)*T270</f>
        <v>3.6735042735042738</v>
      </c>
      <c r="O270" s="164"/>
      <c r="P270" s="164">
        <f t="shared" si="34"/>
        <v>0</v>
      </c>
      <c r="Q270" s="164"/>
      <c r="R270" s="19">
        <f t="shared" si="35"/>
        <v>0</v>
      </c>
      <c r="S270" s="164">
        <f t="shared" si="36"/>
        <v>0</v>
      </c>
      <c r="T270" s="20">
        <v>3</v>
      </c>
      <c r="U270" s="20"/>
      <c r="V270" s="161"/>
      <c r="W270" s="20"/>
      <c r="X270" s="20"/>
      <c r="Y270" s="20"/>
      <c r="Z270" s="20"/>
      <c r="AA270" s="20"/>
      <c r="AB270" s="20"/>
      <c r="AC270" s="20"/>
    </row>
    <row r="271" spans="1:29" s="2" customFormat="1" ht="21.95" customHeight="1">
      <c r="A271" s="160">
        <v>300149</v>
      </c>
      <c r="B271" s="153" t="s">
        <v>67</v>
      </c>
      <c r="C271" s="248" t="s">
        <v>81</v>
      </c>
      <c r="D271" s="248" t="s">
        <v>82</v>
      </c>
      <c r="E271" s="166" t="s">
        <v>80</v>
      </c>
      <c r="F271" s="165"/>
      <c r="G271" s="164"/>
      <c r="H271" s="164"/>
      <c r="I271" s="164"/>
      <c r="J271" s="164"/>
      <c r="K271" s="164">
        <f t="shared" si="31"/>
        <v>0</v>
      </c>
      <c r="L271" s="164">
        <f t="shared" si="32"/>
        <v>0</v>
      </c>
      <c r="M271" s="164">
        <v>589.1</v>
      </c>
      <c r="N271" s="164">
        <f>+M271*1000/(67.1*10*13*60)*T271</f>
        <v>3.3767052619511633</v>
      </c>
      <c r="O271" s="164"/>
      <c r="P271" s="164">
        <f t="shared" si="34"/>
        <v>0</v>
      </c>
      <c r="Q271" s="164"/>
      <c r="R271" s="19">
        <f t="shared" si="35"/>
        <v>0</v>
      </c>
      <c r="S271" s="164">
        <f t="shared" si="36"/>
        <v>0</v>
      </c>
      <c r="T271" s="20">
        <v>3</v>
      </c>
      <c r="U271" s="20"/>
      <c r="V271" s="161" t="str">
        <f t="array" ref="V271">IF(ISERROR(L271/K271),"",L271/K271)</f>
        <v/>
      </c>
      <c r="W271" s="20"/>
      <c r="X271" s="20"/>
      <c r="Y271" s="20"/>
      <c r="Z271" s="20"/>
      <c r="AA271" s="20"/>
      <c r="AB271" s="20"/>
      <c r="AC271" s="20"/>
    </row>
    <row r="272" spans="1:29" s="2" customFormat="1" ht="21.95" customHeight="1">
      <c r="A272" s="160">
        <v>300150</v>
      </c>
      <c r="B272" s="153" t="s">
        <v>67</v>
      </c>
      <c r="C272" s="248" t="s">
        <v>81</v>
      </c>
      <c r="D272" s="248" t="s">
        <v>82</v>
      </c>
      <c r="E272" s="166" t="s">
        <v>54</v>
      </c>
      <c r="F272" s="165"/>
      <c r="G272" s="164"/>
      <c r="H272" s="164"/>
      <c r="I272" s="164"/>
      <c r="J272" s="164"/>
      <c r="K272" s="164">
        <f t="shared" si="31"/>
        <v>0</v>
      </c>
      <c r="L272" s="164">
        <f t="shared" si="32"/>
        <v>0</v>
      </c>
      <c r="M272" s="164">
        <v>589.1</v>
      </c>
      <c r="N272" s="164">
        <f>+M272*1000/(67.1*10*13*60)*T272</f>
        <v>3.3767052619511633</v>
      </c>
      <c r="O272" s="164"/>
      <c r="P272" s="164">
        <f t="shared" si="34"/>
        <v>0</v>
      </c>
      <c r="Q272" s="164"/>
      <c r="R272" s="19">
        <f t="shared" si="35"/>
        <v>0</v>
      </c>
      <c r="S272" s="164">
        <f t="shared" si="36"/>
        <v>0</v>
      </c>
      <c r="T272" s="20">
        <v>3</v>
      </c>
      <c r="U272" s="20"/>
      <c r="V272" s="161" t="str">
        <f t="array" ref="V272">IF(ISERROR(L272/K272),"",L272/K272)</f>
        <v/>
      </c>
      <c r="W272" s="20"/>
      <c r="X272" s="20"/>
      <c r="Y272" s="20"/>
      <c r="Z272" s="20"/>
      <c r="AA272" s="20"/>
      <c r="AB272" s="20"/>
      <c r="AC272" s="20"/>
    </row>
    <row r="273" spans="1:29" s="2" customFormat="1" ht="21.95" customHeight="1">
      <c r="A273" s="160">
        <v>300330</v>
      </c>
      <c r="B273" s="153" t="s">
        <v>67</v>
      </c>
      <c r="C273" s="259" t="s">
        <v>83</v>
      </c>
      <c r="D273" s="260"/>
      <c r="E273" s="166" t="s">
        <v>84</v>
      </c>
      <c r="F273" s="165"/>
      <c r="G273" s="164"/>
      <c r="H273" s="164"/>
      <c r="I273" s="164"/>
      <c r="J273" s="164"/>
      <c r="K273" s="164">
        <f t="shared" si="31"/>
        <v>0</v>
      </c>
      <c r="L273" s="164">
        <f t="shared" si="32"/>
        <v>0</v>
      </c>
      <c r="M273" s="164">
        <v>416.3</v>
      </c>
      <c r="N273" s="164">
        <f t="shared" ref="N273:N278" si="37">+M273*1000/(45*10*18*60)*T273</f>
        <v>1.7131687242798355</v>
      </c>
      <c r="O273" s="164"/>
      <c r="P273" s="164">
        <f t="shared" si="34"/>
        <v>0</v>
      </c>
      <c r="Q273" s="164"/>
      <c r="R273" s="19">
        <f t="shared" si="35"/>
        <v>0</v>
      </c>
      <c r="S273" s="164">
        <f t="shared" si="36"/>
        <v>0</v>
      </c>
      <c r="T273" s="20">
        <v>2</v>
      </c>
      <c r="U273" s="20"/>
      <c r="V273" s="161" t="str">
        <f t="array" ref="V273">IF(ISERROR(L273/K273),"",L273/K273)</f>
        <v/>
      </c>
      <c r="W273" s="20"/>
      <c r="X273" s="20"/>
      <c r="Y273" s="20"/>
      <c r="Z273" s="20"/>
      <c r="AA273" s="20"/>
      <c r="AB273" s="20"/>
      <c r="AC273" s="20"/>
    </row>
    <row r="274" spans="1:29" s="2" customFormat="1" ht="21.95" customHeight="1">
      <c r="A274" s="160">
        <v>300331</v>
      </c>
      <c r="B274" s="153" t="s">
        <v>67</v>
      </c>
      <c r="C274" s="259" t="s">
        <v>83</v>
      </c>
      <c r="D274" s="260"/>
      <c r="E274" s="166" t="s">
        <v>49</v>
      </c>
      <c r="F274" s="165"/>
      <c r="G274" s="164"/>
      <c r="H274" s="164"/>
      <c r="I274" s="164"/>
      <c r="J274" s="164"/>
      <c r="K274" s="164">
        <f t="shared" si="31"/>
        <v>0</v>
      </c>
      <c r="L274" s="164">
        <f t="shared" si="32"/>
        <v>0</v>
      </c>
      <c r="M274" s="164">
        <v>416.3</v>
      </c>
      <c r="N274" s="164">
        <f t="shared" si="37"/>
        <v>1.7131687242798355</v>
      </c>
      <c r="O274" s="164"/>
      <c r="P274" s="164">
        <f t="shared" si="34"/>
        <v>0</v>
      </c>
      <c r="Q274" s="164"/>
      <c r="R274" s="19">
        <f t="shared" si="35"/>
        <v>0</v>
      </c>
      <c r="S274" s="164">
        <f t="shared" si="36"/>
        <v>0</v>
      </c>
      <c r="T274" s="20">
        <v>2</v>
      </c>
      <c r="U274" s="20"/>
      <c r="V274" s="161"/>
      <c r="W274" s="20"/>
      <c r="X274" s="20"/>
      <c r="Y274" s="20"/>
      <c r="Z274" s="20"/>
      <c r="AA274" s="20"/>
      <c r="AB274" s="20"/>
      <c r="AC274" s="20"/>
    </row>
    <row r="275" spans="1:29" s="2" customFormat="1" ht="21.95" customHeight="1">
      <c r="A275" s="160">
        <v>300332</v>
      </c>
      <c r="B275" s="153" t="s">
        <v>67</v>
      </c>
      <c r="C275" s="259" t="s">
        <v>83</v>
      </c>
      <c r="D275" s="260"/>
      <c r="E275" s="166" t="s">
        <v>85</v>
      </c>
      <c r="F275" s="165"/>
      <c r="G275" s="164"/>
      <c r="H275" s="164"/>
      <c r="I275" s="164"/>
      <c r="J275" s="164"/>
      <c r="K275" s="164">
        <f t="shared" si="31"/>
        <v>0</v>
      </c>
      <c r="L275" s="164">
        <f t="shared" si="32"/>
        <v>0</v>
      </c>
      <c r="M275" s="164">
        <v>416.3</v>
      </c>
      <c r="N275" s="164">
        <f t="shared" si="37"/>
        <v>1.7131687242798355</v>
      </c>
      <c r="O275" s="164"/>
      <c r="P275" s="164">
        <f t="shared" si="34"/>
        <v>0</v>
      </c>
      <c r="Q275" s="164"/>
      <c r="R275" s="19">
        <f t="shared" si="35"/>
        <v>0</v>
      </c>
      <c r="S275" s="164">
        <f t="shared" si="36"/>
        <v>0</v>
      </c>
      <c r="T275" s="20">
        <v>2</v>
      </c>
      <c r="U275" s="20"/>
      <c r="V275" s="161"/>
      <c r="W275" s="20"/>
      <c r="X275" s="20"/>
      <c r="Y275" s="20"/>
      <c r="Z275" s="20"/>
      <c r="AA275" s="20"/>
      <c r="AB275" s="20"/>
      <c r="AC275" s="20"/>
    </row>
    <row r="276" spans="1:29" s="2" customFormat="1" ht="21.95" customHeight="1">
      <c r="A276" s="160">
        <v>300333</v>
      </c>
      <c r="B276" s="153" t="s">
        <v>67</v>
      </c>
      <c r="C276" s="259" t="s">
        <v>86</v>
      </c>
      <c r="D276" s="260"/>
      <c r="E276" s="166" t="s">
        <v>84</v>
      </c>
      <c r="F276" s="165"/>
      <c r="G276" s="164"/>
      <c r="H276" s="164"/>
      <c r="I276" s="164"/>
      <c r="J276" s="164"/>
      <c r="K276" s="164">
        <f t="shared" si="31"/>
        <v>0</v>
      </c>
      <c r="L276" s="164">
        <f t="shared" si="32"/>
        <v>0</v>
      </c>
      <c r="M276" s="164">
        <v>416.3</v>
      </c>
      <c r="N276" s="164">
        <f t="shared" si="37"/>
        <v>1.7131687242798355</v>
      </c>
      <c r="O276" s="164"/>
      <c r="P276" s="164">
        <f t="shared" si="34"/>
        <v>0</v>
      </c>
      <c r="Q276" s="164"/>
      <c r="R276" s="19">
        <f t="shared" si="35"/>
        <v>0</v>
      </c>
      <c r="S276" s="164">
        <f t="shared" si="36"/>
        <v>0</v>
      </c>
      <c r="T276" s="20">
        <v>2</v>
      </c>
      <c r="U276" s="20"/>
      <c r="V276" s="161"/>
      <c r="W276" s="20"/>
      <c r="X276" s="20"/>
      <c r="Y276" s="20"/>
      <c r="Z276" s="20"/>
      <c r="AA276" s="20"/>
      <c r="AB276" s="20"/>
      <c r="AC276" s="20"/>
    </row>
    <row r="277" spans="1:29" s="2" customFormat="1" ht="21.95" customHeight="1">
      <c r="A277" s="160">
        <v>300334</v>
      </c>
      <c r="B277" s="153" t="s">
        <v>67</v>
      </c>
      <c r="C277" s="259" t="s">
        <v>86</v>
      </c>
      <c r="D277" s="260"/>
      <c r="E277" s="166" t="s">
        <v>85</v>
      </c>
      <c r="F277" s="165"/>
      <c r="G277" s="164"/>
      <c r="H277" s="164"/>
      <c r="I277" s="164"/>
      <c r="J277" s="164"/>
      <c r="K277" s="164">
        <f t="shared" si="31"/>
        <v>0</v>
      </c>
      <c r="L277" s="164">
        <f t="shared" si="32"/>
        <v>0</v>
      </c>
      <c r="M277" s="164">
        <v>416.3</v>
      </c>
      <c r="N277" s="164">
        <f t="shared" si="37"/>
        <v>1.7131687242798355</v>
      </c>
      <c r="O277" s="164"/>
      <c r="P277" s="164">
        <f t="shared" si="34"/>
        <v>0</v>
      </c>
      <c r="Q277" s="164"/>
      <c r="R277" s="19">
        <f t="shared" si="35"/>
        <v>0</v>
      </c>
      <c r="S277" s="164">
        <f t="shared" si="36"/>
        <v>0</v>
      </c>
      <c r="T277" s="20">
        <v>2</v>
      </c>
      <c r="U277" s="20"/>
      <c r="V277" s="161"/>
      <c r="W277" s="20"/>
      <c r="X277" s="20"/>
      <c r="Y277" s="20"/>
      <c r="Z277" s="20"/>
      <c r="AA277" s="20"/>
      <c r="AB277" s="20"/>
      <c r="AC277" s="20"/>
    </row>
    <row r="278" spans="1:29" s="2" customFormat="1" ht="21.95" customHeight="1">
      <c r="A278" s="160">
        <v>300335</v>
      </c>
      <c r="B278" s="153" t="s">
        <v>67</v>
      </c>
      <c r="C278" s="259" t="s">
        <v>86</v>
      </c>
      <c r="D278" s="260"/>
      <c r="E278" s="166" t="s">
        <v>49</v>
      </c>
      <c r="F278" s="165"/>
      <c r="G278" s="164"/>
      <c r="H278" s="164"/>
      <c r="I278" s="164"/>
      <c r="J278" s="164"/>
      <c r="K278" s="164">
        <f t="shared" si="31"/>
        <v>0</v>
      </c>
      <c r="L278" s="164">
        <f t="shared" si="32"/>
        <v>0</v>
      </c>
      <c r="M278" s="164">
        <v>416.3</v>
      </c>
      <c r="N278" s="164">
        <f t="shared" si="37"/>
        <v>1.7131687242798355</v>
      </c>
      <c r="O278" s="164"/>
      <c r="P278" s="164">
        <f t="shared" si="34"/>
        <v>0</v>
      </c>
      <c r="Q278" s="164"/>
      <c r="R278" s="19">
        <f t="shared" si="35"/>
        <v>0</v>
      </c>
      <c r="S278" s="164">
        <f t="shared" si="36"/>
        <v>0</v>
      </c>
      <c r="T278" s="20">
        <v>2</v>
      </c>
      <c r="U278" s="20"/>
      <c r="V278" s="161"/>
      <c r="W278" s="20"/>
      <c r="X278" s="20"/>
      <c r="Y278" s="20"/>
      <c r="Z278" s="20"/>
      <c r="AA278" s="20"/>
      <c r="AB278" s="20"/>
      <c r="AC278" s="20"/>
    </row>
    <row r="279" spans="1:29" s="2" customFormat="1" ht="21.95" customHeight="1">
      <c r="A279" s="160">
        <v>300291</v>
      </c>
      <c r="B279" s="153" t="s">
        <v>87</v>
      </c>
      <c r="C279" s="248" t="s">
        <v>88</v>
      </c>
      <c r="D279" s="248" t="s">
        <v>89</v>
      </c>
      <c r="E279" s="166" t="s">
        <v>42</v>
      </c>
      <c r="F279" s="165"/>
      <c r="G279" s="164"/>
      <c r="H279" s="164"/>
      <c r="I279" s="164"/>
      <c r="J279" s="164"/>
      <c r="K279" s="164">
        <f t="shared" si="31"/>
        <v>0</v>
      </c>
      <c r="L279" s="164">
        <f t="shared" si="32"/>
        <v>0</v>
      </c>
      <c r="M279" s="164">
        <v>517.79999999999995</v>
      </c>
      <c r="N279" s="164">
        <f>+M279*1000/(66.6*1*110*60)*T279</f>
        <v>4.7119847119847122</v>
      </c>
      <c r="O279" s="164"/>
      <c r="P279" s="164">
        <f t="shared" si="34"/>
        <v>0</v>
      </c>
      <c r="Q279" s="164"/>
      <c r="R279" s="19">
        <f t="shared" si="35"/>
        <v>0</v>
      </c>
      <c r="S279" s="164">
        <f t="shared" si="36"/>
        <v>0</v>
      </c>
      <c r="T279" s="20">
        <v>4</v>
      </c>
      <c r="U279" s="20"/>
      <c r="V279" s="161" t="str">
        <f t="array" ref="V279">IF(ISERROR(L279/K279),"",L279/K279)</f>
        <v/>
      </c>
      <c r="W279" s="20"/>
      <c r="X279" s="20"/>
      <c r="Y279" s="20"/>
      <c r="Z279" s="20"/>
      <c r="AA279" s="20"/>
      <c r="AB279" s="20"/>
      <c r="AC279" s="20"/>
    </row>
    <row r="280" spans="1:29" s="2" customFormat="1" ht="21.95" customHeight="1">
      <c r="A280" s="160">
        <v>300292</v>
      </c>
      <c r="B280" s="153" t="s">
        <v>87</v>
      </c>
      <c r="C280" s="248" t="s">
        <v>88</v>
      </c>
      <c r="D280" s="248" t="s">
        <v>89</v>
      </c>
      <c r="E280" s="166" t="s">
        <v>41</v>
      </c>
      <c r="F280" s="165"/>
      <c r="G280" s="164"/>
      <c r="H280" s="164"/>
      <c r="I280" s="164"/>
      <c r="J280" s="164"/>
      <c r="K280" s="164">
        <f t="shared" si="31"/>
        <v>0</v>
      </c>
      <c r="L280" s="164">
        <f t="shared" si="32"/>
        <v>0</v>
      </c>
      <c r="M280" s="164">
        <v>517.79999999999995</v>
      </c>
      <c r="N280" s="164">
        <f>+M280*1000/(66.8*1*110*60)*T280</f>
        <v>4.6978769733260748</v>
      </c>
      <c r="O280" s="164"/>
      <c r="P280" s="164">
        <f t="shared" si="34"/>
        <v>0</v>
      </c>
      <c r="Q280" s="164"/>
      <c r="R280" s="19">
        <f t="shared" si="35"/>
        <v>0</v>
      </c>
      <c r="S280" s="164">
        <f t="shared" si="36"/>
        <v>0</v>
      </c>
      <c r="T280" s="20">
        <v>4</v>
      </c>
      <c r="U280" s="20"/>
      <c r="V280" s="161" t="str">
        <f t="array" ref="V280">IF(ISERROR(L280/K280),"",L280/K280)</f>
        <v/>
      </c>
      <c r="W280" s="20"/>
      <c r="X280" s="20"/>
      <c r="Y280" s="20"/>
      <c r="Z280" s="20"/>
      <c r="AA280" s="20"/>
      <c r="AB280" s="20"/>
      <c r="AC280" s="20"/>
    </row>
    <row r="281" spans="1:29" s="2" customFormat="1" ht="21.95" customHeight="1">
      <c r="A281" s="160">
        <v>300293</v>
      </c>
      <c r="B281" s="153" t="s">
        <v>87</v>
      </c>
      <c r="C281" s="248" t="s">
        <v>88</v>
      </c>
      <c r="D281" s="248" t="s">
        <v>89</v>
      </c>
      <c r="E281" s="166" t="s">
        <v>57</v>
      </c>
      <c r="F281" s="165"/>
      <c r="G281" s="164"/>
      <c r="H281" s="164"/>
      <c r="I281" s="164"/>
      <c r="J281" s="164"/>
      <c r="K281" s="164">
        <f t="shared" si="31"/>
        <v>0</v>
      </c>
      <c r="L281" s="164">
        <f t="shared" si="32"/>
        <v>0</v>
      </c>
      <c r="M281" s="164">
        <v>517.9</v>
      </c>
      <c r="N281" s="164">
        <f>+M281*1000/(67.1*1*110*60)*T281</f>
        <v>4.6777762724111467</v>
      </c>
      <c r="O281" s="164"/>
      <c r="P281" s="164">
        <f t="shared" si="34"/>
        <v>0</v>
      </c>
      <c r="Q281" s="164"/>
      <c r="R281" s="19">
        <f t="shared" si="35"/>
        <v>0</v>
      </c>
      <c r="S281" s="164">
        <f t="shared" si="36"/>
        <v>0</v>
      </c>
      <c r="T281" s="20">
        <v>4</v>
      </c>
      <c r="U281" s="20"/>
      <c r="V281" s="161" t="str">
        <f t="array" ref="V281">IF(ISERROR(L281/K281),"",L281/K281)</f>
        <v/>
      </c>
      <c r="W281" s="20"/>
      <c r="X281" s="20"/>
      <c r="Y281" s="20"/>
      <c r="Z281" s="20"/>
      <c r="AA281" s="20"/>
      <c r="AB281" s="20"/>
      <c r="AC281" s="20"/>
    </row>
    <row r="282" spans="1:29" s="2" customFormat="1" ht="21.95" customHeight="1">
      <c r="A282" s="160">
        <v>300290</v>
      </c>
      <c r="B282" s="153" t="s">
        <v>87</v>
      </c>
      <c r="C282" s="248" t="s">
        <v>88</v>
      </c>
      <c r="D282" s="248" t="s">
        <v>89</v>
      </c>
      <c r="E282" s="166" t="s">
        <v>35</v>
      </c>
      <c r="F282" s="165"/>
      <c r="G282" s="164"/>
      <c r="H282" s="164"/>
      <c r="I282" s="164"/>
      <c r="J282" s="164"/>
      <c r="K282" s="164">
        <f t="shared" si="31"/>
        <v>0</v>
      </c>
      <c r="L282" s="164">
        <f t="shared" si="32"/>
        <v>0</v>
      </c>
      <c r="M282" s="164">
        <v>520</v>
      </c>
      <c r="N282" s="164">
        <f>+M282*1000/(67.5*1*110*60)*T282</f>
        <v>4.6689113355780023</v>
      </c>
      <c r="O282" s="164"/>
      <c r="P282" s="164">
        <f t="shared" si="34"/>
        <v>0</v>
      </c>
      <c r="Q282" s="164"/>
      <c r="R282" s="19">
        <f t="shared" si="35"/>
        <v>0</v>
      </c>
      <c r="S282" s="164">
        <f t="shared" si="36"/>
        <v>0</v>
      </c>
      <c r="T282" s="20">
        <v>4</v>
      </c>
      <c r="U282" s="20"/>
      <c r="V282" s="161" t="str">
        <f t="array" ref="V282">IF(ISERROR(L282/K282),"",L282/K282)</f>
        <v/>
      </c>
      <c r="W282" s="20"/>
      <c r="X282" s="20"/>
      <c r="Y282" s="20"/>
      <c r="Z282" s="20"/>
      <c r="AA282" s="20"/>
      <c r="AB282" s="20"/>
      <c r="AC282" s="20"/>
    </row>
    <row r="283" spans="1:29" s="2" customFormat="1" ht="21.95" customHeight="1">
      <c r="A283" s="160">
        <v>300389</v>
      </c>
      <c r="B283" s="153" t="s">
        <v>87</v>
      </c>
      <c r="C283" s="248" t="s">
        <v>316</v>
      </c>
      <c r="D283" s="248" t="s">
        <v>89</v>
      </c>
      <c r="E283" s="166" t="s">
        <v>35</v>
      </c>
      <c r="F283" s="165"/>
      <c r="G283" s="164"/>
      <c r="H283" s="164"/>
      <c r="I283" s="164"/>
      <c r="J283" s="164"/>
      <c r="K283" s="164">
        <f t="shared" si="31"/>
        <v>0</v>
      </c>
      <c r="L283" s="164">
        <f t="shared" si="32"/>
        <v>0</v>
      </c>
      <c r="M283" s="164">
        <v>429.4</v>
      </c>
      <c r="N283" s="164">
        <f>+M283*1000/(47*1*110*60)*T283</f>
        <v>5.5370728562217923</v>
      </c>
      <c r="O283" s="164"/>
      <c r="P283" s="164">
        <f t="shared" si="34"/>
        <v>0</v>
      </c>
      <c r="Q283" s="164"/>
      <c r="R283" s="19">
        <f t="shared" si="35"/>
        <v>0</v>
      </c>
      <c r="S283" s="164">
        <f t="shared" si="36"/>
        <v>0</v>
      </c>
      <c r="T283" s="20">
        <v>4</v>
      </c>
      <c r="U283" s="20"/>
      <c r="V283" s="161" t="str">
        <f t="array" ref="V283">IF(ISERROR(L283/K283),"",L283/K283)</f>
        <v/>
      </c>
      <c r="W283" s="20"/>
      <c r="X283" s="20"/>
      <c r="Y283" s="20"/>
      <c r="Z283" s="20"/>
      <c r="AA283" s="20"/>
      <c r="AB283" s="20"/>
      <c r="AC283" s="20"/>
    </row>
    <row r="284" spans="1:29" s="2" customFormat="1" ht="21.95" customHeight="1">
      <c r="A284" s="160">
        <v>300058</v>
      </c>
      <c r="B284" s="153" t="s">
        <v>87</v>
      </c>
      <c r="C284" s="248" t="s">
        <v>316</v>
      </c>
      <c r="D284" s="248" t="s">
        <v>89</v>
      </c>
      <c r="E284" s="166" t="s">
        <v>42</v>
      </c>
      <c r="F284" s="165"/>
      <c r="G284" s="164"/>
      <c r="H284" s="164"/>
      <c r="I284" s="164"/>
      <c r="J284" s="164"/>
      <c r="K284" s="164">
        <f t="shared" si="31"/>
        <v>0</v>
      </c>
      <c r="L284" s="164">
        <f t="shared" si="32"/>
        <v>0</v>
      </c>
      <c r="M284" s="164">
        <v>419.2</v>
      </c>
      <c r="N284" s="164">
        <f>+M284*1000/(51.5*1*110*60)*T284</f>
        <v>4.9332156516622536</v>
      </c>
      <c r="O284" s="164"/>
      <c r="P284" s="164">
        <f t="shared" si="34"/>
        <v>0</v>
      </c>
      <c r="Q284" s="164"/>
      <c r="R284" s="19">
        <f t="shared" si="35"/>
        <v>0</v>
      </c>
      <c r="S284" s="164">
        <f t="shared" si="36"/>
        <v>0</v>
      </c>
      <c r="T284" s="20">
        <v>4</v>
      </c>
      <c r="U284" s="20"/>
      <c r="V284" s="161" t="str">
        <f t="array" ref="V284">IF(ISERROR(L284/K284),"",L284/K284)</f>
        <v/>
      </c>
      <c r="W284" s="20"/>
      <c r="X284" s="20"/>
      <c r="Y284" s="20"/>
      <c r="Z284" s="20"/>
      <c r="AA284" s="20"/>
      <c r="AB284" s="20"/>
      <c r="AC284" s="20"/>
    </row>
    <row r="285" spans="1:29" s="2" customFormat="1" ht="21.95" customHeight="1">
      <c r="A285" s="160">
        <v>300061</v>
      </c>
      <c r="B285" s="153" t="s">
        <v>87</v>
      </c>
      <c r="C285" s="248" t="s">
        <v>317</v>
      </c>
      <c r="D285" s="248" t="s">
        <v>96</v>
      </c>
      <c r="E285" s="166" t="s">
        <v>41</v>
      </c>
      <c r="F285" s="165"/>
      <c r="G285" s="164"/>
      <c r="H285" s="164"/>
      <c r="I285" s="164"/>
      <c r="J285" s="164"/>
      <c r="K285" s="164">
        <f t="shared" si="31"/>
        <v>0</v>
      </c>
      <c r="L285" s="164">
        <f t="shared" si="32"/>
        <v>0</v>
      </c>
      <c r="M285" s="164">
        <v>418.4</v>
      </c>
      <c r="N285" s="164">
        <f>+M285*1000/(51*1*110*60)*T285</f>
        <v>4.9720736779560308</v>
      </c>
      <c r="O285" s="164"/>
      <c r="P285" s="164">
        <f t="shared" si="34"/>
        <v>0</v>
      </c>
      <c r="Q285" s="164"/>
      <c r="R285" s="19">
        <f t="shared" si="35"/>
        <v>0</v>
      </c>
      <c r="S285" s="164">
        <f t="shared" si="36"/>
        <v>0</v>
      </c>
      <c r="T285" s="20">
        <v>4</v>
      </c>
      <c r="U285" s="20"/>
      <c r="V285" s="161" t="str">
        <f t="array" ref="V285">IF(ISERROR(L285/K285),"",L285/K285)</f>
        <v/>
      </c>
      <c r="W285" s="20"/>
      <c r="X285" s="20"/>
      <c r="Y285" s="20"/>
      <c r="Z285" s="20"/>
      <c r="AA285" s="20"/>
      <c r="AB285" s="20"/>
      <c r="AC285" s="20"/>
    </row>
    <row r="286" spans="1:29" s="2" customFormat="1" ht="21.95" customHeight="1">
      <c r="A286" s="160">
        <v>300064</v>
      </c>
      <c r="B286" s="153">
        <v>5002</v>
      </c>
      <c r="C286" s="248" t="s">
        <v>317</v>
      </c>
      <c r="D286" s="248" t="s">
        <v>96</v>
      </c>
      <c r="E286" s="166" t="s">
        <v>35</v>
      </c>
      <c r="F286" s="165"/>
      <c r="G286" s="164"/>
      <c r="H286" s="164"/>
      <c r="I286" s="164"/>
      <c r="J286" s="164"/>
      <c r="K286" s="164">
        <f t="shared" ref="K286:K362" si="38">G286*M286</f>
        <v>0</v>
      </c>
      <c r="L286" s="164">
        <f t="shared" ref="L286:L362" si="39">I286*M286</f>
        <v>0</v>
      </c>
      <c r="M286" s="164">
        <v>419.2</v>
      </c>
      <c r="N286" s="164">
        <f>+M286*1000/(51.9*1*110*60)*T286</f>
        <v>4.8951947217843168</v>
      </c>
      <c r="O286" s="164"/>
      <c r="P286" s="164">
        <f t="shared" ref="P286:P362" si="40">N286*I286+O286*U286</f>
        <v>0</v>
      </c>
      <c r="Q286" s="164"/>
      <c r="R286" s="19">
        <f t="shared" ref="R286:R362" si="41">Q286*U286</f>
        <v>0</v>
      </c>
      <c r="S286" s="164">
        <f t="shared" ref="S286:S362" si="42">R286-P286</f>
        <v>0</v>
      </c>
      <c r="T286" s="20">
        <v>4</v>
      </c>
      <c r="U286" s="20"/>
      <c r="V286" s="161" t="str">
        <f t="array" ref="V286">IF(ISERROR(L286/K286),"",L286/K286)</f>
        <v/>
      </c>
      <c r="W286" s="20"/>
      <c r="X286" s="20"/>
      <c r="Y286" s="20"/>
      <c r="Z286" s="20"/>
      <c r="AA286" s="20"/>
      <c r="AB286" s="20"/>
      <c r="AC286" s="20"/>
    </row>
    <row r="287" spans="1:29" s="2" customFormat="1" ht="21.95" customHeight="1">
      <c r="A287" s="160">
        <v>300060</v>
      </c>
      <c r="B287" s="153" t="s">
        <v>87</v>
      </c>
      <c r="C287" s="248" t="s">
        <v>317</v>
      </c>
      <c r="D287" s="248" t="s">
        <v>96</v>
      </c>
      <c r="E287" s="166" t="s">
        <v>57</v>
      </c>
      <c r="F287" s="165"/>
      <c r="G287" s="164"/>
      <c r="H287" s="164"/>
      <c r="I287" s="164"/>
      <c r="J287" s="164"/>
      <c r="K287" s="164">
        <f t="shared" si="38"/>
        <v>0</v>
      </c>
      <c r="L287" s="164">
        <f t="shared" si="39"/>
        <v>0</v>
      </c>
      <c r="M287" s="164">
        <v>416.9</v>
      </c>
      <c r="N287" s="164">
        <f>+M287*1000/(51*1*110*60)*T287</f>
        <v>4.9542483660130721</v>
      </c>
      <c r="O287" s="164"/>
      <c r="P287" s="164">
        <f t="shared" si="40"/>
        <v>0</v>
      </c>
      <c r="Q287" s="164"/>
      <c r="R287" s="19">
        <f t="shared" si="41"/>
        <v>0</v>
      </c>
      <c r="S287" s="164">
        <f t="shared" si="42"/>
        <v>0</v>
      </c>
      <c r="T287" s="20">
        <v>4</v>
      </c>
      <c r="U287" s="20"/>
      <c r="V287" s="161" t="str">
        <f t="array" ref="V287">IF(ISERROR(L287/K287),"",L287/K287)</f>
        <v/>
      </c>
      <c r="W287" s="20"/>
      <c r="X287" s="20"/>
      <c r="Y287" s="20"/>
      <c r="Z287" s="20"/>
      <c r="AA287" s="20"/>
      <c r="AB287" s="20"/>
      <c r="AC287" s="20"/>
    </row>
    <row r="288" spans="1:29" s="2" customFormat="1" ht="21.95" customHeight="1">
      <c r="A288" s="160">
        <v>300068</v>
      </c>
      <c r="B288" s="153" t="s">
        <v>87</v>
      </c>
      <c r="C288" s="248" t="s">
        <v>98</v>
      </c>
      <c r="D288" s="248" t="s">
        <v>99</v>
      </c>
      <c r="E288" s="166" t="s">
        <v>37</v>
      </c>
      <c r="F288" s="165"/>
      <c r="G288" s="164"/>
      <c r="H288" s="164"/>
      <c r="I288" s="164"/>
      <c r="J288" s="164"/>
      <c r="K288" s="164">
        <f t="shared" si="38"/>
        <v>0</v>
      </c>
      <c r="L288" s="164">
        <f t="shared" si="39"/>
        <v>0</v>
      </c>
      <c r="M288" s="164">
        <v>438.4</v>
      </c>
      <c r="N288" s="164">
        <f>+M288*1000/(50*1*120*60)*T288</f>
        <v>4.8711111111111114</v>
      </c>
      <c r="O288" s="164"/>
      <c r="P288" s="164">
        <f t="shared" si="40"/>
        <v>0</v>
      </c>
      <c r="Q288" s="164"/>
      <c r="R288" s="19">
        <f t="shared" si="41"/>
        <v>0</v>
      </c>
      <c r="S288" s="164">
        <f t="shared" si="42"/>
        <v>0</v>
      </c>
      <c r="T288" s="20">
        <v>4</v>
      </c>
      <c r="U288" s="20"/>
      <c r="V288" s="161" t="str">
        <f t="array" ref="V288">IF(ISERROR(L288/K288),"",L288/K288)</f>
        <v/>
      </c>
      <c r="W288" s="20"/>
      <c r="X288" s="20"/>
      <c r="Y288" s="20"/>
      <c r="Z288" s="20"/>
      <c r="AA288" s="20"/>
      <c r="AB288" s="20"/>
      <c r="AC288" s="20"/>
    </row>
    <row r="289" spans="1:29" s="2" customFormat="1" ht="21.95" customHeight="1">
      <c r="A289" s="160">
        <v>300065</v>
      </c>
      <c r="B289" s="153" t="s">
        <v>87</v>
      </c>
      <c r="C289" s="248" t="s">
        <v>98</v>
      </c>
      <c r="D289" s="248" t="s">
        <v>99</v>
      </c>
      <c r="E289" s="166" t="s">
        <v>35</v>
      </c>
      <c r="F289" s="165"/>
      <c r="G289" s="164"/>
      <c r="H289" s="164"/>
      <c r="I289" s="164"/>
      <c r="J289" s="164"/>
      <c r="K289" s="164">
        <f t="shared" si="38"/>
        <v>0</v>
      </c>
      <c r="L289" s="164">
        <f t="shared" si="39"/>
        <v>0</v>
      </c>
      <c r="M289" s="164">
        <v>438.8</v>
      </c>
      <c r="N289" s="164">
        <f>+M289*1000/(50*1*120*60)*T289</f>
        <v>4.8755555555555556</v>
      </c>
      <c r="O289" s="164"/>
      <c r="P289" s="164">
        <f t="shared" si="40"/>
        <v>0</v>
      </c>
      <c r="Q289" s="164"/>
      <c r="R289" s="19">
        <f t="shared" si="41"/>
        <v>0</v>
      </c>
      <c r="S289" s="164">
        <f t="shared" si="42"/>
        <v>0</v>
      </c>
      <c r="T289" s="20">
        <v>4</v>
      </c>
      <c r="U289" s="160"/>
      <c r="V289" s="161" t="str">
        <f t="array" ref="V289">IF(ISERROR(L289/K289),"",L289/K289)</f>
        <v/>
      </c>
      <c r="W289" s="20"/>
      <c r="X289" s="20"/>
      <c r="Y289" s="20"/>
      <c r="Z289" s="20"/>
      <c r="AA289" s="20"/>
      <c r="AB289" s="20"/>
      <c r="AC289" s="20"/>
    </row>
    <row r="290" spans="1:29" s="2" customFormat="1" ht="21.95" customHeight="1">
      <c r="A290" s="160">
        <v>300066</v>
      </c>
      <c r="B290" s="153" t="s">
        <v>87</v>
      </c>
      <c r="C290" s="248" t="s">
        <v>98</v>
      </c>
      <c r="D290" s="248" t="s">
        <v>99</v>
      </c>
      <c r="E290" s="166" t="s">
        <v>66</v>
      </c>
      <c r="F290" s="165"/>
      <c r="G290" s="164"/>
      <c r="H290" s="164"/>
      <c r="I290" s="164"/>
      <c r="J290" s="164"/>
      <c r="K290" s="164">
        <f t="shared" si="38"/>
        <v>0</v>
      </c>
      <c r="L290" s="164">
        <f t="shared" si="39"/>
        <v>0</v>
      </c>
      <c r="M290" s="164">
        <v>438.4</v>
      </c>
      <c r="N290" s="164">
        <f>+M290*1000/(50*1*120*60)*T290</f>
        <v>4.8711111111111114</v>
      </c>
      <c r="O290" s="164"/>
      <c r="P290" s="164">
        <f t="shared" si="40"/>
        <v>0</v>
      </c>
      <c r="Q290" s="164"/>
      <c r="R290" s="19">
        <f t="shared" si="41"/>
        <v>0</v>
      </c>
      <c r="S290" s="164">
        <f t="shared" si="42"/>
        <v>0</v>
      </c>
      <c r="T290" s="20">
        <v>4</v>
      </c>
      <c r="U290" s="160"/>
      <c r="V290" s="161"/>
      <c r="W290" s="20"/>
      <c r="X290" s="20"/>
      <c r="Y290" s="20"/>
      <c r="Z290" s="20"/>
      <c r="AA290" s="20"/>
      <c r="AB290" s="20"/>
      <c r="AC290" s="20"/>
    </row>
    <row r="291" spans="1:29" s="2" customFormat="1" ht="21.95" customHeight="1">
      <c r="A291" s="160">
        <v>300067</v>
      </c>
      <c r="B291" s="153" t="s">
        <v>87</v>
      </c>
      <c r="C291" s="248" t="s">
        <v>98</v>
      </c>
      <c r="D291" s="248" t="s">
        <v>99</v>
      </c>
      <c r="E291" s="166" t="s">
        <v>41</v>
      </c>
      <c r="F291" s="165"/>
      <c r="G291" s="164"/>
      <c r="H291" s="164"/>
      <c r="I291" s="164"/>
      <c r="J291" s="164"/>
      <c r="K291" s="164">
        <f t="shared" si="38"/>
        <v>0</v>
      </c>
      <c r="L291" s="164">
        <f t="shared" si="39"/>
        <v>0</v>
      </c>
      <c r="M291" s="164">
        <v>438.8</v>
      </c>
      <c r="N291" s="164">
        <f>+M291*1000/(50*1*120*60)*T291</f>
        <v>4.8755555555555556</v>
      </c>
      <c r="O291" s="164"/>
      <c r="P291" s="164">
        <f t="shared" si="40"/>
        <v>0</v>
      </c>
      <c r="Q291" s="164"/>
      <c r="R291" s="19">
        <f t="shared" si="41"/>
        <v>0</v>
      </c>
      <c r="S291" s="164">
        <f t="shared" si="42"/>
        <v>0</v>
      </c>
      <c r="T291" s="20">
        <v>4</v>
      </c>
      <c r="U291" s="20"/>
      <c r="V291" s="161" t="str">
        <f t="array" ref="V291">IF(ISERROR(L291/K291),"",L291/K291)</f>
        <v/>
      </c>
      <c r="W291" s="20"/>
      <c r="X291" s="20"/>
      <c r="Y291" s="20"/>
      <c r="Z291" s="20"/>
      <c r="AA291" s="20"/>
      <c r="AB291" s="20"/>
      <c r="AC291" s="20"/>
    </row>
    <row r="292" spans="1:29" s="132" customFormat="1" ht="21.95" customHeight="1">
      <c r="A292" s="126">
        <v>300437</v>
      </c>
      <c r="B292" s="156" t="s">
        <v>87</v>
      </c>
      <c r="C292" s="261" t="s">
        <v>98</v>
      </c>
      <c r="D292" s="261" t="s">
        <v>99</v>
      </c>
      <c r="E292" s="42" t="s">
        <v>310</v>
      </c>
      <c r="F292" s="127"/>
      <c r="G292" s="128"/>
      <c r="H292" s="128"/>
      <c r="I292" s="128"/>
      <c r="J292" s="128"/>
      <c r="K292" s="15">
        <f t="shared" si="38"/>
        <v>0</v>
      </c>
      <c r="L292" s="15">
        <f t="shared" si="39"/>
        <v>0</v>
      </c>
      <c r="M292" s="15">
        <v>438.8</v>
      </c>
      <c r="N292" s="15">
        <f>+M292*1000/(50*1*120*60)*T292</f>
        <v>4.8755555555555556</v>
      </c>
      <c r="O292" s="15"/>
      <c r="P292" s="15">
        <f t="shared" si="40"/>
        <v>0</v>
      </c>
      <c r="Q292" s="15"/>
      <c r="R292" s="129">
        <f t="shared" si="41"/>
        <v>0</v>
      </c>
      <c r="S292" s="15">
        <f t="shared" si="42"/>
        <v>0</v>
      </c>
      <c r="T292" s="130">
        <v>4</v>
      </c>
      <c r="U292" s="130"/>
      <c r="V292" s="131"/>
      <c r="W292" s="130"/>
      <c r="X292" s="130"/>
      <c r="Y292" s="130"/>
      <c r="Z292" s="130"/>
      <c r="AA292" s="130"/>
      <c r="AB292" s="130"/>
      <c r="AC292" s="130"/>
    </row>
    <row r="293" spans="1:29" s="2" customFormat="1" ht="21.95" customHeight="1">
      <c r="A293" s="160">
        <v>300384</v>
      </c>
      <c r="B293" s="153" t="s">
        <v>87</v>
      </c>
      <c r="C293" s="248" t="s">
        <v>100</v>
      </c>
      <c r="D293" s="248" t="s">
        <v>101</v>
      </c>
      <c r="E293" s="166" t="s">
        <v>35</v>
      </c>
      <c r="F293" s="165"/>
      <c r="G293" s="164"/>
      <c r="H293" s="164"/>
      <c r="I293" s="164"/>
      <c r="J293" s="164"/>
      <c r="K293" s="164">
        <f t="shared" si="38"/>
        <v>0</v>
      </c>
      <c r="L293" s="164">
        <f t="shared" si="39"/>
        <v>0</v>
      </c>
      <c r="M293" s="164">
        <v>415.5</v>
      </c>
      <c r="N293" s="164">
        <f>+M293*1000/(51*1*110*60)*T293</f>
        <v>8.6408199643493759</v>
      </c>
      <c r="O293" s="164"/>
      <c r="P293" s="164">
        <f t="shared" si="40"/>
        <v>0</v>
      </c>
      <c r="Q293" s="164"/>
      <c r="R293" s="19">
        <f t="shared" si="41"/>
        <v>0</v>
      </c>
      <c r="S293" s="164">
        <f t="shared" si="42"/>
        <v>0</v>
      </c>
      <c r="T293" s="20">
        <v>7</v>
      </c>
      <c r="U293" s="20"/>
      <c r="V293" s="161" t="str">
        <f t="array" ref="V293">IF(ISERROR(L293/K293),"",L293/K293)</f>
        <v/>
      </c>
      <c r="W293" s="20"/>
      <c r="X293" s="20"/>
      <c r="Y293" s="20"/>
      <c r="Z293" s="20"/>
      <c r="AA293" s="20"/>
      <c r="AB293" s="20"/>
      <c r="AC293" s="20"/>
    </row>
    <row r="294" spans="1:29" s="2" customFormat="1" ht="21.95" customHeight="1">
      <c r="A294" s="160">
        <v>300383</v>
      </c>
      <c r="B294" s="153" t="s">
        <v>87</v>
      </c>
      <c r="C294" s="248" t="s">
        <v>100</v>
      </c>
      <c r="D294" s="248" t="s">
        <v>102</v>
      </c>
      <c r="E294" s="166" t="s">
        <v>41</v>
      </c>
      <c r="F294" s="165"/>
      <c r="G294" s="164"/>
      <c r="H294" s="164"/>
      <c r="I294" s="164"/>
      <c r="J294" s="164"/>
      <c r="K294" s="164">
        <f t="shared" si="38"/>
        <v>0</v>
      </c>
      <c r="L294" s="164">
        <f t="shared" si="39"/>
        <v>0</v>
      </c>
      <c r="M294" s="164">
        <v>415.5</v>
      </c>
      <c r="N294" s="164">
        <f>+M294*1000/(51*1*110*60)*T294</f>
        <v>8.6408199643493759</v>
      </c>
      <c r="O294" s="164"/>
      <c r="P294" s="164">
        <f t="shared" si="40"/>
        <v>0</v>
      </c>
      <c r="Q294" s="164"/>
      <c r="R294" s="19">
        <f t="shared" si="41"/>
        <v>0</v>
      </c>
      <c r="S294" s="164">
        <f t="shared" si="42"/>
        <v>0</v>
      </c>
      <c r="T294" s="20">
        <v>7</v>
      </c>
      <c r="U294" s="20"/>
      <c r="V294" s="161"/>
      <c r="W294" s="20"/>
      <c r="X294" s="20"/>
      <c r="Y294" s="20"/>
      <c r="Z294" s="20"/>
      <c r="AA294" s="20"/>
      <c r="AB294" s="20"/>
      <c r="AC294" s="20"/>
    </row>
    <row r="295" spans="1:29" s="2" customFormat="1" ht="21.95" customHeight="1">
      <c r="A295" s="160">
        <v>300386</v>
      </c>
      <c r="B295" s="153" t="s">
        <v>87</v>
      </c>
      <c r="C295" s="248" t="s">
        <v>100</v>
      </c>
      <c r="D295" s="248" t="s">
        <v>103</v>
      </c>
      <c r="E295" s="166" t="s">
        <v>66</v>
      </c>
      <c r="F295" s="165"/>
      <c r="G295" s="164"/>
      <c r="H295" s="164"/>
      <c r="I295" s="164"/>
      <c r="J295" s="164"/>
      <c r="K295" s="164">
        <f t="shared" si="38"/>
        <v>0</v>
      </c>
      <c r="L295" s="164">
        <f t="shared" si="39"/>
        <v>0</v>
      </c>
      <c r="M295" s="164">
        <v>415.5</v>
      </c>
      <c r="N295" s="164">
        <f>+M295*1000/(51*1*110*60)*T295</f>
        <v>8.6408199643493759</v>
      </c>
      <c r="O295" s="164"/>
      <c r="P295" s="164">
        <f t="shared" si="40"/>
        <v>0</v>
      </c>
      <c r="Q295" s="164"/>
      <c r="R295" s="19">
        <f t="shared" si="41"/>
        <v>0</v>
      </c>
      <c r="S295" s="164">
        <f t="shared" si="42"/>
        <v>0</v>
      </c>
      <c r="T295" s="20">
        <v>7</v>
      </c>
      <c r="U295" s="20"/>
      <c r="V295" s="161"/>
      <c r="W295" s="20"/>
      <c r="X295" s="20"/>
      <c r="Y295" s="20"/>
      <c r="Z295" s="20"/>
      <c r="AA295" s="20"/>
      <c r="AB295" s="20"/>
      <c r="AC295" s="20"/>
    </row>
    <row r="296" spans="1:29" s="2" customFormat="1" ht="21.95" customHeight="1">
      <c r="A296" s="160">
        <v>300385</v>
      </c>
      <c r="B296" s="153" t="s">
        <v>87</v>
      </c>
      <c r="C296" s="248" t="s">
        <v>100</v>
      </c>
      <c r="D296" s="248" t="s">
        <v>104</v>
      </c>
      <c r="E296" s="166" t="s">
        <v>105</v>
      </c>
      <c r="F296" s="165"/>
      <c r="G296" s="164"/>
      <c r="H296" s="164"/>
      <c r="I296" s="164"/>
      <c r="J296" s="164"/>
      <c r="K296" s="164">
        <f t="shared" si="38"/>
        <v>0</v>
      </c>
      <c r="L296" s="164">
        <f t="shared" si="39"/>
        <v>0</v>
      </c>
      <c r="M296" s="164">
        <v>415.5</v>
      </c>
      <c r="N296" s="164">
        <f>+M296*1000/(51*1*110*60)*T296</f>
        <v>8.6408199643493759</v>
      </c>
      <c r="O296" s="164"/>
      <c r="P296" s="164">
        <f t="shared" si="40"/>
        <v>0</v>
      </c>
      <c r="Q296" s="164"/>
      <c r="R296" s="19">
        <f t="shared" si="41"/>
        <v>0</v>
      </c>
      <c r="S296" s="164">
        <f t="shared" si="42"/>
        <v>0</v>
      </c>
      <c r="T296" s="20">
        <v>7</v>
      </c>
      <c r="U296" s="20"/>
      <c r="V296" s="161"/>
      <c r="W296" s="20"/>
      <c r="X296" s="20"/>
      <c r="Y296" s="20"/>
      <c r="Z296" s="20"/>
      <c r="AA296" s="20"/>
      <c r="AB296" s="20"/>
      <c r="AC296" s="20"/>
    </row>
    <row r="297" spans="1:29" s="2" customFormat="1" ht="21.95" customHeight="1">
      <c r="A297" s="160">
        <v>300352</v>
      </c>
      <c r="B297" s="153" t="s">
        <v>87</v>
      </c>
      <c r="C297" s="248" t="s">
        <v>106</v>
      </c>
      <c r="D297" s="248" t="s">
        <v>101</v>
      </c>
      <c r="E297" s="166" t="s">
        <v>35</v>
      </c>
      <c r="F297" s="165"/>
      <c r="G297" s="164"/>
      <c r="H297" s="164"/>
      <c r="I297" s="164"/>
      <c r="J297" s="164"/>
      <c r="K297" s="164">
        <f t="shared" si="38"/>
        <v>0</v>
      </c>
      <c r="L297" s="164">
        <f t="shared" si="39"/>
        <v>0</v>
      </c>
      <c r="M297" s="164">
        <v>515.9</v>
      </c>
      <c r="N297" s="164">
        <f>+M297*1000/(80*1*110*60)*T297</f>
        <v>6.8395833333333336</v>
      </c>
      <c r="O297" s="164"/>
      <c r="P297" s="164">
        <f t="shared" si="40"/>
        <v>0</v>
      </c>
      <c r="Q297" s="164"/>
      <c r="R297" s="19">
        <f t="shared" si="41"/>
        <v>0</v>
      </c>
      <c r="S297" s="164">
        <f t="shared" si="42"/>
        <v>0</v>
      </c>
      <c r="T297" s="20">
        <v>7</v>
      </c>
      <c r="U297" s="20"/>
      <c r="V297" s="161" t="str">
        <f t="array" ref="V297">IF(ISERROR(L297/K297),"",L297/K297)</f>
        <v/>
      </c>
      <c r="W297" s="20"/>
      <c r="X297" s="20"/>
      <c r="Y297" s="20"/>
      <c r="Z297" s="20"/>
      <c r="AA297" s="20"/>
      <c r="AB297" s="20"/>
      <c r="AC297" s="20"/>
    </row>
    <row r="298" spans="1:29" s="2" customFormat="1" ht="21.95" customHeight="1">
      <c r="A298" s="160">
        <v>300353</v>
      </c>
      <c r="B298" s="153" t="s">
        <v>87</v>
      </c>
      <c r="C298" s="248" t="s">
        <v>106</v>
      </c>
      <c r="D298" s="248" t="s">
        <v>101</v>
      </c>
      <c r="E298" s="166" t="s">
        <v>105</v>
      </c>
      <c r="F298" s="165"/>
      <c r="G298" s="164"/>
      <c r="H298" s="164"/>
      <c r="I298" s="164"/>
      <c r="J298" s="164"/>
      <c r="K298" s="164">
        <f t="shared" si="38"/>
        <v>0</v>
      </c>
      <c r="L298" s="164">
        <f t="shared" si="39"/>
        <v>0</v>
      </c>
      <c r="M298" s="164">
        <v>515.9</v>
      </c>
      <c r="N298" s="164">
        <f>+M298*1000/(80*1*110*60)*T298</f>
        <v>6.8395833333333336</v>
      </c>
      <c r="O298" s="164"/>
      <c r="P298" s="164">
        <f t="shared" si="40"/>
        <v>0</v>
      </c>
      <c r="Q298" s="164"/>
      <c r="R298" s="19">
        <f t="shared" si="41"/>
        <v>0</v>
      </c>
      <c r="S298" s="164">
        <f t="shared" si="42"/>
        <v>0</v>
      </c>
      <c r="T298" s="20">
        <v>7</v>
      </c>
      <c r="U298" s="20"/>
      <c r="V298" s="161" t="str">
        <f t="array" ref="V298">IF(ISERROR(L298/K298),"",L298/K298)</f>
        <v/>
      </c>
      <c r="W298" s="20"/>
      <c r="X298" s="20"/>
      <c r="Y298" s="20"/>
      <c r="Z298" s="20"/>
      <c r="AA298" s="20"/>
      <c r="AB298" s="20"/>
      <c r="AC298" s="20"/>
    </row>
    <row r="299" spans="1:29" s="2" customFormat="1" ht="21.95" customHeight="1">
      <c r="A299" s="160">
        <v>300351</v>
      </c>
      <c r="B299" s="153" t="s">
        <v>87</v>
      </c>
      <c r="C299" s="248" t="s">
        <v>106</v>
      </c>
      <c r="D299" s="248" t="s">
        <v>101</v>
      </c>
      <c r="E299" s="166" t="s">
        <v>41</v>
      </c>
      <c r="F299" s="165"/>
      <c r="G299" s="164"/>
      <c r="H299" s="164"/>
      <c r="I299" s="164"/>
      <c r="J299" s="164"/>
      <c r="K299" s="164">
        <f t="shared" si="38"/>
        <v>0</v>
      </c>
      <c r="L299" s="164">
        <f t="shared" si="39"/>
        <v>0</v>
      </c>
      <c r="M299" s="164">
        <v>515.9</v>
      </c>
      <c r="N299" s="164">
        <f>+M299*1000/(80*1*110*60)*T299</f>
        <v>6.8395833333333336</v>
      </c>
      <c r="O299" s="164"/>
      <c r="P299" s="164">
        <f t="shared" si="40"/>
        <v>0</v>
      </c>
      <c r="Q299" s="164"/>
      <c r="R299" s="19">
        <f t="shared" si="41"/>
        <v>0</v>
      </c>
      <c r="S299" s="164">
        <f t="shared" si="42"/>
        <v>0</v>
      </c>
      <c r="T299" s="20">
        <v>7</v>
      </c>
      <c r="U299" s="20"/>
      <c r="V299" s="161" t="str">
        <f t="array" ref="V299">IF(ISERROR(L299/K299),"",L299/K299)</f>
        <v/>
      </c>
      <c r="W299" s="20"/>
      <c r="X299" s="20"/>
      <c r="Y299" s="20"/>
      <c r="Z299" s="20"/>
      <c r="AA299" s="20"/>
      <c r="AB299" s="20"/>
      <c r="AC299" s="20"/>
    </row>
    <row r="300" spans="1:29" s="2" customFormat="1" ht="21.95" customHeight="1">
      <c r="A300" s="160">
        <v>300354</v>
      </c>
      <c r="B300" s="153" t="s">
        <v>87</v>
      </c>
      <c r="C300" s="248" t="s">
        <v>106</v>
      </c>
      <c r="D300" s="248" t="s">
        <v>101</v>
      </c>
      <c r="E300" s="166" t="s">
        <v>66</v>
      </c>
      <c r="F300" s="165"/>
      <c r="G300" s="164"/>
      <c r="H300" s="164"/>
      <c r="I300" s="164"/>
      <c r="J300" s="164"/>
      <c r="K300" s="164">
        <f t="shared" si="38"/>
        <v>0</v>
      </c>
      <c r="L300" s="164">
        <f t="shared" si="39"/>
        <v>0</v>
      </c>
      <c r="M300" s="164">
        <v>515.9</v>
      </c>
      <c r="N300" s="164">
        <f>+M300*1000/(80*1*110*60)*T300</f>
        <v>6.8395833333333336</v>
      </c>
      <c r="O300" s="164"/>
      <c r="P300" s="164">
        <f t="shared" si="40"/>
        <v>0</v>
      </c>
      <c r="Q300" s="164"/>
      <c r="R300" s="19">
        <f t="shared" si="41"/>
        <v>0</v>
      </c>
      <c r="S300" s="164">
        <f t="shared" si="42"/>
        <v>0</v>
      </c>
      <c r="T300" s="20">
        <v>7</v>
      </c>
      <c r="U300" s="20"/>
      <c r="V300" s="161" t="str">
        <f t="array" ref="V300">IF(ISERROR(L300/K300),"",L300/K300)</f>
        <v/>
      </c>
      <c r="W300" s="20"/>
      <c r="X300" s="20"/>
      <c r="Y300" s="20"/>
      <c r="Z300" s="20"/>
      <c r="AA300" s="20"/>
      <c r="AB300" s="20"/>
      <c r="AC300" s="20"/>
    </row>
    <row r="301" spans="1:29" s="2" customFormat="1" ht="21.95" customHeight="1">
      <c r="A301" s="160">
        <v>300250</v>
      </c>
      <c r="B301" s="153" t="s">
        <v>87</v>
      </c>
      <c r="C301" s="248" t="s">
        <v>107</v>
      </c>
      <c r="D301" s="248" t="s">
        <v>101</v>
      </c>
      <c r="E301" s="166" t="s">
        <v>35</v>
      </c>
      <c r="F301" s="165"/>
      <c r="G301" s="164"/>
      <c r="H301" s="164"/>
      <c r="I301" s="164"/>
      <c r="J301" s="164"/>
      <c r="K301" s="164">
        <f t="shared" si="38"/>
        <v>0</v>
      </c>
      <c r="L301" s="164">
        <f t="shared" si="39"/>
        <v>0</v>
      </c>
      <c r="M301" s="164">
        <v>412.5</v>
      </c>
      <c r="N301" s="164">
        <f>+M301*1000/(84*1*110*60)*T301</f>
        <v>5.2083333333333339</v>
      </c>
      <c r="O301" s="164"/>
      <c r="P301" s="164">
        <f t="shared" si="40"/>
        <v>0</v>
      </c>
      <c r="Q301" s="164"/>
      <c r="R301" s="19">
        <f t="shared" si="41"/>
        <v>0</v>
      </c>
      <c r="S301" s="164">
        <f t="shared" si="42"/>
        <v>0</v>
      </c>
      <c r="T301" s="20">
        <v>7</v>
      </c>
      <c r="U301" s="20"/>
      <c r="V301" s="161" t="str">
        <f t="array" ref="V301">IF(ISERROR(L301/K301),"",L301/K301)</f>
        <v/>
      </c>
      <c r="W301" s="20"/>
      <c r="X301" s="20"/>
      <c r="Y301" s="20"/>
      <c r="Z301" s="20"/>
      <c r="AA301" s="20"/>
      <c r="AB301" s="20"/>
      <c r="AC301" s="20"/>
    </row>
    <row r="302" spans="1:29" s="2" customFormat="1" ht="21.95" customHeight="1">
      <c r="A302" s="160">
        <v>300251</v>
      </c>
      <c r="B302" s="153" t="s">
        <v>87</v>
      </c>
      <c r="C302" s="248" t="s">
        <v>107</v>
      </c>
      <c r="D302" s="248" t="s">
        <v>101</v>
      </c>
      <c r="E302" s="166" t="s">
        <v>105</v>
      </c>
      <c r="F302" s="165"/>
      <c r="G302" s="164"/>
      <c r="H302" s="164"/>
      <c r="I302" s="164"/>
      <c r="J302" s="164"/>
      <c r="K302" s="164">
        <f t="shared" si="38"/>
        <v>0</v>
      </c>
      <c r="L302" s="164">
        <f t="shared" si="39"/>
        <v>0</v>
      </c>
      <c r="M302" s="164">
        <v>412.5</v>
      </c>
      <c r="N302" s="164">
        <f>+M302*1000/(84*1*110*60)*T302</f>
        <v>5.2083333333333339</v>
      </c>
      <c r="O302" s="164"/>
      <c r="P302" s="164">
        <f t="shared" si="40"/>
        <v>0</v>
      </c>
      <c r="Q302" s="164"/>
      <c r="R302" s="19">
        <f t="shared" si="41"/>
        <v>0</v>
      </c>
      <c r="S302" s="164">
        <f t="shared" si="42"/>
        <v>0</v>
      </c>
      <c r="T302" s="20">
        <v>7</v>
      </c>
      <c r="U302" s="20"/>
      <c r="V302" s="161" t="str">
        <f t="array" ref="V302">IF(ISERROR(L302/K302),"",L302/K302)</f>
        <v/>
      </c>
      <c r="W302" s="20"/>
      <c r="X302" s="20"/>
      <c r="Y302" s="20"/>
      <c r="Z302" s="20"/>
      <c r="AA302" s="20"/>
      <c r="AB302" s="20"/>
      <c r="AC302" s="20"/>
    </row>
    <row r="303" spans="1:29" s="2" customFormat="1" ht="21.95" customHeight="1">
      <c r="A303" s="160">
        <v>300254</v>
      </c>
      <c r="B303" s="153" t="s">
        <v>87</v>
      </c>
      <c r="C303" s="248" t="s">
        <v>107</v>
      </c>
      <c r="D303" s="248" t="s">
        <v>101</v>
      </c>
      <c r="E303" s="166" t="s">
        <v>41</v>
      </c>
      <c r="F303" s="165"/>
      <c r="G303" s="164"/>
      <c r="H303" s="164"/>
      <c r="I303" s="164"/>
      <c r="J303" s="164"/>
      <c r="K303" s="164">
        <f t="shared" si="38"/>
        <v>0</v>
      </c>
      <c r="L303" s="164">
        <f t="shared" si="39"/>
        <v>0</v>
      </c>
      <c r="M303" s="164">
        <v>412.5</v>
      </c>
      <c r="N303" s="164">
        <f>+M303*1000/(84*1*110*60)*T303</f>
        <v>5.2083333333333339</v>
      </c>
      <c r="O303" s="164"/>
      <c r="P303" s="164">
        <f t="shared" si="40"/>
        <v>0</v>
      </c>
      <c r="Q303" s="164"/>
      <c r="R303" s="19">
        <f t="shared" si="41"/>
        <v>0</v>
      </c>
      <c r="S303" s="164">
        <f t="shared" si="42"/>
        <v>0</v>
      </c>
      <c r="T303" s="20">
        <v>7</v>
      </c>
      <c r="U303" s="20"/>
      <c r="V303" s="161" t="str">
        <f t="array" ref="V303">IF(ISERROR(L303/K303),"",L303/K303)</f>
        <v/>
      </c>
      <c r="W303" s="20"/>
      <c r="X303" s="20"/>
      <c r="Y303" s="20"/>
      <c r="Z303" s="20"/>
      <c r="AA303" s="20"/>
      <c r="AB303" s="20"/>
      <c r="AC303" s="20"/>
    </row>
    <row r="304" spans="1:29" s="2" customFormat="1" ht="21.95" customHeight="1">
      <c r="A304" s="160">
        <v>300253</v>
      </c>
      <c r="B304" s="153" t="s">
        <v>87</v>
      </c>
      <c r="C304" s="248" t="s">
        <v>107</v>
      </c>
      <c r="D304" s="248" t="s">
        <v>101</v>
      </c>
      <c r="E304" s="166" t="s">
        <v>66</v>
      </c>
      <c r="F304" s="165"/>
      <c r="G304" s="164"/>
      <c r="H304" s="164"/>
      <c r="I304" s="164"/>
      <c r="J304" s="164"/>
      <c r="K304" s="164">
        <f t="shared" si="38"/>
        <v>0</v>
      </c>
      <c r="L304" s="164">
        <f t="shared" si="39"/>
        <v>0</v>
      </c>
      <c r="M304" s="164">
        <v>412.5</v>
      </c>
      <c r="N304" s="164">
        <f>+M304*1000/(84*1*110*60)*T304</f>
        <v>5.2083333333333339</v>
      </c>
      <c r="O304" s="164"/>
      <c r="P304" s="164">
        <f t="shared" si="40"/>
        <v>0</v>
      </c>
      <c r="Q304" s="164"/>
      <c r="R304" s="19">
        <f t="shared" si="41"/>
        <v>0</v>
      </c>
      <c r="S304" s="164">
        <f t="shared" si="42"/>
        <v>0</v>
      </c>
      <c r="T304" s="20">
        <v>7</v>
      </c>
      <c r="U304" s="20"/>
      <c r="V304" s="161" t="str">
        <f t="array" ref="V304">IF(ISERROR(L304/K304),"",L304/K304)</f>
        <v/>
      </c>
      <c r="W304" s="20"/>
      <c r="X304" s="20"/>
      <c r="Y304" s="20"/>
      <c r="Z304" s="20"/>
      <c r="AA304" s="20"/>
      <c r="AB304" s="20"/>
      <c r="AC304" s="20"/>
    </row>
    <row r="305" spans="1:29" s="2" customFormat="1" ht="23.25" customHeight="1">
      <c r="A305" s="160">
        <v>300255</v>
      </c>
      <c r="B305" s="153" t="s">
        <v>87</v>
      </c>
      <c r="C305" s="248" t="s">
        <v>107</v>
      </c>
      <c r="D305" s="248" t="s">
        <v>101</v>
      </c>
      <c r="E305" s="166" t="s">
        <v>108</v>
      </c>
      <c r="F305" s="165"/>
      <c r="G305" s="164"/>
      <c r="H305" s="164"/>
      <c r="I305" s="164"/>
      <c r="J305" s="164"/>
      <c r="K305" s="164">
        <f t="shared" si="38"/>
        <v>0</v>
      </c>
      <c r="L305" s="164">
        <f t="shared" si="39"/>
        <v>0</v>
      </c>
      <c r="M305" s="164">
        <v>412.5</v>
      </c>
      <c r="N305" s="164">
        <f>+M305*1000/(84*1*110*60)*T305</f>
        <v>5.2083333333333339</v>
      </c>
      <c r="O305" s="164"/>
      <c r="P305" s="164">
        <f t="shared" si="40"/>
        <v>0</v>
      </c>
      <c r="Q305" s="164"/>
      <c r="R305" s="19">
        <f t="shared" si="41"/>
        <v>0</v>
      </c>
      <c r="S305" s="164">
        <f t="shared" si="42"/>
        <v>0</v>
      </c>
      <c r="T305" s="20">
        <v>7</v>
      </c>
      <c r="U305" s="20"/>
      <c r="V305" s="161" t="str">
        <f t="array" ref="V305">IF(ISERROR(L305/K305),"",L305/K305)</f>
        <v/>
      </c>
      <c r="W305" s="20"/>
      <c r="X305" s="20"/>
      <c r="Y305" s="20"/>
      <c r="Z305" s="20"/>
      <c r="AA305" s="20"/>
      <c r="AB305" s="20"/>
      <c r="AC305" s="20"/>
    </row>
    <row r="306" spans="1:29" s="5" customFormat="1" ht="23.25" customHeight="1">
      <c r="A306" s="160">
        <v>300392</v>
      </c>
      <c r="B306" s="153" t="s">
        <v>87</v>
      </c>
      <c r="C306" s="259" t="s">
        <v>109</v>
      </c>
      <c r="D306" s="260"/>
      <c r="E306" s="166" t="s">
        <v>105</v>
      </c>
      <c r="F306" s="160"/>
      <c r="G306" s="164"/>
      <c r="H306" s="164"/>
      <c r="I306" s="164"/>
      <c r="J306" s="164"/>
      <c r="K306" s="164">
        <f t="shared" si="38"/>
        <v>0</v>
      </c>
      <c r="L306" s="164">
        <f t="shared" si="39"/>
        <v>0</v>
      </c>
      <c r="M306" s="164">
        <v>523</v>
      </c>
      <c r="N306" s="164">
        <f>+M306*1000/(98*1*80*60)*T306</f>
        <v>7.7827380952380958</v>
      </c>
      <c r="O306" s="164"/>
      <c r="P306" s="164">
        <f t="shared" si="40"/>
        <v>0</v>
      </c>
      <c r="Q306" s="164"/>
      <c r="R306" s="19">
        <f t="shared" si="41"/>
        <v>0</v>
      </c>
      <c r="S306" s="164">
        <f t="shared" si="42"/>
        <v>0</v>
      </c>
      <c r="T306" s="20">
        <v>7</v>
      </c>
      <c r="U306" s="20"/>
      <c r="V306" s="161" t="str">
        <f t="array" ref="V306">IF(ISERROR(L306/K306),"",L306/K306)</f>
        <v/>
      </c>
      <c r="W306" s="20"/>
      <c r="X306" s="20"/>
      <c r="Y306" s="20"/>
      <c r="Z306" s="20"/>
      <c r="AA306" s="20"/>
      <c r="AB306" s="20"/>
      <c r="AC306" s="20"/>
    </row>
    <row r="307" spans="1:29" s="2" customFormat="1" ht="21.95" customHeight="1">
      <c r="A307" s="160">
        <v>300088</v>
      </c>
      <c r="B307" s="153" t="s">
        <v>87</v>
      </c>
      <c r="C307" s="248" t="s">
        <v>318</v>
      </c>
      <c r="D307" s="248" t="s">
        <v>96</v>
      </c>
      <c r="E307" s="166" t="s">
        <v>39</v>
      </c>
      <c r="F307" s="165"/>
      <c r="G307" s="164"/>
      <c r="H307" s="164"/>
      <c r="I307" s="164"/>
      <c r="J307" s="164"/>
      <c r="K307" s="164">
        <f t="shared" si="38"/>
        <v>0</v>
      </c>
      <c r="L307" s="164">
        <f t="shared" si="39"/>
        <v>0</v>
      </c>
      <c r="M307" s="164">
        <v>617.79999999999995</v>
      </c>
      <c r="N307" s="164">
        <f>+M307*1000/(123*1*80*60)*T307</f>
        <v>3.1392276422764223</v>
      </c>
      <c r="O307" s="164"/>
      <c r="P307" s="164">
        <f t="shared" si="40"/>
        <v>0</v>
      </c>
      <c r="Q307" s="164"/>
      <c r="R307" s="19">
        <f t="shared" si="41"/>
        <v>0</v>
      </c>
      <c r="S307" s="164">
        <f t="shared" si="42"/>
        <v>0</v>
      </c>
      <c r="T307" s="20">
        <v>3</v>
      </c>
      <c r="U307" s="20"/>
      <c r="V307" s="161" t="str">
        <f t="array" ref="V307">IF(ISERROR(L307/K307),"",L307/K307)</f>
        <v/>
      </c>
      <c r="W307" s="20"/>
      <c r="X307" s="20"/>
      <c r="Y307" s="20"/>
      <c r="Z307" s="20"/>
      <c r="AA307" s="20"/>
      <c r="AB307" s="20"/>
      <c r="AC307" s="20"/>
    </row>
    <row r="308" spans="1:29" s="2" customFormat="1" ht="21.95" customHeight="1">
      <c r="A308" s="160">
        <v>300089</v>
      </c>
      <c r="B308" s="153" t="s">
        <v>87</v>
      </c>
      <c r="C308" s="248" t="s">
        <v>318</v>
      </c>
      <c r="D308" s="248" t="s">
        <v>96</v>
      </c>
      <c r="E308" s="166" t="s">
        <v>42</v>
      </c>
      <c r="F308" s="165"/>
      <c r="G308" s="164"/>
      <c r="H308" s="164"/>
      <c r="I308" s="164"/>
      <c r="J308" s="164"/>
      <c r="K308" s="164">
        <f t="shared" si="38"/>
        <v>0</v>
      </c>
      <c r="L308" s="164">
        <f t="shared" si="39"/>
        <v>0</v>
      </c>
      <c r="M308" s="164">
        <v>618.6</v>
      </c>
      <c r="N308" s="164">
        <f>+M308*1000/(124*1*80*60)*T308</f>
        <v>3.117943548387097</v>
      </c>
      <c r="O308" s="164"/>
      <c r="P308" s="164">
        <f t="shared" si="40"/>
        <v>0</v>
      </c>
      <c r="Q308" s="164"/>
      <c r="R308" s="19">
        <f t="shared" si="41"/>
        <v>0</v>
      </c>
      <c r="S308" s="164">
        <f t="shared" si="42"/>
        <v>0</v>
      </c>
      <c r="T308" s="20">
        <v>3</v>
      </c>
      <c r="U308" s="20"/>
      <c r="V308" s="161" t="str">
        <f t="array" ref="V308">IF(ISERROR(L308/K308),"",L308/K308)</f>
        <v/>
      </c>
      <c r="W308" s="20"/>
      <c r="X308" s="20"/>
      <c r="Y308" s="20"/>
      <c r="Z308" s="20"/>
      <c r="AA308" s="20"/>
      <c r="AB308" s="20"/>
      <c r="AC308" s="20"/>
    </row>
    <row r="309" spans="1:29" s="2" customFormat="1" ht="21.95" customHeight="1">
      <c r="A309" s="160">
        <v>300128</v>
      </c>
      <c r="B309" s="153" t="s">
        <v>87</v>
      </c>
      <c r="C309" s="248" t="s">
        <v>112</v>
      </c>
      <c r="D309" s="248" t="s">
        <v>113</v>
      </c>
      <c r="E309" s="166" t="s">
        <v>35</v>
      </c>
      <c r="F309" s="165"/>
      <c r="G309" s="164"/>
      <c r="H309" s="164"/>
      <c r="I309" s="164"/>
      <c r="J309" s="164"/>
      <c r="K309" s="164">
        <f t="shared" si="38"/>
        <v>0</v>
      </c>
      <c r="L309" s="164">
        <f t="shared" si="39"/>
        <v>0</v>
      </c>
      <c r="M309" s="164">
        <v>621.29999999999995</v>
      </c>
      <c r="N309" s="164">
        <f t="shared" ref="N309:N314" si="43">+M309*1000/(130.5*1*80*60)*T309</f>
        <v>3.9674329501915708</v>
      </c>
      <c r="O309" s="164"/>
      <c r="P309" s="164">
        <f t="shared" si="40"/>
        <v>0</v>
      </c>
      <c r="Q309" s="164"/>
      <c r="R309" s="19">
        <f t="shared" si="41"/>
        <v>0</v>
      </c>
      <c r="S309" s="164">
        <f t="shared" si="42"/>
        <v>0</v>
      </c>
      <c r="T309" s="20">
        <v>4</v>
      </c>
      <c r="U309" s="20"/>
      <c r="V309" s="161" t="str">
        <f t="array" ref="V309">IF(ISERROR(L309/K309),"",L309/K309)</f>
        <v/>
      </c>
      <c r="W309" s="20"/>
      <c r="X309" s="20"/>
      <c r="Y309" s="20"/>
      <c r="Z309" s="20"/>
      <c r="AA309" s="20"/>
      <c r="AB309" s="20"/>
      <c r="AC309" s="20"/>
    </row>
    <row r="310" spans="1:29" s="2" customFormat="1" ht="21.95" customHeight="1">
      <c r="A310" s="160">
        <v>300129</v>
      </c>
      <c r="B310" s="153" t="s">
        <v>87</v>
      </c>
      <c r="C310" s="248" t="s">
        <v>112</v>
      </c>
      <c r="D310" s="248" t="s">
        <v>113</v>
      </c>
      <c r="E310" s="166" t="s">
        <v>41</v>
      </c>
      <c r="F310" s="165"/>
      <c r="G310" s="164"/>
      <c r="H310" s="164"/>
      <c r="I310" s="164"/>
      <c r="J310" s="164"/>
      <c r="K310" s="164">
        <f t="shared" si="38"/>
        <v>0</v>
      </c>
      <c r="L310" s="164">
        <f t="shared" si="39"/>
        <v>0</v>
      </c>
      <c r="M310" s="164">
        <v>621.29999999999995</v>
      </c>
      <c r="N310" s="164">
        <f t="shared" si="43"/>
        <v>3.9674329501915708</v>
      </c>
      <c r="O310" s="164"/>
      <c r="P310" s="164">
        <f t="shared" si="40"/>
        <v>0</v>
      </c>
      <c r="Q310" s="164"/>
      <c r="R310" s="19">
        <f t="shared" si="41"/>
        <v>0</v>
      </c>
      <c r="S310" s="164">
        <f t="shared" si="42"/>
        <v>0</v>
      </c>
      <c r="T310" s="20">
        <v>4</v>
      </c>
      <c r="U310" s="20"/>
      <c r="V310" s="161" t="str">
        <f t="array" ref="V310">IF(ISERROR(L310/K310),"",L310/K310)</f>
        <v/>
      </c>
      <c r="W310" s="20"/>
      <c r="X310" s="20"/>
      <c r="Y310" s="20"/>
      <c r="Z310" s="20"/>
      <c r="AA310" s="20"/>
      <c r="AB310" s="20"/>
      <c r="AC310" s="20"/>
    </row>
    <row r="311" spans="1:29" s="2" customFormat="1" ht="21.95" customHeight="1">
      <c r="A311" s="160">
        <v>300130</v>
      </c>
      <c r="B311" s="153" t="s">
        <v>87</v>
      </c>
      <c r="C311" s="248" t="s">
        <v>112</v>
      </c>
      <c r="D311" s="248" t="s">
        <v>113</v>
      </c>
      <c r="E311" s="166" t="s">
        <v>37</v>
      </c>
      <c r="F311" s="165"/>
      <c r="G311" s="164"/>
      <c r="H311" s="164"/>
      <c r="I311" s="164"/>
      <c r="J311" s="164"/>
      <c r="K311" s="164">
        <f t="shared" si="38"/>
        <v>0</v>
      </c>
      <c r="L311" s="164">
        <f t="shared" si="39"/>
        <v>0</v>
      </c>
      <c r="M311" s="164">
        <v>621.29999999999995</v>
      </c>
      <c r="N311" s="164">
        <f t="shared" si="43"/>
        <v>3.9674329501915708</v>
      </c>
      <c r="O311" s="164"/>
      <c r="P311" s="164">
        <f t="shared" si="40"/>
        <v>0</v>
      </c>
      <c r="Q311" s="164"/>
      <c r="R311" s="19">
        <f t="shared" si="41"/>
        <v>0</v>
      </c>
      <c r="S311" s="164">
        <f t="shared" si="42"/>
        <v>0</v>
      </c>
      <c r="T311" s="20">
        <v>4</v>
      </c>
      <c r="U311" s="20"/>
      <c r="V311" s="161" t="str">
        <f t="array" ref="V311">IF(ISERROR(L311/K311),"",L311/K311)</f>
        <v/>
      </c>
      <c r="W311" s="20"/>
      <c r="X311" s="20"/>
      <c r="Y311" s="20"/>
      <c r="Z311" s="20"/>
      <c r="AA311" s="20"/>
      <c r="AB311" s="20"/>
      <c r="AC311" s="20"/>
    </row>
    <row r="312" spans="1:29" ht="21.95" customHeight="1">
      <c r="A312" s="160">
        <v>300423</v>
      </c>
      <c r="B312" s="153" t="s">
        <v>300</v>
      </c>
      <c r="C312" s="259" t="s">
        <v>296</v>
      </c>
      <c r="D312" s="260"/>
      <c r="E312" s="166" t="s">
        <v>297</v>
      </c>
      <c r="F312" s="13"/>
      <c r="G312" s="110"/>
      <c r="H312" s="110"/>
      <c r="I312" s="110"/>
      <c r="J312" s="110"/>
      <c r="K312" s="164">
        <f t="shared" si="38"/>
        <v>0</v>
      </c>
      <c r="L312" s="164">
        <f t="shared" si="39"/>
        <v>0</v>
      </c>
      <c r="M312" s="164">
        <v>524.1</v>
      </c>
      <c r="N312" s="164">
        <f t="shared" si="43"/>
        <v>3.3467432950191571</v>
      </c>
      <c r="O312" s="164"/>
      <c r="P312" s="164">
        <f t="shared" si="40"/>
        <v>0</v>
      </c>
      <c r="Q312" s="164"/>
      <c r="R312" s="19">
        <f t="shared" si="41"/>
        <v>0</v>
      </c>
      <c r="S312" s="164">
        <f t="shared" si="42"/>
        <v>0</v>
      </c>
      <c r="T312" s="20">
        <v>4</v>
      </c>
      <c r="U312" s="20"/>
      <c r="V312" s="161"/>
      <c r="W312" s="20"/>
      <c r="X312" s="20"/>
      <c r="Y312" s="20"/>
      <c r="Z312" s="20"/>
      <c r="AA312" s="20"/>
      <c r="AB312" s="20"/>
      <c r="AC312" s="20"/>
    </row>
    <row r="313" spans="1:29" ht="21.95" customHeight="1">
      <c r="A313" s="160">
        <v>300424</v>
      </c>
      <c r="B313" s="153" t="s">
        <v>300</v>
      </c>
      <c r="C313" s="259" t="s">
        <v>296</v>
      </c>
      <c r="D313" s="260"/>
      <c r="E313" s="166" t="s">
        <v>298</v>
      </c>
      <c r="F313" s="13"/>
      <c r="G313" s="110"/>
      <c r="H313" s="110"/>
      <c r="I313" s="110"/>
      <c r="J313" s="110"/>
      <c r="K313" s="164">
        <f t="shared" si="38"/>
        <v>0</v>
      </c>
      <c r="L313" s="164">
        <f t="shared" si="39"/>
        <v>0</v>
      </c>
      <c r="M313" s="164">
        <v>524.1</v>
      </c>
      <c r="N313" s="164">
        <f t="shared" si="43"/>
        <v>3.3467432950191571</v>
      </c>
      <c r="O313" s="164"/>
      <c r="P313" s="164">
        <f t="shared" si="40"/>
        <v>0</v>
      </c>
      <c r="Q313" s="164"/>
      <c r="R313" s="19">
        <f t="shared" si="41"/>
        <v>0</v>
      </c>
      <c r="S313" s="164">
        <f t="shared" si="42"/>
        <v>0</v>
      </c>
      <c r="T313" s="20">
        <v>4</v>
      </c>
      <c r="U313" s="20"/>
      <c r="V313" s="161"/>
      <c r="W313" s="20"/>
      <c r="X313" s="20"/>
      <c r="Y313" s="20"/>
      <c r="Z313" s="20"/>
      <c r="AA313" s="20"/>
      <c r="AB313" s="20"/>
      <c r="AC313" s="20"/>
    </row>
    <row r="314" spans="1:29" ht="21.95" customHeight="1">
      <c r="A314" s="160">
        <v>300425</v>
      </c>
      <c r="B314" s="153" t="s">
        <v>300</v>
      </c>
      <c r="C314" s="259" t="s">
        <v>296</v>
      </c>
      <c r="D314" s="260"/>
      <c r="E314" s="166" t="s">
        <v>299</v>
      </c>
      <c r="F314" s="13"/>
      <c r="G314" s="110"/>
      <c r="H314" s="110"/>
      <c r="I314" s="110"/>
      <c r="J314" s="110"/>
      <c r="K314" s="164">
        <f t="shared" si="38"/>
        <v>0</v>
      </c>
      <c r="L314" s="164">
        <f t="shared" si="39"/>
        <v>0</v>
      </c>
      <c r="M314" s="164">
        <v>524.1</v>
      </c>
      <c r="N314" s="164">
        <f t="shared" si="43"/>
        <v>3.3467432950191571</v>
      </c>
      <c r="O314" s="164"/>
      <c r="P314" s="164">
        <f t="shared" si="40"/>
        <v>0</v>
      </c>
      <c r="Q314" s="164"/>
      <c r="R314" s="19">
        <f t="shared" si="41"/>
        <v>0</v>
      </c>
      <c r="S314" s="164">
        <f t="shared" si="42"/>
        <v>0</v>
      </c>
      <c r="T314" s="20">
        <v>4</v>
      </c>
      <c r="U314" s="20"/>
      <c r="V314" s="161"/>
      <c r="W314" s="20"/>
      <c r="X314" s="20"/>
      <c r="Y314" s="20"/>
      <c r="Z314" s="20"/>
      <c r="AA314" s="20"/>
      <c r="AB314" s="20"/>
      <c r="AC314" s="20"/>
    </row>
    <row r="315" spans="1:29" s="2" customFormat="1" ht="21.95" customHeight="1">
      <c r="A315" s="160">
        <v>300390</v>
      </c>
      <c r="B315" s="153" t="s">
        <v>295</v>
      </c>
      <c r="C315" s="259" t="s">
        <v>114</v>
      </c>
      <c r="D315" s="260"/>
      <c r="E315" s="166" t="s">
        <v>115</v>
      </c>
      <c r="F315" s="165"/>
      <c r="G315" s="164"/>
      <c r="H315" s="164"/>
      <c r="I315" s="164"/>
      <c r="J315" s="164"/>
      <c r="K315" s="164">
        <f t="shared" si="38"/>
        <v>0</v>
      </c>
      <c r="L315" s="164">
        <f t="shared" si="39"/>
        <v>0</v>
      </c>
      <c r="M315" s="164">
        <v>417.4</v>
      </c>
      <c r="N315" s="164">
        <f>+M315*1000/(87*1*80*60)*T315</f>
        <v>3.9980842911877397</v>
      </c>
      <c r="O315" s="164"/>
      <c r="P315" s="164">
        <f t="shared" si="40"/>
        <v>0</v>
      </c>
      <c r="Q315" s="164"/>
      <c r="R315" s="19">
        <f t="shared" si="41"/>
        <v>0</v>
      </c>
      <c r="S315" s="164">
        <f t="shared" si="42"/>
        <v>0</v>
      </c>
      <c r="T315" s="20">
        <v>4</v>
      </c>
      <c r="U315" s="20"/>
      <c r="V315" s="161" t="str">
        <f t="array" ref="V315">IF(ISERROR(L315/K315),"",L315/K315)</f>
        <v/>
      </c>
      <c r="W315" s="20"/>
      <c r="X315" s="20"/>
      <c r="Y315" s="20"/>
      <c r="Z315" s="20"/>
      <c r="AA315" s="20"/>
      <c r="AB315" s="20"/>
      <c r="AC315" s="20"/>
    </row>
    <row r="316" spans="1:29" s="2" customFormat="1" ht="21.95" customHeight="1">
      <c r="A316" s="160">
        <v>300391</v>
      </c>
      <c r="B316" s="153" t="s">
        <v>116</v>
      </c>
      <c r="C316" s="259" t="s">
        <v>114</v>
      </c>
      <c r="D316" s="260"/>
      <c r="E316" s="166" t="s">
        <v>117</v>
      </c>
      <c r="F316" s="165"/>
      <c r="G316" s="164"/>
      <c r="H316" s="164"/>
      <c r="I316" s="164"/>
      <c r="J316" s="164"/>
      <c r="K316" s="164">
        <f t="shared" si="38"/>
        <v>0</v>
      </c>
      <c r="L316" s="164">
        <f t="shared" si="39"/>
        <v>0</v>
      </c>
      <c r="M316" s="164">
        <v>417.4</v>
      </c>
      <c r="N316" s="164">
        <f>+M316*1000/(87*1*80*60)*T316</f>
        <v>3.9980842911877397</v>
      </c>
      <c r="O316" s="164"/>
      <c r="P316" s="164">
        <f t="shared" si="40"/>
        <v>0</v>
      </c>
      <c r="Q316" s="164"/>
      <c r="R316" s="19">
        <f t="shared" si="41"/>
        <v>0</v>
      </c>
      <c r="S316" s="164">
        <f t="shared" si="42"/>
        <v>0</v>
      </c>
      <c r="T316" s="20">
        <v>4</v>
      </c>
      <c r="U316" s="20"/>
      <c r="V316" s="161" t="str">
        <f t="array" ref="V316">IF(ISERROR(L316/K316),"",L316/K316)</f>
        <v/>
      </c>
      <c r="W316" s="20"/>
      <c r="X316" s="20"/>
      <c r="Y316" s="20"/>
      <c r="Z316" s="20"/>
      <c r="AA316" s="20"/>
      <c r="AB316" s="20"/>
      <c r="AC316" s="20"/>
    </row>
    <row r="317" spans="1:29" s="3" customFormat="1" ht="21.95" customHeight="1">
      <c r="A317" s="23">
        <v>300431</v>
      </c>
      <c r="B317" s="153" t="s">
        <v>300</v>
      </c>
      <c r="C317" s="262" t="s">
        <v>305</v>
      </c>
      <c r="D317" s="263"/>
      <c r="E317" s="24" t="s">
        <v>306</v>
      </c>
      <c r="F317" s="25"/>
      <c r="G317" s="111"/>
      <c r="H317" s="111"/>
      <c r="I317" s="111"/>
      <c r="J317" s="111"/>
      <c r="K317" s="28">
        <f t="shared" si="38"/>
        <v>0</v>
      </c>
      <c r="L317" s="28">
        <f t="shared" si="39"/>
        <v>0</v>
      </c>
      <c r="M317" s="28">
        <v>628.79999999999995</v>
      </c>
      <c r="N317" s="28">
        <f>+M317*1000/(87*1*80*60)*T317</f>
        <v>6.0229885057471266</v>
      </c>
      <c r="O317" s="28"/>
      <c r="P317" s="28">
        <f t="shared" si="40"/>
        <v>0</v>
      </c>
      <c r="Q317" s="28"/>
      <c r="R317" s="29">
        <f t="shared" si="41"/>
        <v>0</v>
      </c>
      <c r="S317" s="28">
        <f t="shared" si="42"/>
        <v>0</v>
      </c>
      <c r="T317" s="30">
        <v>4</v>
      </c>
      <c r="U317" s="30"/>
      <c r="V317" s="112"/>
      <c r="W317" s="30"/>
      <c r="X317" s="30"/>
      <c r="Y317" s="30"/>
      <c r="Z317" s="30"/>
      <c r="AA317" s="30"/>
      <c r="AB317" s="30"/>
      <c r="AC317" s="30"/>
    </row>
    <row r="318" spans="1:29" s="3" customFormat="1" ht="21.95" customHeight="1">
      <c r="A318" s="23">
        <v>300432</v>
      </c>
      <c r="B318" s="153" t="s">
        <v>300</v>
      </c>
      <c r="C318" s="262" t="s">
        <v>305</v>
      </c>
      <c r="D318" s="263"/>
      <c r="E318" s="24" t="s">
        <v>307</v>
      </c>
      <c r="F318" s="25"/>
      <c r="G318" s="111"/>
      <c r="H318" s="111"/>
      <c r="I318" s="111"/>
      <c r="J318" s="111"/>
      <c r="K318" s="28">
        <f t="shared" si="38"/>
        <v>0</v>
      </c>
      <c r="L318" s="28">
        <f t="shared" si="39"/>
        <v>0</v>
      </c>
      <c r="M318" s="28">
        <v>628.79999999999995</v>
      </c>
      <c r="N318" s="28">
        <f>+M318*1000/(87*1*80*60)*T318</f>
        <v>6.0229885057471266</v>
      </c>
      <c r="O318" s="28"/>
      <c r="P318" s="28">
        <f t="shared" si="40"/>
        <v>0</v>
      </c>
      <c r="Q318" s="28"/>
      <c r="R318" s="29">
        <f t="shared" si="41"/>
        <v>0</v>
      </c>
      <c r="S318" s="28">
        <f t="shared" si="42"/>
        <v>0</v>
      </c>
      <c r="T318" s="30">
        <v>4</v>
      </c>
      <c r="U318" s="30"/>
      <c r="V318" s="112"/>
      <c r="W318" s="30"/>
      <c r="X318" s="30"/>
      <c r="Y318" s="30"/>
      <c r="Z318" s="30"/>
      <c r="AA318" s="30"/>
      <c r="AB318" s="30"/>
      <c r="AC318" s="30"/>
    </row>
    <row r="319" spans="1:29" s="3" customFormat="1" ht="21.95" customHeight="1">
      <c r="A319" s="23">
        <v>300433</v>
      </c>
      <c r="B319" s="153" t="s">
        <v>300</v>
      </c>
      <c r="C319" s="262" t="s">
        <v>305</v>
      </c>
      <c r="D319" s="263"/>
      <c r="E319" s="125" t="s">
        <v>308</v>
      </c>
      <c r="F319" s="25"/>
      <c r="G319" s="111"/>
      <c r="H319" s="111"/>
      <c r="I319" s="111"/>
      <c r="J319" s="111"/>
      <c r="K319" s="28">
        <f t="shared" si="38"/>
        <v>0</v>
      </c>
      <c r="L319" s="28">
        <f t="shared" si="39"/>
        <v>0</v>
      </c>
      <c r="M319" s="28">
        <v>628.79999999999995</v>
      </c>
      <c r="N319" s="28">
        <f>+M319*1000/(87*1*80*60)*T319</f>
        <v>6.0229885057471266</v>
      </c>
      <c r="O319" s="28"/>
      <c r="P319" s="28">
        <f t="shared" si="40"/>
        <v>0</v>
      </c>
      <c r="Q319" s="28"/>
      <c r="R319" s="29">
        <f t="shared" si="41"/>
        <v>0</v>
      </c>
      <c r="S319" s="28">
        <f t="shared" si="42"/>
        <v>0</v>
      </c>
      <c r="T319" s="30">
        <v>4</v>
      </c>
      <c r="U319" s="30"/>
      <c r="V319" s="112"/>
      <c r="W319" s="30"/>
      <c r="X319" s="30"/>
      <c r="Y319" s="30"/>
      <c r="Z319" s="30"/>
      <c r="AA319" s="30"/>
      <c r="AB319" s="30"/>
      <c r="AC319" s="30"/>
    </row>
    <row r="320" spans="1:29" s="2" customFormat="1" ht="21.95" customHeight="1">
      <c r="A320" s="160">
        <v>300074</v>
      </c>
      <c r="B320" s="153" t="s">
        <v>118</v>
      </c>
      <c r="C320" s="248" t="s">
        <v>119</v>
      </c>
      <c r="D320" s="248" t="s">
        <v>120</v>
      </c>
      <c r="E320" s="166" t="s">
        <v>54</v>
      </c>
      <c r="F320" s="165"/>
      <c r="G320" s="164"/>
      <c r="H320" s="164"/>
      <c r="I320" s="164"/>
      <c r="J320" s="164"/>
      <c r="K320" s="164">
        <f t="shared" si="38"/>
        <v>0</v>
      </c>
      <c r="L320" s="164">
        <f t="shared" si="39"/>
        <v>0</v>
      </c>
      <c r="M320" s="164">
        <v>290.8</v>
      </c>
      <c r="N320" s="164">
        <f>+M320*1000/(88*4*13*60)*T320</f>
        <v>3.1774475524475525</v>
      </c>
      <c r="O320" s="164"/>
      <c r="P320" s="164">
        <f t="shared" si="40"/>
        <v>0</v>
      </c>
      <c r="Q320" s="164"/>
      <c r="R320" s="19">
        <f t="shared" si="41"/>
        <v>0</v>
      </c>
      <c r="S320" s="164">
        <f t="shared" si="42"/>
        <v>0</v>
      </c>
      <c r="T320" s="20">
        <v>3</v>
      </c>
      <c r="U320" s="20"/>
      <c r="V320" s="161" t="str">
        <f t="array" ref="V320">IF(ISERROR(L320/K320),"",L320/K320)</f>
        <v/>
      </c>
      <c r="W320" s="20"/>
      <c r="X320" s="20"/>
      <c r="Y320" s="20"/>
      <c r="Z320" s="20"/>
      <c r="AA320" s="20"/>
      <c r="AB320" s="20"/>
      <c r="AC320" s="20"/>
    </row>
    <row r="321" spans="1:29" s="2" customFormat="1" ht="21.95" customHeight="1">
      <c r="A321" s="160">
        <v>300076</v>
      </c>
      <c r="B321" s="153" t="s">
        <v>118</v>
      </c>
      <c r="C321" s="248" t="s">
        <v>119</v>
      </c>
      <c r="D321" s="248" t="s">
        <v>120</v>
      </c>
      <c r="E321" s="166" t="s">
        <v>35</v>
      </c>
      <c r="F321" s="165"/>
      <c r="G321" s="164"/>
      <c r="H321" s="164"/>
      <c r="I321" s="164"/>
      <c r="J321" s="164"/>
      <c r="K321" s="164">
        <f t="shared" si="38"/>
        <v>0</v>
      </c>
      <c r="L321" s="164">
        <f t="shared" si="39"/>
        <v>0</v>
      </c>
      <c r="M321" s="164">
        <v>303.10000000000002</v>
      </c>
      <c r="N321" s="164">
        <f>+M321*1000/(88*4*12*60)*T321</f>
        <v>4.7837752525252526</v>
      </c>
      <c r="O321" s="164"/>
      <c r="P321" s="164">
        <f t="shared" si="40"/>
        <v>0</v>
      </c>
      <c r="Q321" s="164"/>
      <c r="R321" s="19">
        <f t="shared" si="41"/>
        <v>0</v>
      </c>
      <c r="S321" s="164">
        <f t="shared" si="42"/>
        <v>0</v>
      </c>
      <c r="T321" s="20">
        <v>4</v>
      </c>
      <c r="U321" s="20"/>
      <c r="V321" s="161" t="str">
        <f t="array" ref="V321">IF(ISERROR(L321/K321),"",L321/K321)</f>
        <v/>
      </c>
      <c r="W321" s="20"/>
      <c r="X321" s="20"/>
      <c r="Y321" s="20"/>
      <c r="Z321" s="20"/>
      <c r="AA321" s="20"/>
      <c r="AB321" s="20"/>
      <c r="AC321" s="20"/>
    </row>
    <row r="322" spans="1:29" s="2" customFormat="1" ht="21.95" customHeight="1">
      <c r="A322" s="160">
        <v>300096</v>
      </c>
      <c r="B322" s="156">
        <v>6502</v>
      </c>
      <c r="C322" s="261" t="s">
        <v>121</v>
      </c>
      <c r="D322" s="261" t="s">
        <v>122</v>
      </c>
      <c r="E322" s="42" t="s">
        <v>37</v>
      </c>
      <c r="F322" s="165"/>
      <c r="G322" s="164"/>
      <c r="H322" s="164"/>
      <c r="I322" s="164"/>
      <c r="J322" s="164"/>
      <c r="K322" s="164">
        <f t="shared" si="38"/>
        <v>0</v>
      </c>
      <c r="L322" s="164">
        <f t="shared" si="39"/>
        <v>0</v>
      </c>
      <c r="M322" s="164">
        <v>480.13</v>
      </c>
      <c r="N322" s="164">
        <f>+M322*1000/(126.5*4*12*60)*T322</f>
        <v>2.6357597716293371</v>
      </c>
      <c r="O322" s="164"/>
      <c r="P322" s="164">
        <f t="shared" si="40"/>
        <v>0</v>
      </c>
      <c r="Q322" s="164"/>
      <c r="R322" s="19">
        <f t="shared" si="41"/>
        <v>0</v>
      </c>
      <c r="S322" s="164">
        <f t="shared" si="42"/>
        <v>0</v>
      </c>
      <c r="T322" s="20">
        <v>2</v>
      </c>
      <c r="U322" s="20"/>
      <c r="V322" s="161" t="str">
        <f t="array" ref="V322">IF(ISERROR(L322/K322),"",L322/K322)</f>
        <v/>
      </c>
      <c r="W322" s="20"/>
      <c r="X322" s="20"/>
      <c r="Y322" s="20"/>
      <c r="Z322" s="20"/>
      <c r="AA322" s="20"/>
      <c r="AB322" s="20"/>
      <c r="AC322" s="20"/>
    </row>
    <row r="323" spans="1:29" s="2" customFormat="1" ht="21.95" customHeight="1">
      <c r="A323" s="160"/>
      <c r="B323" s="156" t="s">
        <v>118</v>
      </c>
      <c r="C323" s="261" t="s">
        <v>121</v>
      </c>
      <c r="D323" s="261" t="s">
        <v>122</v>
      </c>
      <c r="E323" s="42" t="s">
        <v>35</v>
      </c>
      <c r="F323" s="165"/>
      <c r="G323" s="164"/>
      <c r="H323" s="164"/>
      <c r="I323" s="164"/>
      <c r="J323" s="164"/>
      <c r="K323" s="164">
        <f t="shared" si="38"/>
        <v>0</v>
      </c>
      <c r="L323" s="164">
        <f t="shared" si="39"/>
        <v>0</v>
      </c>
      <c r="M323" s="164">
        <v>480.13</v>
      </c>
      <c r="N323" s="164">
        <f>+M323*1000/(126.5*4*12*60)*T323</f>
        <v>2.6357597716293371</v>
      </c>
      <c r="O323" s="164"/>
      <c r="P323" s="164">
        <f t="shared" si="40"/>
        <v>0</v>
      </c>
      <c r="Q323" s="164"/>
      <c r="R323" s="19">
        <f t="shared" si="41"/>
        <v>0</v>
      </c>
      <c r="S323" s="164">
        <f t="shared" si="42"/>
        <v>0</v>
      </c>
      <c r="T323" s="20">
        <v>2</v>
      </c>
      <c r="U323" s="20"/>
      <c r="V323" s="161" t="str">
        <f t="array" ref="V323">IF(ISERROR(L323/K323),"",L323/K323)</f>
        <v/>
      </c>
      <c r="W323" s="20"/>
      <c r="X323" s="20"/>
      <c r="Y323" s="20"/>
      <c r="Z323" s="20"/>
      <c r="AA323" s="20"/>
      <c r="AB323" s="20"/>
      <c r="AC323" s="20"/>
    </row>
    <row r="324" spans="1:29" s="2" customFormat="1" ht="21.95" customHeight="1">
      <c r="A324" s="160">
        <v>300097</v>
      </c>
      <c r="B324" s="156">
        <v>6502</v>
      </c>
      <c r="C324" s="261" t="s">
        <v>121</v>
      </c>
      <c r="D324" s="261" t="s">
        <v>122</v>
      </c>
      <c r="E324" s="42" t="s">
        <v>63</v>
      </c>
      <c r="F324" s="165"/>
      <c r="G324" s="164"/>
      <c r="H324" s="164"/>
      <c r="I324" s="164"/>
      <c r="J324" s="164"/>
      <c r="K324" s="164">
        <f t="shared" si="38"/>
        <v>0</v>
      </c>
      <c r="L324" s="164">
        <f t="shared" si="39"/>
        <v>0</v>
      </c>
      <c r="M324" s="164">
        <v>480.13</v>
      </c>
      <c r="N324" s="164">
        <f>+M324*1000/(126.5*4*12*60)*T324</f>
        <v>2.6357597716293371</v>
      </c>
      <c r="O324" s="164"/>
      <c r="P324" s="164">
        <f t="shared" si="40"/>
        <v>0</v>
      </c>
      <c r="Q324" s="164"/>
      <c r="R324" s="19">
        <f t="shared" si="41"/>
        <v>0</v>
      </c>
      <c r="S324" s="164">
        <f t="shared" si="42"/>
        <v>0</v>
      </c>
      <c r="T324" s="20">
        <v>2</v>
      </c>
      <c r="U324" s="20"/>
      <c r="V324" s="161" t="str">
        <f t="array" ref="V324">IF(ISERROR(L324/K324),"",L324/K324)</f>
        <v/>
      </c>
      <c r="W324" s="20"/>
      <c r="X324" s="20"/>
      <c r="Y324" s="20"/>
      <c r="Z324" s="20"/>
      <c r="AA324" s="20"/>
      <c r="AB324" s="20"/>
      <c r="AC324" s="20"/>
    </row>
    <row r="325" spans="1:29" s="2" customFormat="1" ht="21.95" customHeight="1">
      <c r="A325" s="153">
        <v>300294</v>
      </c>
      <c r="B325" s="153" t="s">
        <v>118</v>
      </c>
      <c r="C325" s="248" t="s">
        <v>123</v>
      </c>
      <c r="D325" s="248"/>
      <c r="E325" s="166" t="s">
        <v>41</v>
      </c>
      <c r="F325" s="165"/>
      <c r="G325" s="164"/>
      <c r="H325" s="164"/>
      <c r="I325" s="164"/>
      <c r="J325" s="164"/>
      <c r="K325" s="164">
        <f t="shared" si="38"/>
        <v>0</v>
      </c>
      <c r="L325" s="164">
        <f t="shared" si="39"/>
        <v>0</v>
      </c>
      <c r="M325" s="164">
        <v>373.14</v>
      </c>
      <c r="N325" s="164">
        <f t="shared" ref="N325:N334" si="44">+M325*1000/(90*4*14*60)*T325</f>
        <v>3.7017857142857142</v>
      </c>
      <c r="O325" s="164"/>
      <c r="P325" s="164">
        <f t="shared" si="40"/>
        <v>0</v>
      </c>
      <c r="Q325" s="164"/>
      <c r="R325" s="19">
        <f t="shared" si="41"/>
        <v>0</v>
      </c>
      <c r="S325" s="164">
        <f t="shared" si="42"/>
        <v>0</v>
      </c>
      <c r="T325" s="20">
        <v>3</v>
      </c>
      <c r="U325" s="20"/>
      <c r="V325" s="161" t="str">
        <f t="array" ref="V325">IF(ISERROR(L325/K325),"",L325/K325)</f>
        <v/>
      </c>
      <c r="W325" s="20"/>
      <c r="X325" s="20"/>
      <c r="Y325" s="20"/>
      <c r="Z325" s="20"/>
      <c r="AA325" s="20"/>
      <c r="AB325" s="20"/>
      <c r="AC325" s="20"/>
    </row>
    <row r="326" spans="1:29" s="2" customFormat="1" ht="21.95" customHeight="1">
      <c r="A326" s="153">
        <v>300295</v>
      </c>
      <c r="B326" s="153" t="s">
        <v>124</v>
      </c>
      <c r="C326" s="248" t="s">
        <v>125</v>
      </c>
      <c r="D326" s="248"/>
      <c r="E326" s="166" t="s">
        <v>126</v>
      </c>
      <c r="F326" s="165"/>
      <c r="G326" s="164"/>
      <c r="H326" s="164"/>
      <c r="I326" s="164"/>
      <c r="J326" s="164"/>
      <c r="K326" s="164">
        <f t="shared" si="38"/>
        <v>0</v>
      </c>
      <c r="L326" s="164">
        <f t="shared" si="39"/>
        <v>0</v>
      </c>
      <c r="M326" s="164">
        <v>373.14</v>
      </c>
      <c r="N326" s="164">
        <f t="shared" si="44"/>
        <v>3.7017857142857142</v>
      </c>
      <c r="O326" s="164"/>
      <c r="P326" s="164">
        <f t="shared" si="40"/>
        <v>0</v>
      </c>
      <c r="Q326" s="164"/>
      <c r="R326" s="19">
        <f t="shared" si="41"/>
        <v>0</v>
      </c>
      <c r="S326" s="164">
        <f t="shared" si="42"/>
        <v>0</v>
      </c>
      <c r="T326" s="20">
        <v>3</v>
      </c>
      <c r="U326" s="20"/>
      <c r="V326" s="161" t="str">
        <f t="array" ref="V326">IF(ISERROR(L326/K326),"",L326/K326)</f>
        <v/>
      </c>
      <c r="W326" s="20"/>
      <c r="X326" s="20"/>
      <c r="Y326" s="20"/>
      <c r="Z326" s="20"/>
      <c r="AA326" s="20"/>
      <c r="AB326" s="20"/>
      <c r="AC326" s="20"/>
    </row>
    <row r="327" spans="1:29" s="2" customFormat="1" ht="21.95" customHeight="1">
      <c r="A327" s="153">
        <v>300258</v>
      </c>
      <c r="B327" s="153" t="s">
        <v>118</v>
      </c>
      <c r="C327" s="248" t="s">
        <v>123</v>
      </c>
      <c r="D327" s="248"/>
      <c r="E327" s="166" t="s">
        <v>42</v>
      </c>
      <c r="F327" s="165"/>
      <c r="G327" s="164"/>
      <c r="H327" s="164"/>
      <c r="I327" s="164"/>
      <c r="J327" s="164"/>
      <c r="K327" s="164">
        <f t="shared" si="38"/>
        <v>0</v>
      </c>
      <c r="L327" s="164">
        <f t="shared" si="39"/>
        <v>0</v>
      </c>
      <c r="M327" s="164">
        <v>373.14</v>
      </c>
      <c r="N327" s="164">
        <f t="shared" si="44"/>
        <v>3.7017857142857142</v>
      </c>
      <c r="O327" s="164"/>
      <c r="P327" s="164">
        <f t="shared" si="40"/>
        <v>0</v>
      </c>
      <c r="Q327" s="164"/>
      <c r="R327" s="19">
        <f t="shared" si="41"/>
        <v>0</v>
      </c>
      <c r="S327" s="164">
        <f t="shared" si="42"/>
        <v>0</v>
      </c>
      <c r="T327" s="20">
        <v>3</v>
      </c>
      <c r="U327" s="20"/>
      <c r="V327" s="161" t="str">
        <f t="array" ref="V327">IF(ISERROR(L327/K327),"",L327/K327)</f>
        <v/>
      </c>
      <c r="W327" s="20"/>
      <c r="X327" s="20"/>
      <c r="Y327" s="20"/>
      <c r="Z327" s="20"/>
      <c r="AA327" s="20"/>
      <c r="AB327" s="20"/>
      <c r="AC327" s="20"/>
    </row>
    <row r="328" spans="1:29" s="2" customFormat="1" ht="21.95" customHeight="1">
      <c r="A328" s="153">
        <v>300256</v>
      </c>
      <c r="B328" s="153" t="s">
        <v>118</v>
      </c>
      <c r="C328" s="248" t="s">
        <v>123</v>
      </c>
      <c r="D328" s="248"/>
      <c r="E328" s="166" t="s">
        <v>74</v>
      </c>
      <c r="F328" s="165"/>
      <c r="G328" s="164"/>
      <c r="H328" s="164"/>
      <c r="I328" s="164"/>
      <c r="J328" s="164"/>
      <c r="K328" s="164">
        <f t="shared" si="38"/>
        <v>0</v>
      </c>
      <c r="L328" s="164">
        <f t="shared" si="39"/>
        <v>0</v>
      </c>
      <c r="M328" s="164">
        <v>373.14</v>
      </c>
      <c r="N328" s="164">
        <f t="shared" si="44"/>
        <v>3.7017857142857142</v>
      </c>
      <c r="O328" s="164"/>
      <c r="P328" s="164">
        <f t="shared" si="40"/>
        <v>0</v>
      </c>
      <c r="Q328" s="164"/>
      <c r="R328" s="19">
        <f t="shared" si="41"/>
        <v>0</v>
      </c>
      <c r="S328" s="164">
        <f t="shared" si="42"/>
        <v>0</v>
      </c>
      <c r="T328" s="20">
        <v>3</v>
      </c>
      <c r="U328" s="20"/>
      <c r="V328" s="161" t="str">
        <f t="array" ref="V328">IF(ISERROR(L328/K328),"",L328/K328)</f>
        <v/>
      </c>
      <c r="W328" s="20"/>
      <c r="X328" s="20"/>
      <c r="Y328" s="20"/>
      <c r="Z328" s="20"/>
      <c r="AA328" s="20"/>
      <c r="AB328" s="20"/>
      <c r="AC328" s="20"/>
    </row>
    <row r="329" spans="1:29" s="2" customFormat="1" ht="21.95" customHeight="1">
      <c r="A329" s="153">
        <v>300259</v>
      </c>
      <c r="B329" s="153" t="s">
        <v>118</v>
      </c>
      <c r="C329" s="248" t="s">
        <v>123</v>
      </c>
      <c r="D329" s="248"/>
      <c r="E329" s="166" t="s">
        <v>40</v>
      </c>
      <c r="F329" s="165"/>
      <c r="G329" s="164"/>
      <c r="H329" s="164"/>
      <c r="I329" s="164"/>
      <c r="J329" s="164"/>
      <c r="K329" s="164">
        <f t="shared" si="38"/>
        <v>0</v>
      </c>
      <c r="L329" s="164">
        <f t="shared" si="39"/>
        <v>0</v>
      </c>
      <c r="M329" s="164">
        <v>373.14</v>
      </c>
      <c r="N329" s="164">
        <f t="shared" si="44"/>
        <v>3.7017857142857142</v>
      </c>
      <c r="O329" s="164"/>
      <c r="P329" s="164">
        <f t="shared" si="40"/>
        <v>0</v>
      </c>
      <c r="Q329" s="164"/>
      <c r="R329" s="19">
        <f t="shared" si="41"/>
        <v>0</v>
      </c>
      <c r="S329" s="164">
        <f t="shared" si="42"/>
        <v>0</v>
      </c>
      <c r="T329" s="20">
        <v>3</v>
      </c>
      <c r="U329" s="20"/>
      <c r="V329" s="161" t="str">
        <f t="array" ref="V329">IF(ISERROR(L329/K329),"",L329/K329)</f>
        <v/>
      </c>
      <c r="W329" s="20"/>
      <c r="X329" s="20"/>
      <c r="Y329" s="20"/>
      <c r="Z329" s="20"/>
      <c r="AA329" s="20"/>
      <c r="AB329" s="20"/>
      <c r="AC329" s="20"/>
    </row>
    <row r="330" spans="1:29" s="2" customFormat="1" ht="21.95" customHeight="1">
      <c r="A330" s="153">
        <v>300345</v>
      </c>
      <c r="B330" s="153" t="s">
        <v>118</v>
      </c>
      <c r="C330" s="248" t="s">
        <v>127</v>
      </c>
      <c r="D330" s="248"/>
      <c r="E330" s="166" t="s">
        <v>74</v>
      </c>
      <c r="F330" s="165"/>
      <c r="G330" s="41"/>
      <c r="H330" s="41"/>
      <c r="I330" s="41"/>
      <c r="J330" s="41"/>
      <c r="K330" s="164">
        <f t="shared" si="38"/>
        <v>0</v>
      </c>
      <c r="L330" s="164">
        <f t="shared" si="39"/>
        <v>0</v>
      </c>
      <c r="M330" s="164">
        <v>373.14</v>
      </c>
      <c r="N330" s="164">
        <f t="shared" si="44"/>
        <v>3.7017857142857142</v>
      </c>
      <c r="O330" s="41"/>
      <c r="P330" s="164">
        <f t="shared" si="40"/>
        <v>0</v>
      </c>
      <c r="Q330" s="41"/>
      <c r="R330" s="19">
        <f t="shared" si="41"/>
        <v>0</v>
      </c>
      <c r="S330" s="164">
        <f t="shared" si="42"/>
        <v>0</v>
      </c>
      <c r="T330" s="20">
        <v>3</v>
      </c>
      <c r="U330" s="41"/>
      <c r="V330" s="161"/>
      <c r="W330" s="41"/>
      <c r="X330" s="41"/>
      <c r="Y330" s="41"/>
      <c r="Z330" s="41"/>
      <c r="AA330" s="41"/>
      <c r="AB330" s="41"/>
      <c r="AC330" s="41"/>
    </row>
    <row r="331" spans="1:29" s="2" customFormat="1" ht="21.95" customHeight="1">
      <c r="A331" s="153">
        <v>300346</v>
      </c>
      <c r="B331" s="153" t="s">
        <v>118</v>
      </c>
      <c r="C331" s="248" t="s">
        <v>127</v>
      </c>
      <c r="D331" s="248"/>
      <c r="E331" s="166" t="s">
        <v>42</v>
      </c>
      <c r="F331" s="165"/>
      <c r="G331" s="41"/>
      <c r="H331" s="41"/>
      <c r="I331" s="41"/>
      <c r="J331" s="41"/>
      <c r="K331" s="164">
        <f t="shared" si="38"/>
        <v>0</v>
      </c>
      <c r="L331" s="164">
        <f t="shared" si="39"/>
        <v>0</v>
      </c>
      <c r="M331" s="164">
        <v>373.14</v>
      </c>
      <c r="N331" s="164">
        <f t="shared" si="44"/>
        <v>3.7017857142857142</v>
      </c>
      <c r="O331" s="41"/>
      <c r="P331" s="164">
        <f t="shared" si="40"/>
        <v>0</v>
      </c>
      <c r="Q331" s="41"/>
      <c r="R331" s="19">
        <f t="shared" si="41"/>
        <v>0</v>
      </c>
      <c r="S331" s="164">
        <f t="shared" si="42"/>
        <v>0</v>
      </c>
      <c r="T331" s="20">
        <v>3</v>
      </c>
      <c r="U331" s="41"/>
      <c r="V331" s="161"/>
      <c r="W331" s="41"/>
      <c r="X331" s="41"/>
      <c r="Y331" s="41"/>
      <c r="Z331" s="41"/>
      <c r="AA331" s="41"/>
      <c r="AB331" s="41"/>
      <c r="AC331" s="41"/>
    </row>
    <row r="332" spans="1:29" s="2" customFormat="1" ht="21.95" customHeight="1">
      <c r="A332" s="153">
        <v>300347</v>
      </c>
      <c r="B332" s="153" t="s">
        <v>118</v>
      </c>
      <c r="C332" s="248" t="s">
        <v>127</v>
      </c>
      <c r="D332" s="248"/>
      <c r="E332" s="166" t="s">
        <v>41</v>
      </c>
      <c r="F332" s="165"/>
      <c r="G332" s="41"/>
      <c r="H332" s="41"/>
      <c r="I332" s="41"/>
      <c r="J332" s="41"/>
      <c r="K332" s="164">
        <f t="shared" si="38"/>
        <v>0</v>
      </c>
      <c r="L332" s="164">
        <f t="shared" si="39"/>
        <v>0</v>
      </c>
      <c r="M332" s="164">
        <v>373.14</v>
      </c>
      <c r="N332" s="164">
        <f t="shared" si="44"/>
        <v>3.7017857142857142</v>
      </c>
      <c r="O332" s="41"/>
      <c r="P332" s="164">
        <f t="shared" si="40"/>
        <v>0</v>
      </c>
      <c r="Q332" s="41"/>
      <c r="R332" s="19">
        <f t="shared" si="41"/>
        <v>0</v>
      </c>
      <c r="S332" s="164">
        <f t="shared" si="42"/>
        <v>0</v>
      </c>
      <c r="T332" s="20">
        <v>3</v>
      </c>
      <c r="U332" s="41"/>
      <c r="V332" s="161"/>
      <c r="W332" s="41"/>
      <c r="X332" s="41"/>
      <c r="Y332" s="41"/>
      <c r="Z332" s="41"/>
      <c r="AA332" s="41"/>
      <c r="AB332" s="41"/>
      <c r="AC332" s="41"/>
    </row>
    <row r="333" spans="1:29" s="2" customFormat="1" ht="21.95" customHeight="1">
      <c r="A333" s="153">
        <v>300348</v>
      </c>
      <c r="B333" s="153" t="s">
        <v>118</v>
      </c>
      <c r="C333" s="248" t="s">
        <v>127</v>
      </c>
      <c r="D333" s="248"/>
      <c r="E333" s="166" t="s">
        <v>126</v>
      </c>
      <c r="F333" s="165"/>
      <c r="G333" s="41"/>
      <c r="H333" s="41"/>
      <c r="I333" s="41"/>
      <c r="J333" s="41"/>
      <c r="K333" s="164">
        <f t="shared" si="38"/>
        <v>0</v>
      </c>
      <c r="L333" s="164">
        <f t="shared" si="39"/>
        <v>0</v>
      </c>
      <c r="M333" s="164">
        <v>373.14</v>
      </c>
      <c r="N333" s="164">
        <f t="shared" si="44"/>
        <v>3.7017857142857142</v>
      </c>
      <c r="O333" s="41"/>
      <c r="P333" s="164">
        <f t="shared" si="40"/>
        <v>0</v>
      </c>
      <c r="Q333" s="41"/>
      <c r="R333" s="19">
        <f t="shared" si="41"/>
        <v>0</v>
      </c>
      <c r="S333" s="164">
        <f t="shared" si="42"/>
        <v>0</v>
      </c>
      <c r="T333" s="20">
        <v>3</v>
      </c>
      <c r="U333" s="41"/>
      <c r="V333" s="161"/>
      <c r="W333" s="41"/>
      <c r="X333" s="41"/>
      <c r="Y333" s="41"/>
      <c r="Z333" s="41"/>
      <c r="AA333" s="41"/>
      <c r="AB333" s="41"/>
      <c r="AC333" s="41"/>
    </row>
    <row r="334" spans="1:29" s="2" customFormat="1" ht="21.95" customHeight="1">
      <c r="A334" s="153">
        <v>300349</v>
      </c>
      <c r="B334" s="153" t="s">
        <v>118</v>
      </c>
      <c r="C334" s="248" t="s">
        <v>127</v>
      </c>
      <c r="D334" s="248"/>
      <c r="E334" s="166" t="s">
        <v>40</v>
      </c>
      <c r="F334" s="165"/>
      <c r="G334" s="41"/>
      <c r="H334" s="41"/>
      <c r="I334" s="41"/>
      <c r="J334" s="41"/>
      <c r="K334" s="164">
        <f t="shared" si="38"/>
        <v>0</v>
      </c>
      <c r="L334" s="164">
        <f t="shared" si="39"/>
        <v>0</v>
      </c>
      <c r="M334" s="164">
        <v>373.14</v>
      </c>
      <c r="N334" s="164">
        <f t="shared" si="44"/>
        <v>3.7017857142857142</v>
      </c>
      <c r="O334" s="41"/>
      <c r="P334" s="164">
        <f t="shared" si="40"/>
        <v>0</v>
      </c>
      <c r="Q334" s="41"/>
      <c r="R334" s="19">
        <f t="shared" si="41"/>
        <v>0</v>
      </c>
      <c r="S334" s="164">
        <f t="shared" si="42"/>
        <v>0</v>
      </c>
      <c r="T334" s="20">
        <v>3</v>
      </c>
      <c r="U334" s="41"/>
      <c r="V334" s="161"/>
      <c r="W334" s="41"/>
      <c r="X334" s="41"/>
      <c r="Y334" s="41"/>
      <c r="Z334" s="41"/>
      <c r="AA334" s="41"/>
      <c r="AB334" s="41"/>
      <c r="AC334" s="41"/>
    </row>
    <row r="335" spans="1:29" s="2" customFormat="1" ht="21.95" customHeight="1">
      <c r="A335" s="153">
        <v>300298</v>
      </c>
      <c r="B335" s="153" t="s">
        <v>118</v>
      </c>
      <c r="C335" s="248" t="s">
        <v>128</v>
      </c>
      <c r="D335" s="248"/>
      <c r="E335" s="166" t="s">
        <v>54</v>
      </c>
      <c r="F335" s="165"/>
      <c r="G335" s="164"/>
      <c r="H335" s="164"/>
      <c r="I335" s="164"/>
      <c r="J335" s="164"/>
      <c r="K335" s="164">
        <f t="shared" si="38"/>
        <v>0</v>
      </c>
      <c r="L335" s="164">
        <f t="shared" si="39"/>
        <v>0</v>
      </c>
      <c r="M335" s="164">
        <v>380.63</v>
      </c>
      <c r="N335" s="164">
        <f t="shared" ref="N335:N340" si="45">+M335*1000/(94.7*4*15*60)*T335</f>
        <v>4.4659157573624313</v>
      </c>
      <c r="O335" s="164"/>
      <c r="P335" s="164">
        <f t="shared" si="40"/>
        <v>0</v>
      </c>
      <c r="Q335" s="164"/>
      <c r="R335" s="19">
        <f t="shared" si="41"/>
        <v>0</v>
      </c>
      <c r="S335" s="164">
        <f t="shared" si="42"/>
        <v>0</v>
      </c>
      <c r="T335" s="20">
        <v>4</v>
      </c>
      <c r="U335" s="20"/>
      <c r="V335" s="161" t="str">
        <f t="array" ref="V335">IF(ISERROR(L335/K335),"",L335/K335)</f>
        <v/>
      </c>
      <c r="W335" s="20"/>
      <c r="X335" s="20"/>
      <c r="Y335" s="20"/>
      <c r="Z335" s="20"/>
      <c r="AA335" s="20"/>
      <c r="AB335" s="20"/>
      <c r="AC335" s="20"/>
    </row>
    <row r="336" spans="1:29" s="2" customFormat="1" ht="21.95" customHeight="1">
      <c r="A336" s="153">
        <v>300299</v>
      </c>
      <c r="B336" s="153" t="s">
        <v>118</v>
      </c>
      <c r="C336" s="248" t="s">
        <v>128</v>
      </c>
      <c r="D336" s="248"/>
      <c r="E336" s="166" t="s">
        <v>39</v>
      </c>
      <c r="F336" s="165"/>
      <c r="G336" s="164"/>
      <c r="H336" s="164"/>
      <c r="I336" s="164"/>
      <c r="J336" s="164"/>
      <c r="K336" s="164">
        <f t="shared" si="38"/>
        <v>0</v>
      </c>
      <c r="L336" s="164">
        <f t="shared" si="39"/>
        <v>0</v>
      </c>
      <c r="M336" s="164">
        <v>380.63</v>
      </c>
      <c r="N336" s="164">
        <f t="shared" si="45"/>
        <v>4.4659157573624313</v>
      </c>
      <c r="O336" s="164"/>
      <c r="P336" s="164">
        <f t="shared" si="40"/>
        <v>0</v>
      </c>
      <c r="Q336" s="164"/>
      <c r="R336" s="19">
        <f t="shared" si="41"/>
        <v>0</v>
      </c>
      <c r="S336" s="164">
        <f t="shared" si="42"/>
        <v>0</v>
      </c>
      <c r="T336" s="20">
        <v>4</v>
      </c>
      <c r="U336" s="20"/>
      <c r="V336" s="161" t="str">
        <f t="array" ref="V336">IF(ISERROR(L336/K336),"",L336/K336)</f>
        <v/>
      </c>
      <c r="W336" s="20"/>
      <c r="X336" s="20"/>
      <c r="Y336" s="20"/>
      <c r="Z336" s="20"/>
      <c r="AA336" s="20"/>
      <c r="AB336" s="20"/>
      <c r="AC336" s="20"/>
    </row>
    <row r="337" spans="1:29" s="2" customFormat="1" ht="21.95" customHeight="1">
      <c r="A337" s="153">
        <v>300296</v>
      </c>
      <c r="B337" s="153" t="s">
        <v>118</v>
      </c>
      <c r="C337" s="248" t="s">
        <v>128</v>
      </c>
      <c r="D337" s="248"/>
      <c r="E337" s="166" t="s">
        <v>41</v>
      </c>
      <c r="F337" s="165"/>
      <c r="G337" s="164"/>
      <c r="H337" s="164"/>
      <c r="I337" s="164"/>
      <c r="J337" s="164"/>
      <c r="K337" s="164">
        <f t="shared" si="38"/>
        <v>0</v>
      </c>
      <c r="L337" s="164">
        <f t="shared" si="39"/>
        <v>0</v>
      </c>
      <c r="M337" s="164">
        <v>380.63</v>
      </c>
      <c r="N337" s="164">
        <f t="shared" si="45"/>
        <v>4.4659157573624313</v>
      </c>
      <c r="O337" s="164"/>
      <c r="P337" s="164">
        <f t="shared" si="40"/>
        <v>0</v>
      </c>
      <c r="Q337" s="164"/>
      <c r="R337" s="19">
        <f t="shared" si="41"/>
        <v>0</v>
      </c>
      <c r="S337" s="164">
        <f t="shared" si="42"/>
        <v>0</v>
      </c>
      <c r="T337" s="20">
        <v>4</v>
      </c>
      <c r="U337" s="20"/>
      <c r="V337" s="161" t="str">
        <f t="array" ref="V337">IF(ISERROR(L337/K337),"",L337/K337)</f>
        <v/>
      </c>
      <c r="W337" s="20"/>
      <c r="X337" s="20"/>
      <c r="Y337" s="20"/>
      <c r="Z337" s="20"/>
      <c r="AA337" s="20"/>
      <c r="AB337" s="20"/>
      <c r="AC337" s="20"/>
    </row>
    <row r="338" spans="1:29" s="2" customFormat="1" ht="21.95" customHeight="1">
      <c r="A338" s="153">
        <v>300297</v>
      </c>
      <c r="B338" s="153" t="s">
        <v>118</v>
      </c>
      <c r="C338" s="248" t="s">
        <v>128</v>
      </c>
      <c r="D338" s="248"/>
      <c r="E338" s="166" t="s">
        <v>37</v>
      </c>
      <c r="F338" s="165"/>
      <c r="G338" s="164"/>
      <c r="H338" s="164"/>
      <c r="I338" s="164"/>
      <c r="J338" s="164"/>
      <c r="K338" s="164">
        <f t="shared" si="38"/>
        <v>0</v>
      </c>
      <c r="L338" s="164">
        <f t="shared" si="39"/>
        <v>0</v>
      </c>
      <c r="M338" s="164">
        <v>380.63</v>
      </c>
      <c r="N338" s="164">
        <f t="shared" si="45"/>
        <v>4.4659157573624313</v>
      </c>
      <c r="O338" s="164"/>
      <c r="P338" s="164">
        <f t="shared" si="40"/>
        <v>0</v>
      </c>
      <c r="Q338" s="164"/>
      <c r="R338" s="19">
        <f t="shared" si="41"/>
        <v>0</v>
      </c>
      <c r="S338" s="164">
        <f t="shared" si="42"/>
        <v>0</v>
      </c>
      <c r="T338" s="20">
        <v>4</v>
      </c>
      <c r="U338" s="20"/>
      <c r="V338" s="161" t="str">
        <f t="array" ref="V338">IF(ISERROR(L338/K338),"",L338/K338)</f>
        <v/>
      </c>
      <c r="W338" s="20"/>
      <c r="X338" s="20"/>
      <c r="Y338" s="20"/>
      <c r="Z338" s="20"/>
      <c r="AA338" s="20"/>
      <c r="AB338" s="20"/>
      <c r="AC338" s="20"/>
    </row>
    <row r="339" spans="1:29" s="2" customFormat="1" ht="21.95" customHeight="1">
      <c r="A339" s="153">
        <v>300340</v>
      </c>
      <c r="B339" s="153" t="s">
        <v>118</v>
      </c>
      <c r="C339" s="259" t="s">
        <v>129</v>
      </c>
      <c r="D339" s="260"/>
      <c r="E339" s="166" t="s">
        <v>41</v>
      </c>
      <c r="F339" s="165"/>
      <c r="G339" s="164"/>
      <c r="H339" s="164"/>
      <c r="I339" s="164"/>
      <c r="J339" s="164"/>
      <c r="K339" s="164">
        <f t="shared" si="38"/>
        <v>0</v>
      </c>
      <c r="L339" s="164">
        <f t="shared" si="39"/>
        <v>0</v>
      </c>
      <c r="M339" s="164">
        <v>325.60000000000002</v>
      </c>
      <c r="N339" s="164">
        <f t="shared" si="45"/>
        <v>3.8202510852986036</v>
      </c>
      <c r="O339" s="164"/>
      <c r="P339" s="164">
        <f t="shared" si="40"/>
        <v>0</v>
      </c>
      <c r="Q339" s="164"/>
      <c r="R339" s="19">
        <f t="shared" si="41"/>
        <v>0</v>
      </c>
      <c r="S339" s="164">
        <f t="shared" si="42"/>
        <v>0</v>
      </c>
      <c r="T339" s="20">
        <v>4</v>
      </c>
      <c r="U339" s="20"/>
      <c r="V339" s="161"/>
      <c r="W339" s="20"/>
      <c r="X339" s="20"/>
      <c r="Y339" s="20"/>
      <c r="Z339" s="20"/>
      <c r="AA339" s="20"/>
      <c r="AB339" s="20"/>
      <c r="AC339" s="20"/>
    </row>
    <row r="340" spans="1:29" s="2" customFormat="1" ht="21.95" customHeight="1">
      <c r="A340" s="153">
        <v>300339</v>
      </c>
      <c r="B340" s="153" t="s">
        <v>118</v>
      </c>
      <c r="C340" s="259" t="s">
        <v>129</v>
      </c>
      <c r="D340" s="260"/>
      <c r="E340" s="166" t="s">
        <v>39</v>
      </c>
      <c r="F340" s="165"/>
      <c r="G340" s="164"/>
      <c r="H340" s="164"/>
      <c r="I340" s="164"/>
      <c r="J340" s="164"/>
      <c r="K340" s="164">
        <f t="shared" si="38"/>
        <v>0</v>
      </c>
      <c r="L340" s="164">
        <f t="shared" si="39"/>
        <v>0</v>
      </c>
      <c r="M340" s="164">
        <v>325.60000000000002</v>
      </c>
      <c r="N340" s="164">
        <f t="shared" si="45"/>
        <v>3.8202510852986036</v>
      </c>
      <c r="O340" s="164"/>
      <c r="P340" s="164">
        <f t="shared" si="40"/>
        <v>0</v>
      </c>
      <c r="Q340" s="164"/>
      <c r="R340" s="19">
        <f t="shared" si="41"/>
        <v>0</v>
      </c>
      <c r="S340" s="164">
        <f t="shared" si="42"/>
        <v>0</v>
      </c>
      <c r="T340" s="20">
        <v>4</v>
      </c>
      <c r="U340" s="20"/>
      <c r="V340" s="161"/>
      <c r="W340" s="20"/>
      <c r="X340" s="20"/>
      <c r="Y340" s="20"/>
      <c r="Z340" s="20"/>
      <c r="AA340" s="20"/>
      <c r="AB340" s="20"/>
      <c r="AC340" s="20"/>
    </row>
    <row r="341" spans="1:29" s="2" customFormat="1" ht="21.95" customHeight="1">
      <c r="A341" s="153">
        <v>300303</v>
      </c>
      <c r="B341" s="153" t="s">
        <v>118</v>
      </c>
      <c r="C341" s="248" t="s">
        <v>130</v>
      </c>
      <c r="D341" s="248" t="s">
        <v>131</v>
      </c>
      <c r="E341" s="166" t="s">
        <v>57</v>
      </c>
      <c r="F341" s="165"/>
      <c r="G341" s="164"/>
      <c r="H341" s="164"/>
      <c r="I341" s="164"/>
      <c r="J341" s="164"/>
      <c r="K341" s="164">
        <f t="shared" si="38"/>
        <v>0</v>
      </c>
      <c r="L341" s="164">
        <f t="shared" si="39"/>
        <v>0</v>
      </c>
      <c r="M341" s="164">
        <v>396.92</v>
      </c>
      <c r="N341" s="164">
        <f>+M341*1000/(113.8*4*15*60)*T341</f>
        <v>4.8442686975200155</v>
      </c>
      <c r="O341" s="164"/>
      <c r="P341" s="164">
        <f t="shared" si="40"/>
        <v>0</v>
      </c>
      <c r="Q341" s="164"/>
      <c r="R341" s="19">
        <f t="shared" si="41"/>
        <v>0</v>
      </c>
      <c r="S341" s="164">
        <f t="shared" si="42"/>
        <v>0</v>
      </c>
      <c r="T341" s="20">
        <v>5</v>
      </c>
      <c r="U341" s="20"/>
      <c r="V341" s="161" t="str">
        <f t="array" ref="V341">IF(ISERROR(L341/K341),"",L341/K341)</f>
        <v/>
      </c>
      <c r="W341" s="20"/>
      <c r="X341" s="20"/>
      <c r="Y341" s="20"/>
      <c r="Z341" s="20"/>
      <c r="AA341" s="20"/>
      <c r="AB341" s="20"/>
      <c r="AC341" s="20"/>
    </row>
    <row r="342" spans="1:29" s="2" customFormat="1" ht="21.95" customHeight="1">
      <c r="A342" s="153">
        <v>300302</v>
      </c>
      <c r="B342" s="153" t="s">
        <v>118</v>
      </c>
      <c r="C342" s="248" t="s">
        <v>130</v>
      </c>
      <c r="D342" s="248" t="s">
        <v>131</v>
      </c>
      <c r="E342" s="166" t="s">
        <v>117</v>
      </c>
      <c r="F342" s="165"/>
      <c r="G342" s="164"/>
      <c r="H342" s="164"/>
      <c r="I342" s="164"/>
      <c r="J342" s="164"/>
      <c r="K342" s="164">
        <f t="shared" si="38"/>
        <v>0</v>
      </c>
      <c r="L342" s="164">
        <f t="shared" si="39"/>
        <v>0</v>
      </c>
      <c r="M342" s="164">
        <v>396.06</v>
      </c>
      <c r="N342" s="164">
        <f>+M342*1000/(113.8*4*15*60)*T342</f>
        <v>4.8337727006444053</v>
      </c>
      <c r="O342" s="164"/>
      <c r="P342" s="164">
        <f t="shared" si="40"/>
        <v>0</v>
      </c>
      <c r="Q342" s="164"/>
      <c r="R342" s="19">
        <f t="shared" si="41"/>
        <v>0</v>
      </c>
      <c r="S342" s="164">
        <f t="shared" si="42"/>
        <v>0</v>
      </c>
      <c r="T342" s="20">
        <v>5</v>
      </c>
      <c r="U342" s="20"/>
      <c r="V342" s="161" t="str">
        <f t="array" ref="V342">IF(ISERROR(L342/K342),"",L342/K342)</f>
        <v/>
      </c>
      <c r="W342" s="20"/>
      <c r="X342" s="20"/>
      <c r="Y342" s="20"/>
      <c r="Z342" s="20"/>
      <c r="AA342" s="20"/>
      <c r="AB342" s="20"/>
      <c r="AC342" s="20"/>
    </row>
    <row r="343" spans="1:29" s="2" customFormat="1" ht="21.95" customHeight="1">
      <c r="A343" s="153">
        <v>300301</v>
      </c>
      <c r="B343" s="153" t="s">
        <v>118</v>
      </c>
      <c r="C343" s="248" t="s">
        <v>130</v>
      </c>
      <c r="D343" s="248" t="s">
        <v>131</v>
      </c>
      <c r="E343" s="166" t="s">
        <v>132</v>
      </c>
      <c r="F343" s="165"/>
      <c r="G343" s="164"/>
      <c r="H343" s="164"/>
      <c r="I343" s="164"/>
      <c r="J343" s="164"/>
      <c r="K343" s="164">
        <f t="shared" si="38"/>
        <v>0</v>
      </c>
      <c r="L343" s="164">
        <f t="shared" si="39"/>
        <v>0</v>
      </c>
      <c r="M343" s="164">
        <v>401.25</v>
      </c>
      <c r="N343" s="164">
        <f>+M343*1000/(113.8*4*15*60)*T343</f>
        <v>4.8971148213239601</v>
      </c>
      <c r="O343" s="164"/>
      <c r="P343" s="164">
        <f t="shared" si="40"/>
        <v>0</v>
      </c>
      <c r="Q343" s="164"/>
      <c r="R343" s="19">
        <f t="shared" si="41"/>
        <v>0</v>
      </c>
      <c r="S343" s="164">
        <f t="shared" si="42"/>
        <v>0</v>
      </c>
      <c r="T343" s="20">
        <v>5</v>
      </c>
      <c r="U343" s="20"/>
      <c r="V343" s="161" t="str">
        <f t="array" ref="V343">IF(ISERROR(L343/K343),"",L343/K343)</f>
        <v/>
      </c>
      <c r="W343" s="20"/>
      <c r="X343" s="20"/>
      <c r="Y343" s="20"/>
      <c r="Z343" s="20"/>
      <c r="AA343" s="20"/>
      <c r="AB343" s="20"/>
      <c r="AC343" s="20"/>
    </row>
    <row r="344" spans="1:29" s="2" customFormat="1" ht="21.95" customHeight="1">
      <c r="A344" s="160">
        <v>300304</v>
      </c>
      <c r="B344" s="153" t="s">
        <v>118</v>
      </c>
      <c r="C344" s="248" t="s">
        <v>130</v>
      </c>
      <c r="D344" s="248"/>
      <c r="E344" s="166" t="s">
        <v>133</v>
      </c>
      <c r="F344" s="165"/>
      <c r="G344" s="164"/>
      <c r="H344" s="164"/>
      <c r="I344" s="164"/>
      <c r="J344" s="164"/>
      <c r="K344" s="164">
        <f t="shared" si="38"/>
        <v>0</v>
      </c>
      <c r="L344" s="164">
        <f t="shared" si="39"/>
        <v>0</v>
      </c>
      <c r="M344" s="164">
        <v>401.25</v>
      </c>
      <c r="N344" s="164">
        <f>+M344*1000/(113.8*4*15*60)*T344</f>
        <v>4.8971148213239601</v>
      </c>
      <c r="O344" s="164"/>
      <c r="P344" s="164">
        <f t="shared" si="40"/>
        <v>0</v>
      </c>
      <c r="Q344" s="164"/>
      <c r="R344" s="19">
        <f t="shared" si="41"/>
        <v>0</v>
      </c>
      <c r="S344" s="164">
        <f t="shared" si="42"/>
        <v>0</v>
      </c>
      <c r="T344" s="20">
        <v>5</v>
      </c>
      <c r="U344" s="20"/>
      <c r="V344" s="161" t="str">
        <f t="array" ref="V344">IF(ISERROR(L344/K344),"",L344/K344)</f>
        <v/>
      </c>
      <c r="W344" s="20"/>
      <c r="X344" s="20"/>
      <c r="Y344" s="20"/>
      <c r="Z344" s="20"/>
      <c r="AA344" s="20"/>
      <c r="AB344" s="20"/>
      <c r="AC344" s="20"/>
    </row>
    <row r="345" spans="1:29" s="2" customFormat="1" ht="21.95" customHeight="1">
      <c r="A345" s="160">
        <v>300300</v>
      </c>
      <c r="B345" s="153" t="s">
        <v>118</v>
      </c>
      <c r="C345" s="248" t="s">
        <v>130</v>
      </c>
      <c r="D345" s="248" t="s">
        <v>131</v>
      </c>
      <c r="E345" s="166" t="s">
        <v>54</v>
      </c>
      <c r="F345" s="165"/>
      <c r="G345" s="164"/>
      <c r="H345" s="164"/>
      <c r="I345" s="164"/>
      <c r="J345" s="164"/>
      <c r="K345" s="164">
        <f t="shared" si="38"/>
        <v>0</v>
      </c>
      <c r="L345" s="164">
        <f t="shared" si="39"/>
        <v>0</v>
      </c>
      <c r="M345" s="164">
        <v>399.07</v>
      </c>
      <c r="N345" s="164">
        <f>+M345*1000/(113.8*4*15*60)*T345</f>
        <v>4.8705086897090411</v>
      </c>
      <c r="O345" s="164"/>
      <c r="P345" s="164">
        <f t="shared" si="40"/>
        <v>0</v>
      </c>
      <c r="Q345" s="164"/>
      <c r="R345" s="19">
        <f t="shared" si="41"/>
        <v>0</v>
      </c>
      <c r="S345" s="164">
        <f t="shared" si="42"/>
        <v>0</v>
      </c>
      <c r="T345" s="20">
        <v>5</v>
      </c>
      <c r="U345" s="20"/>
      <c r="V345" s="161" t="str">
        <f t="array" ref="V345">IF(ISERROR(L345/K345),"",L345/K345)</f>
        <v/>
      </c>
      <c r="W345" s="20"/>
      <c r="X345" s="20"/>
      <c r="Y345" s="20"/>
      <c r="Z345" s="20"/>
      <c r="AA345" s="20"/>
      <c r="AB345" s="20"/>
      <c r="AC345" s="20"/>
    </row>
    <row r="346" spans="1:29" s="2" customFormat="1" ht="21.95" customHeight="1">
      <c r="A346" s="160">
        <v>300085</v>
      </c>
      <c r="B346" s="153" t="s">
        <v>118</v>
      </c>
      <c r="C346" s="248" t="s">
        <v>134</v>
      </c>
      <c r="D346" s="248" t="s">
        <v>131</v>
      </c>
      <c r="E346" s="166" t="s">
        <v>135</v>
      </c>
      <c r="F346" s="165"/>
      <c r="G346" s="164"/>
      <c r="H346" s="164"/>
      <c r="I346" s="164"/>
      <c r="J346" s="164"/>
      <c r="K346" s="164">
        <f t="shared" si="38"/>
        <v>0</v>
      </c>
      <c r="L346" s="164">
        <f t="shared" si="39"/>
        <v>0</v>
      </c>
      <c r="M346" s="164">
        <v>394.3</v>
      </c>
      <c r="N346" s="164">
        <f>+M346*1000/(104.2*4*15*60)*T346</f>
        <v>6.3067818298144598</v>
      </c>
      <c r="O346" s="164"/>
      <c r="P346" s="164">
        <f t="shared" si="40"/>
        <v>0</v>
      </c>
      <c r="Q346" s="164"/>
      <c r="R346" s="19">
        <f t="shared" si="41"/>
        <v>0</v>
      </c>
      <c r="S346" s="164">
        <f t="shared" si="42"/>
        <v>0</v>
      </c>
      <c r="T346" s="20">
        <v>6</v>
      </c>
      <c r="U346" s="20"/>
      <c r="V346" s="161" t="str">
        <f t="array" ref="V346">IF(ISERROR(L346/K346),"",L346/K346)</f>
        <v/>
      </c>
      <c r="W346" s="20"/>
      <c r="X346" s="20"/>
      <c r="Y346" s="20"/>
      <c r="Z346" s="20"/>
      <c r="AA346" s="20"/>
      <c r="AB346" s="20"/>
      <c r="AC346" s="20"/>
    </row>
    <row r="347" spans="1:29" s="2" customFormat="1" ht="21.95" customHeight="1">
      <c r="A347" s="160">
        <v>300087</v>
      </c>
      <c r="B347" s="153" t="s">
        <v>118</v>
      </c>
      <c r="C347" s="248" t="s">
        <v>134</v>
      </c>
      <c r="D347" s="248" t="s">
        <v>131</v>
      </c>
      <c r="E347" s="166" t="s">
        <v>80</v>
      </c>
      <c r="F347" s="165"/>
      <c r="G347" s="164"/>
      <c r="H347" s="164"/>
      <c r="I347" s="164"/>
      <c r="J347" s="164"/>
      <c r="K347" s="164">
        <f t="shared" si="38"/>
        <v>0</v>
      </c>
      <c r="L347" s="164">
        <f t="shared" si="39"/>
        <v>0</v>
      </c>
      <c r="M347" s="164">
        <v>380.1</v>
      </c>
      <c r="N347" s="164">
        <f>+M347*1000/(104.2*4*16*60)*T347</f>
        <v>4.7497300863723604</v>
      </c>
      <c r="O347" s="164"/>
      <c r="P347" s="164">
        <f t="shared" si="40"/>
        <v>0</v>
      </c>
      <c r="Q347" s="164"/>
      <c r="R347" s="19">
        <f t="shared" si="41"/>
        <v>0</v>
      </c>
      <c r="S347" s="164">
        <f t="shared" si="42"/>
        <v>0</v>
      </c>
      <c r="T347" s="20">
        <v>5</v>
      </c>
      <c r="U347" s="20"/>
      <c r="V347" s="161" t="str">
        <f t="array" ref="V347">IF(ISERROR(L347/K347),"",L347/K347)</f>
        <v/>
      </c>
      <c r="W347" s="20"/>
      <c r="X347" s="20"/>
      <c r="Y347" s="20"/>
      <c r="Z347" s="20"/>
      <c r="AA347" s="20"/>
      <c r="AB347" s="20"/>
      <c r="AC347" s="20"/>
    </row>
    <row r="348" spans="1:29" s="2" customFormat="1" ht="21" customHeight="1">
      <c r="A348" s="160">
        <v>300387</v>
      </c>
      <c r="B348" s="153" t="s">
        <v>136</v>
      </c>
      <c r="C348" s="259" t="s">
        <v>137</v>
      </c>
      <c r="D348" s="260"/>
      <c r="E348" s="166" t="s">
        <v>57</v>
      </c>
      <c r="F348" s="165"/>
      <c r="G348" s="164"/>
      <c r="H348" s="164"/>
      <c r="I348" s="164"/>
      <c r="J348" s="164"/>
      <c r="K348" s="164">
        <f t="shared" si="38"/>
        <v>0</v>
      </c>
      <c r="L348" s="164">
        <f t="shared" si="39"/>
        <v>0</v>
      </c>
      <c r="M348" s="164">
        <v>352.29</v>
      </c>
      <c r="N348" s="164">
        <f>+M348*1000/(104.2*4*16*60)*T348</f>
        <v>4.4022162907869484</v>
      </c>
      <c r="O348" s="164"/>
      <c r="P348" s="164">
        <f t="shared" si="40"/>
        <v>0</v>
      </c>
      <c r="Q348" s="164"/>
      <c r="R348" s="19">
        <f t="shared" si="41"/>
        <v>0</v>
      </c>
      <c r="S348" s="164">
        <f t="shared" si="42"/>
        <v>0</v>
      </c>
      <c r="T348" s="20">
        <v>5</v>
      </c>
      <c r="U348" s="20"/>
      <c r="V348" s="161" t="str">
        <f t="array" ref="V348">IF(ISERROR(L348/K348),"",L348/K348)</f>
        <v/>
      </c>
      <c r="W348" s="20"/>
      <c r="X348" s="20"/>
      <c r="Y348" s="20"/>
      <c r="Z348" s="20"/>
      <c r="AA348" s="20"/>
      <c r="AB348" s="20"/>
      <c r="AC348" s="20"/>
    </row>
    <row r="349" spans="1:29" s="2" customFormat="1" ht="21.95" customHeight="1">
      <c r="A349" s="160">
        <v>300388</v>
      </c>
      <c r="B349" s="153" t="s">
        <v>138</v>
      </c>
      <c r="C349" s="259" t="s">
        <v>137</v>
      </c>
      <c r="D349" s="260"/>
      <c r="E349" s="166" t="s">
        <v>117</v>
      </c>
      <c r="F349" s="165"/>
      <c r="G349" s="164"/>
      <c r="H349" s="164"/>
      <c r="I349" s="164"/>
      <c r="J349" s="164"/>
      <c r="K349" s="164">
        <f t="shared" si="38"/>
        <v>0</v>
      </c>
      <c r="L349" s="164">
        <f t="shared" si="39"/>
        <v>0</v>
      </c>
      <c r="M349" s="164">
        <v>352.29</v>
      </c>
      <c r="N349" s="164">
        <f>+M349*1000/(104.2*4*16*60)*T349</f>
        <v>4.4022162907869484</v>
      </c>
      <c r="O349" s="164"/>
      <c r="P349" s="164">
        <f t="shared" si="40"/>
        <v>0</v>
      </c>
      <c r="Q349" s="164"/>
      <c r="R349" s="19">
        <f t="shared" si="41"/>
        <v>0</v>
      </c>
      <c r="S349" s="164">
        <f t="shared" si="42"/>
        <v>0</v>
      </c>
      <c r="T349" s="20">
        <v>5</v>
      </c>
      <c r="U349" s="20"/>
      <c r="V349" s="161" t="str">
        <f t="array" ref="V349">IF(ISERROR(L349/K349),"",L349/K349)</f>
        <v/>
      </c>
      <c r="W349" s="20"/>
      <c r="X349" s="20"/>
      <c r="Y349" s="20"/>
      <c r="Z349" s="20"/>
      <c r="AA349" s="20"/>
      <c r="AB349" s="20"/>
      <c r="AC349" s="20"/>
    </row>
    <row r="350" spans="1:29" s="2" customFormat="1" ht="21.95" customHeight="1">
      <c r="A350" s="160">
        <v>300123</v>
      </c>
      <c r="B350" s="153" t="s">
        <v>118</v>
      </c>
      <c r="C350" s="248" t="s">
        <v>139</v>
      </c>
      <c r="D350" s="248" t="s">
        <v>140</v>
      </c>
      <c r="E350" s="166" t="s">
        <v>135</v>
      </c>
      <c r="F350" s="165"/>
      <c r="G350" s="164"/>
      <c r="H350" s="164"/>
      <c r="I350" s="164"/>
      <c r="J350" s="164"/>
      <c r="K350" s="164">
        <f t="shared" si="38"/>
        <v>0</v>
      </c>
      <c r="L350" s="164">
        <f t="shared" si="39"/>
        <v>0</v>
      </c>
      <c r="M350" s="164">
        <v>557</v>
      </c>
      <c r="N350" s="164">
        <f>+M350*1000/(126.5*4*15*60)*T350</f>
        <v>6.1155028546332888</v>
      </c>
      <c r="O350" s="164"/>
      <c r="P350" s="164">
        <f t="shared" si="40"/>
        <v>0</v>
      </c>
      <c r="Q350" s="164"/>
      <c r="R350" s="19">
        <f t="shared" si="41"/>
        <v>0</v>
      </c>
      <c r="S350" s="164">
        <f t="shared" si="42"/>
        <v>0</v>
      </c>
      <c r="T350" s="20">
        <v>5</v>
      </c>
      <c r="U350" s="20"/>
      <c r="V350" s="161" t="str">
        <f t="array" ref="V350">IF(ISERROR(L350/K350),"",L350/K350)</f>
        <v/>
      </c>
      <c r="W350" s="20"/>
      <c r="X350" s="20"/>
      <c r="Y350" s="20"/>
      <c r="Z350" s="20"/>
      <c r="AA350" s="20"/>
      <c r="AB350" s="20"/>
      <c r="AC350" s="20"/>
    </row>
    <row r="351" spans="1:29" s="2" customFormat="1" ht="21.95" customHeight="1">
      <c r="A351" s="160">
        <v>300270</v>
      </c>
      <c r="B351" s="153" t="s">
        <v>118</v>
      </c>
      <c r="C351" s="248" t="s">
        <v>141</v>
      </c>
      <c r="D351" s="248"/>
      <c r="E351" s="166" t="s">
        <v>142</v>
      </c>
      <c r="F351" s="165"/>
      <c r="G351" s="164"/>
      <c r="H351" s="164"/>
      <c r="I351" s="164"/>
      <c r="J351" s="164"/>
      <c r="K351" s="164">
        <f t="shared" si="38"/>
        <v>0</v>
      </c>
      <c r="L351" s="164">
        <f t="shared" si="39"/>
        <v>0</v>
      </c>
      <c r="M351" s="164">
        <v>485.7</v>
      </c>
      <c r="N351" s="164">
        <f>+M351*1000/(126.5*4*15*60)*T351</f>
        <v>4.2661396574440049</v>
      </c>
      <c r="O351" s="164"/>
      <c r="P351" s="164">
        <f t="shared" si="40"/>
        <v>0</v>
      </c>
      <c r="Q351" s="164"/>
      <c r="R351" s="19">
        <f t="shared" si="41"/>
        <v>0</v>
      </c>
      <c r="S351" s="164">
        <f t="shared" si="42"/>
        <v>0</v>
      </c>
      <c r="T351" s="20">
        <v>4</v>
      </c>
      <c r="U351" s="20"/>
      <c r="V351" s="161" t="str">
        <f t="array" ref="V351">IF(ISERROR(L351/K351),"",L351/K351)</f>
        <v/>
      </c>
      <c r="W351" s="20"/>
      <c r="X351" s="20"/>
      <c r="Y351" s="20"/>
      <c r="Z351" s="20"/>
      <c r="AA351" s="20"/>
      <c r="AB351" s="20"/>
      <c r="AC351" s="20"/>
    </row>
    <row r="352" spans="1:29" s="2" customFormat="1" ht="21.95" customHeight="1">
      <c r="A352" s="160">
        <v>300336</v>
      </c>
      <c r="B352" s="153" t="s">
        <v>118</v>
      </c>
      <c r="C352" s="248" t="s">
        <v>143</v>
      </c>
      <c r="D352" s="248"/>
      <c r="E352" s="166" t="s">
        <v>84</v>
      </c>
      <c r="F352" s="165"/>
      <c r="G352" s="164"/>
      <c r="H352" s="164"/>
      <c r="I352" s="164"/>
      <c r="J352" s="164"/>
      <c r="K352" s="164">
        <f t="shared" si="38"/>
        <v>0</v>
      </c>
      <c r="L352" s="164">
        <f t="shared" si="39"/>
        <v>0</v>
      </c>
      <c r="M352" s="164">
        <v>411.4</v>
      </c>
      <c r="N352" s="164">
        <f>+M352*1000/(104.2*4*16*60)*T352</f>
        <v>2.0563419705694179</v>
      </c>
      <c r="O352" s="164"/>
      <c r="P352" s="164">
        <f t="shared" si="40"/>
        <v>0</v>
      </c>
      <c r="Q352" s="164"/>
      <c r="R352" s="19">
        <f t="shared" si="41"/>
        <v>0</v>
      </c>
      <c r="S352" s="164">
        <f t="shared" si="42"/>
        <v>0</v>
      </c>
      <c r="T352" s="20">
        <v>2</v>
      </c>
      <c r="U352" s="20"/>
      <c r="V352" s="161" t="str">
        <f t="array" ref="V352">IF(ISERROR(L352/K352),"",L352/K352)</f>
        <v/>
      </c>
      <c r="W352" s="20"/>
      <c r="X352" s="20"/>
      <c r="Y352" s="20"/>
      <c r="Z352" s="20"/>
      <c r="AA352" s="20"/>
      <c r="AB352" s="20"/>
      <c r="AC352" s="20"/>
    </row>
    <row r="353" spans="1:29" s="2" customFormat="1" ht="21.95" customHeight="1">
      <c r="A353" s="160">
        <v>300337</v>
      </c>
      <c r="B353" s="153" t="s">
        <v>118</v>
      </c>
      <c r="C353" s="248" t="s">
        <v>143</v>
      </c>
      <c r="D353" s="248"/>
      <c r="E353" s="166" t="s">
        <v>49</v>
      </c>
      <c r="F353" s="165"/>
      <c r="G353" s="164"/>
      <c r="H353" s="164"/>
      <c r="I353" s="164"/>
      <c r="J353" s="164"/>
      <c r="K353" s="164">
        <f t="shared" si="38"/>
        <v>0</v>
      </c>
      <c r="L353" s="164">
        <f t="shared" si="39"/>
        <v>0</v>
      </c>
      <c r="M353" s="164">
        <v>411.4</v>
      </c>
      <c r="N353" s="164">
        <f>+M353*1000/(104.2*4*16*60)*T353</f>
        <v>2.0563419705694179</v>
      </c>
      <c r="O353" s="164"/>
      <c r="P353" s="164">
        <f t="shared" si="40"/>
        <v>0</v>
      </c>
      <c r="Q353" s="164"/>
      <c r="R353" s="19">
        <f t="shared" si="41"/>
        <v>0</v>
      </c>
      <c r="S353" s="164">
        <f t="shared" si="42"/>
        <v>0</v>
      </c>
      <c r="T353" s="20">
        <v>2</v>
      </c>
      <c r="U353" s="20"/>
      <c r="V353" s="161"/>
      <c r="W353" s="20"/>
      <c r="X353" s="20"/>
      <c r="Y353" s="20"/>
      <c r="Z353" s="20"/>
      <c r="AA353" s="20"/>
      <c r="AB353" s="20"/>
      <c r="AC353" s="20"/>
    </row>
    <row r="354" spans="1:29" s="2" customFormat="1" ht="21.95" customHeight="1">
      <c r="A354" s="160">
        <v>300338</v>
      </c>
      <c r="B354" s="153" t="s">
        <v>118</v>
      </c>
      <c r="C354" s="248" t="s">
        <v>143</v>
      </c>
      <c r="D354" s="248"/>
      <c r="E354" s="166" t="s">
        <v>85</v>
      </c>
      <c r="F354" s="165"/>
      <c r="G354" s="164"/>
      <c r="H354" s="164"/>
      <c r="I354" s="164"/>
      <c r="J354" s="164"/>
      <c r="K354" s="164">
        <f t="shared" si="38"/>
        <v>0</v>
      </c>
      <c r="L354" s="164">
        <f t="shared" si="39"/>
        <v>0</v>
      </c>
      <c r="M354" s="164">
        <v>411.4</v>
      </c>
      <c r="N354" s="164">
        <f>+M354*1000/(104.2*4*16*60)*T354</f>
        <v>2.0563419705694179</v>
      </c>
      <c r="O354" s="164"/>
      <c r="P354" s="164">
        <f t="shared" si="40"/>
        <v>0</v>
      </c>
      <c r="Q354" s="164"/>
      <c r="R354" s="19">
        <f t="shared" si="41"/>
        <v>0</v>
      </c>
      <c r="S354" s="164">
        <f t="shared" si="42"/>
        <v>0</v>
      </c>
      <c r="T354" s="20">
        <v>2</v>
      </c>
      <c r="U354" s="20"/>
      <c r="V354" s="161"/>
      <c r="W354" s="20"/>
      <c r="X354" s="20"/>
      <c r="Y354" s="20"/>
      <c r="Z354" s="20"/>
      <c r="AA354" s="20"/>
      <c r="AB354" s="20"/>
      <c r="AC354" s="20"/>
    </row>
    <row r="355" spans="1:29" s="2" customFormat="1" ht="21.95" customHeight="1">
      <c r="A355" s="160">
        <v>300309</v>
      </c>
      <c r="B355" s="153">
        <v>6504</v>
      </c>
      <c r="C355" s="248" t="s">
        <v>145</v>
      </c>
      <c r="D355" s="248"/>
      <c r="E355" s="166" t="s">
        <v>47</v>
      </c>
      <c r="F355" s="165"/>
      <c r="G355" s="164"/>
      <c r="H355" s="164"/>
      <c r="I355" s="164"/>
      <c r="J355" s="164"/>
      <c r="K355" s="164">
        <f t="shared" si="38"/>
        <v>0</v>
      </c>
      <c r="L355" s="164">
        <f t="shared" si="39"/>
        <v>0</v>
      </c>
      <c r="M355" s="164">
        <v>316.88</v>
      </c>
      <c r="N355" s="164">
        <f>+M355*1000/(75.2*4*16*60)*T355</f>
        <v>6.5841090425531918</v>
      </c>
      <c r="O355" s="164"/>
      <c r="P355" s="164">
        <f t="shared" si="40"/>
        <v>0</v>
      </c>
      <c r="Q355" s="164"/>
      <c r="R355" s="19">
        <f t="shared" si="41"/>
        <v>0</v>
      </c>
      <c r="S355" s="164">
        <f t="shared" si="42"/>
        <v>0</v>
      </c>
      <c r="T355" s="20">
        <v>6</v>
      </c>
      <c r="U355" s="20"/>
      <c r="V355" s="161" t="str">
        <f t="array" ref="V355">IF(ISERROR(L355/K355),"",L355/K355)</f>
        <v/>
      </c>
      <c r="W355" s="20"/>
      <c r="X355" s="20"/>
      <c r="Y355" s="20"/>
      <c r="Z355" s="20"/>
      <c r="AA355" s="20"/>
      <c r="AB355" s="20"/>
      <c r="AC355" s="20"/>
    </row>
    <row r="356" spans="1:29" s="2" customFormat="1" ht="21.95" customHeight="1">
      <c r="A356" s="160">
        <v>300310</v>
      </c>
      <c r="B356" s="153">
        <v>6504</v>
      </c>
      <c r="C356" s="248" t="s">
        <v>145</v>
      </c>
      <c r="D356" s="248"/>
      <c r="E356" s="166" t="s">
        <v>146</v>
      </c>
      <c r="F356" s="165"/>
      <c r="G356" s="164"/>
      <c r="H356" s="164"/>
      <c r="I356" s="164"/>
      <c r="J356" s="164"/>
      <c r="K356" s="164">
        <f t="shared" si="38"/>
        <v>0</v>
      </c>
      <c r="L356" s="164">
        <f t="shared" si="39"/>
        <v>0</v>
      </c>
      <c r="M356" s="164">
        <v>316.88</v>
      </c>
      <c r="N356" s="164">
        <f>+M356*1000/(75.2*4*16*60)*T356</f>
        <v>6.5841090425531918</v>
      </c>
      <c r="O356" s="164"/>
      <c r="P356" s="164">
        <f t="shared" si="40"/>
        <v>0</v>
      </c>
      <c r="Q356" s="164"/>
      <c r="R356" s="19">
        <f t="shared" si="41"/>
        <v>0</v>
      </c>
      <c r="S356" s="164">
        <f t="shared" si="42"/>
        <v>0</v>
      </c>
      <c r="T356" s="20">
        <v>6</v>
      </c>
      <c r="U356" s="20"/>
      <c r="V356" s="161" t="str">
        <f t="array" ref="V356">IF(ISERROR(L356/K356),"",L356/K356)</f>
        <v/>
      </c>
      <c r="W356" s="20"/>
      <c r="X356" s="20"/>
      <c r="Y356" s="20"/>
      <c r="Z356" s="20"/>
      <c r="AA356" s="20"/>
      <c r="AB356" s="20"/>
      <c r="AC356" s="20"/>
    </row>
    <row r="357" spans="1:29" s="2" customFormat="1" ht="21.95" customHeight="1">
      <c r="A357" s="160">
        <v>300312</v>
      </c>
      <c r="B357" s="153">
        <v>6504</v>
      </c>
      <c r="C357" s="248" t="s">
        <v>145</v>
      </c>
      <c r="D357" s="248"/>
      <c r="E357" s="166" t="s">
        <v>147</v>
      </c>
      <c r="F357" s="165"/>
      <c r="G357" s="164"/>
      <c r="H357" s="164"/>
      <c r="I357" s="164"/>
      <c r="J357" s="164"/>
      <c r="K357" s="164">
        <f t="shared" si="38"/>
        <v>0</v>
      </c>
      <c r="L357" s="164">
        <f t="shared" si="39"/>
        <v>0</v>
      </c>
      <c r="M357" s="164">
        <v>316.88</v>
      </c>
      <c r="N357" s="164">
        <f>+M357*1000/(75.2*4*16*60)*T357</f>
        <v>6.5841090425531918</v>
      </c>
      <c r="O357" s="164"/>
      <c r="P357" s="164">
        <f t="shared" si="40"/>
        <v>0</v>
      </c>
      <c r="Q357" s="164"/>
      <c r="R357" s="19">
        <f t="shared" si="41"/>
        <v>0</v>
      </c>
      <c r="S357" s="164">
        <f t="shared" si="42"/>
        <v>0</v>
      </c>
      <c r="T357" s="20">
        <v>6</v>
      </c>
      <c r="U357" s="20"/>
      <c r="V357" s="161" t="str">
        <f t="array" ref="V357">IF(ISERROR(L357/K357),"",L357/K357)</f>
        <v/>
      </c>
      <c r="W357" s="20"/>
      <c r="X357" s="20"/>
      <c r="Y357" s="20"/>
      <c r="Z357" s="20"/>
      <c r="AA357" s="20"/>
      <c r="AB357" s="20"/>
      <c r="AC357" s="20"/>
    </row>
    <row r="358" spans="1:29" s="2" customFormat="1" ht="21.95" customHeight="1">
      <c r="A358" s="160">
        <v>300311</v>
      </c>
      <c r="B358" s="153">
        <v>6504</v>
      </c>
      <c r="C358" s="248" t="s">
        <v>145</v>
      </c>
      <c r="D358" s="248"/>
      <c r="E358" s="166" t="s">
        <v>74</v>
      </c>
      <c r="F358" s="165"/>
      <c r="G358" s="164"/>
      <c r="H358" s="164"/>
      <c r="I358" s="164"/>
      <c r="J358" s="164"/>
      <c r="K358" s="164">
        <f t="shared" si="38"/>
        <v>0</v>
      </c>
      <c r="L358" s="164">
        <f t="shared" si="39"/>
        <v>0</v>
      </c>
      <c r="M358" s="164">
        <v>316.88</v>
      </c>
      <c r="N358" s="164">
        <f>+M358*1000/(75.2*4*16*60)*T358</f>
        <v>6.5841090425531918</v>
      </c>
      <c r="O358" s="164"/>
      <c r="P358" s="164">
        <f t="shared" si="40"/>
        <v>0</v>
      </c>
      <c r="Q358" s="164"/>
      <c r="R358" s="19">
        <f t="shared" si="41"/>
        <v>0</v>
      </c>
      <c r="S358" s="164">
        <f t="shared" si="42"/>
        <v>0</v>
      </c>
      <c r="T358" s="20">
        <v>6</v>
      </c>
      <c r="U358" s="20"/>
      <c r="V358" s="161" t="str">
        <f t="array" ref="V358">IF(ISERROR(L358/K358),"",L358/K358)</f>
        <v/>
      </c>
      <c r="W358" s="20"/>
      <c r="X358" s="20"/>
      <c r="Y358" s="20"/>
      <c r="Z358" s="20"/>
      <c r="AA358" s="20"/>
      <c r="AB358" s="20"/>
      <c r="AC358" s="20"/>
    </row>
    <row r="359" spans="1:29" s="2" customFormat="1" ht="21.95" customHeight="1">
      <c r="A359" s="160">
        <v>300399</v>
      </c>
      <c r="B359" s="153">
        <v>18501</v>
      </c>
      <c r="C359" s="259" t="s">
        <v>148</v>
      </c>
      <c r="D359" s="260"/>
      <c r="E359" s="166" t="s">
        <v>41</v>
      </c>
      <c r="F359" s="165"/>
      <c r="G359" s="164"/>
      <c r="H359" s="164"/>
      <c r="I359" s="164"/>
      <c r="J359" s="164"/>
      <c r="K359" s="164">
        <f t="shared" si="38"/>
        <v>0</v>
      </c>
      <c r="L359" s="164">
        <f t="shared" si="39"/>
        <v>0</v>
      </c>
      <c r="M359" s="164">
        <v>311.2</v>
      </c>
      <c r="N359" s="164">
        <f>+M359*1000/(100*4*16*60)*T359</f>
        <v>4.8624999999999998</v>
      </c>
      <c r="O359" s="164"/>
      <c r="P359" s="164">
        <f t="shared" si="40"/>
        <v>0</v>
      </c>
      <c r="Q359" s="164"/>
      <c r="R359" s="19">
        <f t="shared" si="41"/>
        <v>0</v>
      </c>
      <c r="S359" s="164">
        <f t="shared" si="42"/>
        <v>0</v>
      </c>
      <c r="T359" s="20">
        <v>6</v>
      </c>
      <c r="U359" s="20"/>
      <c r="V359" s="161"/>
      <c r="W359" s="20"/>
      <c r="X359" s="20"/>
      <c r="Y359" s="20"/>
      <c r="Z359" s="20"/>
      <c r="AA359" s="20"/>
      <c r="AB359" s="20"/>
      <c r="AC359" s="20"/>
    </row>
    <row r="360" spans="1:29" s="2" customFormat="1" ht="21.95" customHeight="1">
      <c r="A360" s="160">
        <v>300400</v>
      </c>
      <c r="B360" s="153">
        <v>18501</v>
      </c>
      <c r="C360" s="259" t="s">
        <v>148</v>
      </c>
      <c r="D360" s="260"/>
      <c r="E360" s="166" t="s">
        <v>66</v>
      </c>
      <c r="F360" s="165"/>
      <c r="G360" s="164"/>
      <c r="H360" s="164"/>
      <c r="I360" s="164"/>
      <c r="J360" s="164"/>
      <c r="K360" s="164">
        <f t="shared" si="38"/>
        <v>0</v>
      </c>
      <c r="L360" s="164">
        <f t="shared" si="39"/>
        <v>0</v>
      </c>
      <c r="M360" s="164">
        <v>311.2</v>
      </c>
      <c r="N360" s="164">
        <f>+M360*1000/(100*4*16*60)*T360</f>
        <v>4.8624999999999998</v>
      </c>
      <c r="O360" s="164"/>
      <c r="P360" s="164">
        <f t="shared" si="40"/>
        <v>0</v>
      </c>
      <c r="Q360" s="164"/>
      <c r="R360" s="19">
        <f t="shared" si="41"/>
        <v>0</v>
      </c>
      <c r="S360" s="164">
        <f t="shared" si="42"/>
        <v>0</v>
      </c>
      <c r="T360" s="20">
        <v>6</v>
      </c>
      <c r="U360" s="20"/>
      <c r="V360" s="161"/>
      <c r="W360" s="20"/>
      <c r="X360" s="20"/>
      <c r="Y360" s="20"/>
      <c r="Z360" s="20"/>
      <c r="AA360" s="20"/>
      <c r="AB360" s="20"/>
      <c r="AC360" s="20"/>
    </row>
    <row r="361" spans="1:29" s="2" customFormat="1" ht="21.95" customHeight="1">
      <c r="A361" s="160">
        <v>300401</v>
      </c>
      <c r="B361" s="153">
        <v>18501</v>
      </c>
      <c r="C361" s="259" t="s">
        <v>148</v>
      </c>
      <c r="D361" s="260"/>
      <c r="E361" s="166" t="s">
        <v>149</v>
      </c>
      <c r="F361" s="165"/>
      <c r="G361" s="164"/>
      <c r="H361" s="164"/>
      <c r="I361" s="164"/>
      <c r="J361" s="164"/>
      <c r="K361" s="164">
        <f t="shared" si="38"/>
        <v>0</v>
      </c>
      <c r="L361" s="164">
        <f t="shared" si="39"/>
        <v>0</v>
      </c>
      <c r="M361" s="164">
        <v>311.2</v>
      </c>
      <c r="N361" s="164">
        <f>+M361*1000/(100*4*16*60)*T361</f>
        <v>4.8624999999999998</v>
      </c>
      <c r="O361" s="164"/>
      <c r="P361" s="164">
        <f t="shared" si="40"/>
        <v>0</v>
      </c>
      <c r="Q361" s="164"/>
      <c r="R361" s="19">
        <f t="shared" si="41"/>
        <v>0</v>
      </c>
      <c r="S361" s="164">
        <f t="shared" si="42"/>
        <v>0</v>
      </c>
      <c r="T361" s="20">
        <v>6</v>
      </c>
      <c r="U361" s="20"/>
      <c r="V361" s="161"/>
      <c r="W361" s="20"/>
      <c r="X361" s="20"/>
      <c r="Y361" s="20"/>
      <c r="Z361" s="20"/>
      <c r="AA361" s="20"/>
      <c r="AB361" s="20"/>
      <c r="AC361" s="20"/>
    </row>
    <row r="362" spans="1:29" s="2" customFormat="1" ht="21.95" customHeight="1">
      <c r="A362" s="160">
        <v>300402</v>
      </c>
      <c r="B362" s="153">
        <v>18501</v>
      </c>
      <c r="C362" s="259" t="s">
        <v>150</v>
      </c>
      <c r="D362" s="260"/>
      <c r="E362" s="166" t="s">
        <v>151</v>
      </c>
      <c r="F362" s="165"/>
      <c r="G362" s="164"/>
      <c r="H362" s="164"/>
      <c r="I362" s="164"/>
      <c r="J362" s="164"/>
      <c r="K362" s="164">
        <f t="shared" si="38"/>
        <v>0</v>
      </c>
      <c r="L362" s="164">
        <f t="shared" si="39"/>
        <v>0</v>
      </c>
      <c r="M362" s="164">
        <v>465.3</v>
      </c>
      <c r="N362" s="164">
        <f>+M362*1000/(137*4*16*60)*T362</f>
        <v>5.3067974452554747</v>
      </c>
      <c r="O362" s="164"/>
      <c r="P362" s="164">
        <f t="shared" si="40"/>
        <v>0</v>
      </c>
      <c r="Q362" s="164"/>
      <c r="R362" s="19">
        <f t="shared" si="41"/>
        <v>0</v>
      </c>
      <c r="S362" s="164">
        <f t="shared" si="42"/>
        <v>0</v>
      </c>
      <c r="T362" s="20">
        <v>6</v>
      </c>
      <c r="U362" s="20"/>
      <c r="V362" s="161"/>
      <c r="W362" s="20"/>
      <c r="X362" s="20"/>
      <c r="Y362" s="20"/>
      <c r="Z362" s="20"/>
      <c r="AA362" s="20"/>
      <c r="AB362" s="20"/>
      <c r="AC362" s="20"/>
    </row>
    <row r="363" spans="1:29" s="2" customFormat="1" ht="21.95" customHeight="1">
      <c r="A363" s="160">
        <v>300403</v>
      </c>
      <c r="B363" s="153">
        <v>18501</v>
      </c>
      <c r="C363" s="259" t="s">
        <v>150</v>
      </c>
      <c r="D363" s="260"/>
      <c r="E363" s="166" t="s">
        <v>152</v>
      </c>
      <c r="F363" s="165"/>
      <c r="G363" s="164"/>
      <c r="H363" s="164"/>
      <c r="I363" s="164"/>
      <c r="J363" s="164"/>
      <c r="K363" s="164">
        <f t="shared" ref="K363:K399" si="46">G363*M363</f>
        <v>0</v>
      </c>
      <c r="L363" s="164">
        <f t="shared" ref="L363:L399" si="47">I363*M363</f>
        <v>0</v>
      </c>
      <c r="M363" s="164">
        <v>465.3</v>
      </c>
      <c r="N363" s="164">
        <f>+M363*1000/(137*4*16*60)*T363</f>
        <v>5.3067974452554747</v>
      </c>
      <c r="O363" s="164"/>
      <c r="P363" s="164">
        <f t="shared" ref="P363:P399" si="48">N363*I363+O363*U363</f>
        <v>0</v>
      </c>
      <c r="Q363" s="164"/>
      <c r="R363" s="19">
        <f t="shared" ref="R363:R399" si="49">Q363*U363</f>
        <v>0</v>
      </c>
      <c r="S363" s="164">
        <f t="shared" ref="S363:S399" si="50">R363-P363</f>
        <v>0</v>
      </c>
      <c r="T363" s="20">
        <v>6</v>
      </c>
      <c r="U363" s="20"/>
      <c r="V363" s="161"/>
      <c r="W363" s="20"/>
      <c r="X363" s="20"/>
      <c r="Y363" s="20"/>
      <c r="Z363" s="20"/>
      <c r="AA363" s="20"/>
      <c r="AB363" s="20"/>
      <c r="AC363" s="20"/>
    </row>
    <row r="364" spans="1:29" s="2" customFormat="1" ht="21.95" customHeight="1">
      <c r="A364" s="160">
        <v>300404</v>
      </c>
      <c r="B364" s="153">
        <v>18501</v>
      </c>
      <c r="C364" s="259" t="s">
        <v>150</v>
      </c>
      <c r="D364" s="260"/>
      <c r="E364" s="166" t="s">
        <v>70</v>
      </c>
      <c r="F364" s="165"/>
      <c r="G364" s="164"/>
      <c r="H364" s="164"/>
      <c r="I364" s="164"/>
      <c r="J364" s="164"/>
      <c r="K364" s="164">
        <f t="shared" si="46"/>
        <v>0</v>
      </c>
      <c r="L364" s="164">
        <f t="shared" si="47"/>
        <v>0</v>
      </c>
      <c r="M364" s="164">
        <v>465.3</v>
      </c>
      <c r="N364" s="164">
        <f>+M364*1000/(137*4*16*60)*T364</f>
        <v>5.3067974452554747</v>
      </c>
      <c r="O364" s="164"/>
      <c r="P364" s="164">
        <f t="shared" si="48"/>
        <v>0</v>
      </c>
      <c r="Q364" s="164"/>
      <c r="R364" s="19">
        <f t="shared" si="49"/>
        <v>0</v>
      </c>
      <c r="S364" s="164">
        <f t="shared" si="50"/>
        <v>0</v>
      </c>
      <c r="T364" s="20">
        <v>6</v>
      </c>
      <c r="U364" s="20"/>
      <c r="V364" s="161"/>
      <c r="W364" s="20"/>
      <c r="X364" s="20"/>
      <c r="Y364" s="20"/>
      <c r="Z364" s="20"/>
      <c r="AA364" s="20"/>
      <c r="AB364" s="20"/>
      <c r="AC364" s="20"/>
    </row>
    <row r="365" spans="1:29" s="2" customFormat="1" ht="21.95" customHeight="1">
      <c r="A365" s="160">
        <v>300405</v>
      </c>
      <c r="B365" s="153">
        <v>18501</v>
      </c>
      <c r="C365" s="259" t="s">
        <v>150</v>
      </c>
      <c r="D365" s="260"/>
      <c r="E365" s="166" t="s">
        <v>35</v>
      </c>
      <c r="F365" s="165"/>
      <c r="G365" s="164"/>
      <c r="H365" s="164"/>
      <c r="I365" s="164"/>
      <c r="J365" s="164"/>
      <c r="K365" s="164">
        <f t="shared" si="46"/>
        <v>0</v>
      </c>
      <c r="L365" s="164">
        <f t="shared" si="47"/>
        <v>0</v>
      </c>
      <c r="M365" s="164">
        <v>465.3</v>
      </c>
      <c r="N365" s="164">
        <f>+M365*1000/(137*4*16*60)*T365</f>
        <v>5.3067974452554747</v>
      </c>
      <c r="O365" s="164"/>
      <c r="P365" s="164">
        <f t="shared" si="48"/>
        <v>0</v>
      </c>
      <c r="Q365" s="164"/>
      <c r="R365" s="19">
        <f t="shared" si="49"/>
        <v>0</v>
      </c>
      <c r="S365" s="164">
        <f t="shared" si="50"/>
        <v>0</v>
      </c>
      <c r="T365" s="20">
        <v>6</v>
      </c>
      <c r="U365" s="20"/>
      <c r="V365" s="161"/>
      <c r="W365" s="20"/>
      <c r="X365" s="20"/>
      <c r="Y365" s="20"/>
      <c r="Z365" s="20"/>
      <c r="AA365" s="20"/>
      <c r="AB365" s="20"/>
      <c r="AC365" s="20"/>
    </row>
    <row r="366" spans="1:29" s="2" customFormat="1" ht="21.95" customHeight="1">
      <c r="A366" s="160">
        <v>300372</v>
      </c>
      <c r="B366" s="153">
        <v>18501</v>
      </c>
      <c r="C366" s="259" t="s">
        <v>153</v>
      </c>
      <c r="D366" s="260"/>
      <c r="E366" s="166" t="s">
        <v>47</v>
      </c>
      <c r="F366" s="165"/>
      <c r="G366" s="164"/>
      <c r="H366" s="164"/>
      <c r="I366" s="164"/>
      <c r="J366" s="164"/>
      <c r="K366" s="164">
        <f t="shared" si="46"/>
        <v>0</v>
      </c>
      <c r="L366" s="164">
        <f t="shared" si="47"/>
        <v>0</v>
      </c>
      <c r="M366" s="164">
        <v>420.58</v>
      </c>
      <c r="N366" s="164">
        <f>+M366*1000/(140*4*16*60)*T366</f>
        <v>4.6939732142857142</v>
      </c>
      <c r="O366" s="164"/>
      <c r="P366" s="164">
        <f t="shared" si="48"/>
        <v>0</v>
      </c>
      <c r="Q366" s="164"/>
      <c r="R366" s="19">
        <f t="shared" si="49"/>
        <v>0</v>
      </c>
      <c r="S366" s="164">
        <f t="shared" si="50"/>
        <v>0</v>
      </c>
      <c r="T366" s="20">
        <v>6</v>
      </c>
      <c r="U366" s="20"/>
      <c r="V366" s="161"/>
      <c r="W366" s="20"/>
      <c r="X366" s="20"/>
      <c r="Y366" s="20"/>
      <c r="Z366" s="20"/>
      <c r="AA366" s="20"/>
      <c r="AB366" s="20"/>
      <c r="AC366" s="20"/>
    </row>
    <row r="367" spans="1:29" s="2" customFormat="1" ht="21.95" customHeight="1">
      <c r="A367" s="160">
        <v>300373</v>
      </c>
      <c r="B367" s="153">
        <v>18501</v>
      </c>
      <c r="C367" s="259" t="s">
        <v>153</v>
      </c>
      <c r="D367" s="260"/>
      <c r="E367" s="166" t="s">
        <v>146</v>
      </c>
      <c r="F367" s="165"/>
      <c r="G367" s="164"/>
      <c r="H367" s="164"/>
      <c r="I367" s="164"/>
      <c r="J367" s="164"/>
      <c r="K367" s="164">
        <f t="shared" si="46"/>
        <v>0</v>
      </c>
      <c r="L367" s="164">
        <f t="shared" si="47"/>
        <v>0</v>
      </c>
      <c r="M367" s="164">
        <v>420.58</v>
      </c>
      <c r="N367" s="164">
        <f>+M367*1000/(140*4*16*60)*T367</f>
        <v>4.6939732142857142</v>
      </c>
      <c r="O367" s="164"/>
      <c r="P367" s="164">
        <f t="shared" si="48"/>
        <v>0</v>
      </c>
      <c r="Q367" s="164"/>
      <c r="R367" s="19">
        <f t="shared" si="49"/>
        <v>0</v>
      </c>
      <c r="S367" s="164">
        <f t="shared" si="50"/>
        <v>0</v>
      </c>
      <c r="T367" s="20">
        <v>6</v>
      </c>
      <c r="U367" s="20"/>
      <c r="V367" s="161"/>
      <c r="W367" s="20"/>
      <c r="X367" s="20"/>
      <c r="Y367" s="20"/>
      <c r="Z367" s="20"/>
      <c r="AA367" s="20"/>
      <c r="AB367" s="20"/>
      <c r="AC367" s="20"/>
    </row>
    <row r="368" spans="1:29" s="2" customFormat="1" ht="21.95" customHeight="1">
      <c r="A368" s="160">
        <v>300374</v>
      </c>
      <c r="B368" s="153">
        <v>18501</v>
      </c>
      <c r="C368" s="259" t="s">
        <v>153</v>
      </c>
      <c r="D368" s="260"/>
      <c r="E368" s="166" t="s">
        <v>147</v>
      </c>
      <c r="F368" s="165"/>
      <c r="G368" s="164"/>
      <c r="H368" s="164"/>
      <c r="I368" s="164"/>
      <c r="J368" s="164"/>
      <c r="K368" s="164">
        <f t="shared" si="46"/>
        <v>0</v>
      </c>
      <c r="L368" s="164">
        <f t="shared" si="47"/>
        <v>0</v>
      </c>
      <c r="M368" s="164">
        <v>420.58</v>
      </c>
      <c r="N368" s="164">
        <f>+M368*1000/(140*4*16*60)*T368</f>
        <v>4.6939732142857142</v>
      </c>
      <c r="O368" s="164"/>
      <c r="P368" s="164">
        <f t="shared" si="48"/>
        <v>0</v>
      </c>
      <c r="Q368" s="164"/>
      <c r="R368" s="19">
        <f t="shared" si="49"/>
        <v>0</v>
      </c>
      <c r="S368" s="164">
        <f t="shared" si="50"/>
        <v>0</v>
      </c>
      <c r="T368" s="20">
        <v>6</v>
      </c>
      <c r="U368" s="20"/>
      <c r="V368" s="161"/>
      <c r="W368" s="20"/>
      <c r="X368" s="20"/>
      <c r="Y368" s="20"/>
      <c r="Z368" s="20"/>
      <c r="AA368" s="20"/>
      <c r="AB368" s="20"/>
      <c r="AC368" s="20"/>
    </row>
    <row r="369" spans="1:29" s="2" customFormat="1" ht="21.95" customHeight="1">
      <c r="A369" s="160">
        <v>300375</v>
      </c>
      <c r="B369" s="153">
        <v>18501</v>
      </c>
      <c r="C369" s="259" t="s">
        <v>153</v>
      </c>
      <c r="D369" s="260"/>
      <c r="E369" s="166" t="s">
        <v>74</v>
      </c>
      <c r="F369" s="165"/>
      <c r="G369" s="164"/>
      <c r="H369" s="164"/>
      <c r="I369" s="164"/>
      <c r="J369" s="164"/>
      <c r="K369" s="164">
        <f t="shared" si="46"/>
        <v>0</v>
      </c>
      <c r="L369" s="164">
        <f t="shared" si="47"/>
        <v>0</v>
      </c>
      <c r="M369" s="164">
        <v>420.58</v>
      </c>
      <c r="N369" s="164">
        <f>+M369*1000/(140*4*16*60)*T369</f>
        <v>4.6939732142857142</v>
      </c>
      <c r="O369" s="164"/>
      <c r="P369" s="164">
        <f t="shared" si="48"/>
        <v>0</v>
      </c>
      <c r="Q369" s="164"/>
      <c r="R369" s="19">
        <f t="shared" si="49"/>
        <v>0</v>
      </c>
      <c r="S369" s="164">
        <f t="shared" si="50"/>
        <v>0</v>
      </c>
      <c r="T369" s="20">
        <v>6</v>
      </c>
      <c r="U369" s="20"/>
      <c r="V369" s="161"/>
      <c r="W369" s="20"/>
      <c r="X369" s="20"/>
      <c r="Y369" s="20"/>
      <c r="Z369" s="20"/>
      <c r="AA369" s="20"/>
      <c r="AB369" s="20"/>
      <c r="AC369" s="20"/>
    </row>
    <row r="370" spans="1:29" s="2" customFormat="1" ht="21.95" customHeight="1">
      <c r="A370" s="160">
        <v>300341</v>
      </c>
      <c r="B370" s="153">
        <v>18501</v>
      </c>
      <c r="C370" s="266" t="s">
        <v>154</v>
      </c>
      <c r="D370" s="267"/>
      <c r="E370" s="166" t="s">
        <v>39</v>
      </c>
      <c r="F370" s="165"/>
      <c r="G370" s="164"/>
      <c r="H370" s="164"/>
      <c r="I370" s="164"/>
      <c r="J370" s="164"/>
      <c r="K370" s="164">
        <f t="shared" si="46"/>
        <v>0</v>
      </c>
      <c r="L370" s="164">
        <f t="shared" si="47"/>
        <v>0</v>
      </c>
      <c r="M370" s="164">
        <v>439.3</v>
      </c>
      <c r="N370" s="164">
        <f>+M370*1000/(169.7*4*13*60)*T370</f>
        <v>4.1485351223123761</v>
      </c>
      <c r="O370" s="164"/>
      <c r="P370" s="164">
        <f t="shared" si="48"/>
        <v>0</v>
      </c>
      <c r="Q370" s="164"/>
      <c r="R370" s="19">
        <f t="shared" si="49"/>
        <v>0</v>
      </c>
      <c r="S370" s="164">
        <f t="shared" si="50"/>
        <v>0</v>
      </c>
      <c r="T370" s="20">
        <v>5</v>
      </c>
      <c r="U370" s="20"/>
      <c r="V370" s="161"/>
      <c r="W370" s="20"/>
      <c r="X370" s="20"/>
      <c r="Y370" s="20"/>
      <c r="Z370" s="20"/>
      <c r="AA370" s="20"/>
      <c r="AB370" s="20"/>
      <c r="AC370" s="20"/>
    </row>
    <row r="371" spans="1:29" s="2" customFormat="1" ht="21.95" customHeight="1">
      <c r="A371" s="160">
        <v>300342</v>
      </c>
      <c r="B371" s="153">
        <v>18501</v>
      </c>
      <c r="C371" s="266" t="s">
        <v>154</v>
      </c>
      <c r="D371" s="267"/>
      <c r="E371" s="166" t="s">
        <v>80</v>
      </c>
      <c r="F371" s="165"/>
      <c r="G371" s="164"/>
      <c r="H371" s="164"/>
      <c r="I371" s="164"/>
      <c r="J371" s="164"/>
      <c r="K371" s="164">
        <f t="shared" si="46"/>
        <v>0</v>
      </c>
      <c r="L371" s="164">
        <f t="shared" si="47"/>
        <v>0</v>
      </c>
      <c r="M371" s="164">
        <v>439.3</v>
      </c>
      <c r="N371" s="164">
        <f t="shared" ref="N371:N376" si="51">+M371*1000/(169.7*4*13*60)*T371</f>
        <v>4.1485351223123761</v>
      </c>
      <c r="O371" s="164"/>
      <c r="P371" s="164">
        <f t="shared" si="48"/>
        <v>0</v>
      </c>
      <c r="Q371" s="164"/>
      <c r="R371" s="19">
        <f t="shared" si="49"/>
        <v>0</v>
      </c>
      <c r="S371" s="164">
        <f t="shared" si="50"/>
        <v>0</v>
      </c>
      <c r="T371" s="20">
        <v>5</v>
      </c>
      <c r="U371" s="20"/>
      <c r="V371" s="161"/>
      <c r="W371" s="20"/>
      <c r="X371" s="20"/>
      <c r="Y371" s="20"/>
      <c r="Z371" s="20"/>
      <c r="AA371" s="20"/>
      <c r="AB371" s="20"/>
      <c r="AC371" s="20"/>
    </row>
    <row r="372" spans="1:29" s="2" customFormat="1" ht="21.95" customHeight="1">
      <c r="A372" s="160">
        <v>300343</v>
      </c>
      <c r="B372" s="153">
        <v>18501</v>
      </c>
      <c r="C372" s="266" t="s">
        <v>154</v>
      </c>
      <c r="D372" s="267"/>
      <c r="E372" s="166" t="s">
        <v>35</v>
      </c>
      <c r="F372" s="165"/>
      <c r="G372" s="164"/>
      <c r="H372" s="164"/>
      <c r="I372" s="164"/>
      <c r="J372" s="164"/>
      <c r="K372" s="164">
        <f t="shared" si="46"/>
        <v>0</v>
      </c>
      <c r="L372" s="164">
        <f t="shared" si="47"/>
        <v>0</v>
      </c>
      <c r="M372" s="164">
        <v>455.4</v>
      </c>
      <c r="N372" s="164">
        <f t="shared" si="51"/>
        <v>4.3005756765332483</v>
      </c>
      <c r="O372" s="164"/>
      <c r="P372" s="164">
        <f t="shared" si="48"/>
        <v>0</v>
      </c>
      <c r="Q372" s="164"/>
      <c r="R372" s="19">
        <f t="shared" si="49"/>
        <v>0</v>
      </c>
      <c r="S372" s="164">
        <f t="shared" si="50"/>
        <v>0</v>
      </c>
      <c r="T372" s="20">
        <v>5</v>
      </c>
      <c r="U372" s="20"/>
      <c r="V372" s="161"/>
      <c r="W372" s="20"/>
      <c r="X372" s="20"/>
      <c r="Y372" s="20"/>
      <c r="Z372" s="20"/>
      <c r="AA372" s="20"/>
      <c r="AB372" s="20"/>
      <c r="AC372" s="20"/>
    </row>
    <row r="373" spans="1:29" s="2" customFormat="1" ht="21.95" customHeight="1">
      <c r="A373" s="160">
        <v>300344</v>
      </c>
      <c r="B373" s="153">
        <v>18501</v>
      </c>
      <c r="C373" s="266" t="s">
        <v>154</v>
      </c>
      <c r="D373" s="267"/>
      <c r="E373" s="166" t="s">
        <v>40</v>
      </c>
      <c r="F373" s="165"/>
      <c r="G373" s="164"/>
      <c r="H373" s="164"/>
      <c r="I373" s="164"/>
      <c r="J373" s="164"/>
      <c r="K373" s="164">
        <f t="shared" si="46"/>
        <v>0</v>
      </c>
      <c r="L373" s="164">
        <f t="shared" si="47"/>
        <v>0</v>
      </c>
      <c r="M373" s="164">
        <v>455.4</v>
      </c>
      <c r="N373" s="164">
        <f t="shared" si="51"/>
        <v>4.3005756765332483</v>
      </c>
      <c r="O373" s="164"/>
      <c r="P373" s="164">
        <f t="shared" si="48"/>
        <v>0</v>
      </c>
      <c r="Q373" s="164"/>
      <c r="R373" s="19">
        <f t="shared" si="49"/>
        <v>0</v>
      </c>
      <c r="S373" s="164">
        <f t="shared" si="50"/>
        <v>0</v>
      </c>
      <c r="T373" s="20">
        <v>5</v>
      </c>
      <c r="U373" s="20"/>
      <c r="V373" s="161"/>
      <c r="W373" s="20"/>
      <c r="X373" s="20"/>
      <c r="Y373" s="20"/>
      <c r="Z373" s="20"/>
      <c r="AA373" s="20"/>
      <c r="AB373" s="20"/>
      <c r="AC373" s="20"/>
    </row>
    <row r="374" spans="1:29" s="2" customFormat="1" ht="21.95" customHeight="1">
      <c r="A374" s="160">
        <v>300396</v>
      </c>
      <c r="B374" s="153">
        <v>18501</v>
      </c>
      <c r="C374" s="266" t="s">
        <v>155</v>
      </c>
      <c r="D374" s="267"/>
      <c r="E374" s="166" t="s">
        <v>41</v>
      </c>
      <c r="F374" s="165"/>
      <c r="G374" s="164"/>
      <c r="H374" s="164"/>
      <c r="I374" s="164"/>
      <c r="J374" s="164"/>
      <c r="K374" s="164">
        <f t="shared" si="46"/>
        <v>0</v>
      </c>
      <c r="L374" s="164">
        <f t="shared" si="47"/>
        <v>0</v>
      </c>
      <c r="M374" s="164">
        <v>417.1</v>
      </c>
      <c r="N374" s="164">
        <f t="shared" si="51"/>
        <v>3.9388891407158937</v>
      </c>
      <c r="O374" s="164"/>
      <c r="P374" s="164">
        <f t="shared" si="48"/>
        <v>0</v>
      </c>
      <c r="Q374" s="164"/>
      <c r="R374" s="19">
        <f t="shared" si="49"/>
        <v>0</v>
      </c>
      <c r="S374" s="164">
        <f t="shared" si="50"/>
        <v>0</v>
      </c>
      <c r="T374" s="20">
        <v>5</v>
      </c>
      <c r="U374" s="20"/>
      <c r="V374" s="161"/>
      <c r="W374" s="20"/>
      <c r="X374" s="20"/>
      <c r="Y374" s="20"/>
      <c r="Z374" s="20"/>
      <c r="AA374" s="20"/>
      <c r="AB374" s="20"/>
      <c r="AC374" s="20"/>
    </row>
    <row r="375" spans="1:29" s="2" customFormat="1" ht="21.95" customHeight="1">
      <c r="A375" s="160">
        <v>300397</v>
      </c>
      <c r="B375" s="153">
        <v>18501</v>
      </c>
      <c r="C375" s="266" t="s">
        <v>155</v>
      </c>
      <c r="D375" s="267"/>
      <c r="E375" s="166" t="s">
        <v>66</v>
      </c>
      <c r="F375" s="165"/>
      <c r="G375" s="164"/>
      <c r="H375" s="164"/>
      <c r="I375" s="164"/>
      <c r="J375" s="164"/>
      <c r="K375" s="164">
        <f t="shared" si="46"/>
        <v>0</v>
      </c>
      <c r="L375" s="164">
        <f t="shared" si="47"/>
        <v>0</v>
      </c>
      <c r="M375" s="164">
        <v>417.1</v>
      </c>
      <c r="N375" s="164">
        <f t="shared" si="51"/>
        <v>3.9388891407158937</v>
      </c>
      <c r="O375" s="164"/>
      <c r="P375" s="164">
        <f t="shared" si="48"/>
        <v>0</v>
      </c>
      <c r="Q375" s="164"/>
      <c r="R375" s="19">
        <f t="shared" si="49"/>
        <v>0</v>
      </c>
      <c r="S375" s="164">
        <f t="shared" si="50"/>
        <v>0</v>
      </c>
      <c r="T375" s="20">
        <v>5</v>
      </c>
      <c r="U375" s="20"/>
      <c r="V375" s="161"/>
      <c r="W375" s="20"/>
      <c r="X375" s="20"/>
      <c r="Y375" s="20"/>
      <c r="Z375" s="20"/>
      <c r="AA375" s="20"/>
      <c r="AB375" s="20"/>
      <c r="AC375" s="20"/>
    </row>
    <row r="376" spans="1:29" s="2" customFormat="1" ht="21.95" customHeight="1">
      <c r="A376" s="160">
        <v>300398</v>
      </c>
      <c r="B376" s="153">
        <v>18501</v>
      </c>
      <c r="C376" s="266" t="s">
        <v>155</v>
      </c>
      <c r="D376" s="267"/>
      <c r="E376" s="166" t="s">
        <v>149</v>
      </c>
      <c r="F376" s="165"/>
      <c r="G376" s="164"/>
      <c r="H376" s="164"/>
      <c r="I376" s="164"/>
      <c r="J376" s="164"/>
      <c r="K376" s="164">
        <f t="shared" si="46"/>
        <v>0</v>
      </c>
      <c r="L376" s="164">
        <f t="shared" si="47"/>
        <v>0</v>
      </c>
      <c r="M376" s="164">
        <v>417.1</v>
      </c>
      <c r="N376" s="164">
        <f t="shared" si="51"/>
        <v>3.9388891407158937</v>
      </c>
      <c r="O376" s="164"/>
      <c r="P376" s="164">
        <f t="shared" si="48"/>
        <v>0</v>
      </c>
      <c r="Q376" s="164"/>
      <c r="R376" s="19">
        <f t="shared" si="49"/>
        <v>0</v>
      </c>
      <c r="S376" s="164">
        <f t="shared" si="50"/>
        <v>0</v>
      </c>
      <c r="T376" s="20">
        <v>5</v>
      </c>
      <c r="U376" s="20"/>
      <c r="V376" s="161"/>
      <c r="W376" s="20"/>
      <c r="X376" s="20"/>
      <c r="Y376" s="20"/>
      <c r="Z376" s="20"/>
      <c r="AA376" s="20"/>
      <c r="AB376" s="20"/>
      <c r="AC376" s="20"/>
    </row>
    <row r="377" spans="1:29" s="2" customFormat="1" ht="21.95" customHeight="1">
      <c r="A377" s="160">
        <v>300271</v>
      </c>
      <c r="B377" s="153">
        <v>18501</v>
      </c>
      <c r="C377" s="248" t="s">
        <v>156</v>
      </c>
      <c r="D377" s="248"/>
      <c r="E377" s="166" t="s">
        <v>142</v>
      </c>
      <c r="F377" s="165"/>
      <c r="G377" s="164"/>
      <c r="H377" s="164"/>
      <c r="I377" s="164"/>
      <c r="J377" s="164"/>
      <c r="K377" s="164">
        <f t="shared" si="46"/>
        <v>0</v>
      </c>
      <c r="L377" s="164">
        <f t="shared" si="47"/>
        <v>0</v>
      </c>
      <c r="M377" s="164">
        <v>580.1</v>
      </c>
      <c r="N377" s="164">
        <f>+M377*1000/(188*4*13*60)*T377</f>
        <v>4.9449331696672125</v>
      </c>
      <c r="O377" s="164"/>
      <c r="P377" s="164">
        <f t="shared" si="48"/>
        <v>0</v>
      </c>
      <c r="Q377" s="164"/>
      <c r="R377" s="19">
        <f t="shared" si="49"/>
        <v>0</v>
      </c>
      <c r="S377" s="164">
        <f t="shared" si="50"/>
        <v>0</v>
      </c>
      <c r="T377" s="20">
        <v>5</v>
      </c>
      <c r="U377" s="20"/>
      <c r="V377" s="161" t="str">
        <f t="array" ref="V377">IF(ISERROR(L377/K377),"",L377/K377)</f>
        <v/>
      </c>
      <c r="W377" s="20"/>
      <c r="X377" s="20"/>
      <c r="Y377" s="20"/>
      <c r="Z377" s="20"/>
      <c r="AA377" s="20"/>
      <c r="AB377" s="20"/>
      <c r="AC377" s="20"/>
    </row>
    <row r="378" spans="1:29" s="2" customFormat="1" ht="21.95" customHeight="1">
      <c r="A378" s="160">
        <v>300009</v>
      </c>
      <c r="B378" s="153">
        <v>18501</v>
      </c>
      <c r="C378" s="248" t="s">
        <v>157</v>
      </c>
      <c r="D378" s="248" t="s">
        <v>158</v>
      </c>
      <c r="E378" s="166" t="s">
        <v>135</v>
      </c>
      <c r="F378" s="165"/>
      <c r="G378" s="164"/>
      <c r="H378" s="164"/>
      <c r="I378" s="164"/>
      <c r="J378" s="164"/>
      <c r="K378" s="164">
        <f t="shared" si="46"/>
        <v>0</v>
      </c>
      <c r="L378" s="164">
        <f t="shared" si="47"/>
        <v>0</v>
      </c>
      <c r="M378" s="15">
        <v>520.79999999999995</v>
      </c>
      <c r="N378" s="164">
        <f>+M378*1000/(188*4*13*60)*T378</f>
        <v>4.4394435351882153</v>
      </c>
      <c r="O378" s="164"/>
      <c r="P378" s="164">
        <f t="shared" si="48"/>
        <v>0</v>
      </c>
      <c r="Q378" s="164"/>
      <c r="R378" s="19">
        <f t="shared" si="49"/>
        <v>0</v>
      </c>
      <c r="S378" s="164">
        <f t="shared" si="50"/>
        <v>0</v>
      </c>
      <c r="T378" s="20">
        <v>5</v>
      </c>
      <c r="U378" s="20"/>
      <c r="V378" s="161" t="str">
        <f t="array" ref="V378">IF(ISERROR(L378/K378),"",L378/K378)</f>
        <v/>
      </c>
      <c r="W378" s="20"/>
      <c r="X378" s="20"/>
      <c r="Y378" s="20"/>
      <c r="Z378" s="20"/>
      <c r="AA378" s="20"/>
      <c r="AB378" s="20"/>
      <c r="AC378" s="20"/>
    </row>
    <row r="379" spans="1:29" s="2" customFormat="1" ht="21.95" customHeight="1">
      <c r="A379" s="160">
        <v>300010</v>
      </c>
      <c r="B379" s="153">
        <v>18501</v>
      </c>
      <c r="C379" s="248" t="s">
        <v>157</v>
      </c>
      <c r="D379" s="248" t="s">
        <v>158</v>
      </c>
      <c r="E379" s="166" t="s">
        <v>80</v>
      </c>
      <c r="F379" s="165"/>
      <c r="G379" s="164"/>
      <c r="H379" s="164"/>
      <c r="I379" s="164"/>
      <c r="J379" s="115"/>
      <c r="K379" s="164">
        <f t="shared" si="46"/>
        <v>0</v>
      </c>
      <c r="L379" s="164">
        <f t="shared" si="47"/>
        <v>0</v>
      </c>
      <c r="M379" s="15">
        <v>530.9</v>
      </c>
      <c r="N379" s="164">
        <f>+M379*1000/(188*4*13*60)*T379</f>
        <v>4.5255387343153304</v>
      </c>
      <c r="O379" s="164"/>
      <c r="P379" s="164">
        <f t="shared" si="48"/>
        <v>0</v>
      </c>
      <c r="Q379" s="164"/>
      <c r="R379" s="19">
        <f t="shared" si="49"/>
        <v>0</v>
      </c>
      <c r="S379" s="164">
        <f t="shared" si="50"/>
        <v>0</v>
      </c>
      <c r="T379" s="20">
        <v>5</v>
      </c>
      <c r="U379" s="20"/>
      <c r="V379" s="161" t="str">
        <f t="array" ref="V379">IF(ISERROR(L379/K379),"",L379/K379)</f>
        <v/>
      </c>
      <c r="W379" s="20"/>
      <c r="X379" s="20"/>
      <c r="Y379" s="20"/>
      <c r="Z379" s="20"/>
      <c r="AA379" s="20"/>
      <c r="AB379" s="20"/>
      <c r="AC379" s="20"/>
    </row>
    <row r="380" spans="1:29" s="2" customFormat="1" ht="21.95" customHeight="1">
      <c r="A380" s="160">
        <v>300305</v>
      </c>
      <c r="B380" s="153">
        <v>18501</v>
      </c>
      <c r="C380" s="248" t="s">
        <v>159</v>
      </c>
      <c r="D380" s="248" t="s">
        <v>160</v>
      </c>
      <c r="E380" s="166" t="s">
        <v>57</v>
      </c>
      <c r="F380" s="165"/>
      <c r="G380" s="164"/>
      <c r="H380" s="164"/>
      <c r="I380" s="164"/>
      <c r="J380" s="115"/>
      <c r="K380" s="164">
        <f t="shared" si="46"/>
        <v>0</v>
      </c>
      <c r="L380" s="164">
        <f t="shared" si="47"/>
        <v>0</v>
      </c>
      <c r="M380" s="164">
        <v>530.20000000000005</v>
      </c>
      <c r="N380" s="164">
        <f t="shared" ref="N380:N385" si="52">+M380*1000/(202*4*13*60)*T380</f>
        <v>4.2063340949479562</v>
      </c>
      <c r="O380" s="164"/>
      <c r="P380" s="164">
        <f t="shared" si="48"/>
        <v>0</v>
      </c>
      <c r="Q380" s="164"/>
      <c r="R380" s="19">
        <f t="shared" si="49"/>
        <v>0</v>
      </c>
      <c r="S380" s="164">
        <f t="shared" si="50"/>
        <v>0</v>
      </c>
      <c r="T380" s="20">
        <v>5</v>
      </c>
      <c r="U380" s="20"/>
      <c r="V380" s="161" t="str">
        <f t="array" ref="V380">IF(ISERROR(L380/K380),"",L380/K380)</f>
        <v/>
      </c>
      <c r="W380" s="20"/>
      <c r="X380" s="20"/>
      <c r="Y380" s="20"/>
      <c r="Z380" s="20"/>
      <c r="AA380" s="20"/>
      <c r="AB380" s="20"/>
      <c r="AC380" s="20"/>
    </row>
    <row r="381" spans="1:29" s="2" customFormat="1" ht="21.95" customHeight="1">
      <c r="A381" s="160">
        <v>300306</v>
      </c>
      <c r="B381" s="153">
        <v>18501</v>
      </c>
      <c r="C381" s="248" t="s">
        <v>159</v>
      </c>
      <c r="D381" s="248" t="s">
        <v>160</v>
      </c>
      <c r="E381" s="166" t="s">
        <v>117</v>
      </c>
      <c r="F381" s="165"/>
      <c r="G381" s="164"/>
      <c r="H381" s="164"/>
      <c r="I381" s="164"/>
      <c r="J381" s="164"/>
      <c r="K381" s="164">
        <f t="shared" si="46"/>
        <v>0</v>
      </c>
      <c r="L381" s="164">
        <f t="shared" si="47"/>
        <v>0</v>
      </c>
      <c r="M381" s="164">
        <v>538.79999999999995</v>
      </c>
      <c r="N381" s="164">
        <f t="shared" si="52"/>
        <v>4.2745620715917747</v>
      </c>
      <c r="O381" s="164"/>
      <c r="P381" s="164">
        <f t="shared" si="48"/>
        <v>0</v>
      </c>
      <c r="Q381" s="164"/>
      <c r="R381" s="19">
        <f t="shared" si="49"/>
        <v>0</v>
      </c>
      <c r="S381" s="164">
        <f t="shared" si="50"/>
        <v>0</v>
      </c>
      <c r="T381" s="20">
        <v>5</v>
      </c>
      <c r="U381" s="20"/>
      <c r="V381" s="161" t="str">
        <f t="array" ref="V381">IF(ISERROR(L381/K381),"",L381/K381)</f>
        <v/>
      </c>
      <c r="W381" s="20"/>
      <c r="X381" s="20"/>
      <c r="Y381" s="20"/>
      <c r="Z381" s="20"/>
      <c r="AA381" s="20"/>
      <c r="AB381" s="20"/>
      <c r="AC381" s="20"/>
    </row>
    <row r="382" spans="1:29" s="2" customFormat="1" ht="22.5" customHeight="1">
      <c r="A382" s="160">
        <v>300307</v>
      </c>
      <c r="B382" s="153">
        <v>18501</v>
      </c>
      <c r="C382" s="248" t="s">
        <v>159</v>
      </c>
      <c r="D382" s="248" t="s">
        <v>160</v>
      </c>
      <c r="E382" s="166" t="s">
        <v>133</v>
      </c>
      <c r="F382" s="165"/>
      <c r="G382" s="164"/>
      <c r="H382" s="164"/>
      <c r="I382" s="164"/>
      <c r="J382" s="164"/>
      <c r="K382" s="164">
        <f t="shared" si="46"/>
        <v>0</v>
      </c>
      <c r="L382" s="164">
        <f t="shared" si="47"/>
        <v>0</v>
      </c>
      <c r="M382" s="164">
        <v>569</v>
      </c>
      <c r="N382" s="164">
        <f t="shared" si="52"/>
        <v>4.5141533384107637</v>
      </c>
      <c r="O382" s="164"/>
      <c r="P382" s="164">
        <f t="shared" si="48"/>
        <v>0</v>
      </c>
      <c r="Q382" s="164"/>
      <c r="R382" s="19">
        <f t="shared" si="49"/>
        <v>0</v>
      </c>
      <c r="S382" s="164">
        <f t="shared" si="50"/>
        <v>0</v>
      </c>
      <c r="T382" s="20">
        <v>5</v>
      </c>
      <c r="U382" s="20"/>
      <c r="V382" s="161" t="str">
        <f t="array" ref="V382">IF(ISERROR(L382/K382),"",L382/K382)</f>
        <v/>
      </c>
      <c r="W382" s="20"/>
      <c r="X382" s="20"/>
      <c r="Y382" s="20"/>
      <c r="Z382" s="20"/>
      <c r="AA382" s="20"/>
      <c r="AB382" s="20"/>
      <c r="AC382" s="20"/>
    </row>
    <row r="383" spans="1:29" s="2" customFormat="1" ht="21.95" customHeight="1">
      <c r="A383" s="160">
        <v>300308</v>
      </c>
      <c r="B383" s="153">
        <v>18501</v>
      </c>
      <c r="C383" s="248" t="s">
        <v>159</v>
      </c>
      <c r="D383" s="248" t="s">
        <v>160</v>
      </c>
      <c r="E383" s="166" t="s">
        <v>132</v>
      </c>
      <c r="F383" s="165"/>
      <c r="G383" s="164"/>
      <c r="H383" s="164"/>
      <c r="I383" s="164"/>
      <c r="J383" s="164"/>
      <c r="K383" s="164">
        <f t="shared" si="46"/>
        <v>0</v>
      </c>
      <c r="L383" s="164">
        <f t="shared" si="47"/>
        <v>0</v>
      </c>
      <c r="M383" s="164">
        <v>523.6</v>
      </c>
      <c r="N383" s="164">
        <f t="shared" si="52"/>
        <v>4.1539730896166542</v>
      </c>
      <c r="O383" s="164"/>
      <c r="P383" s="164">
        <f t="shared" si="48"/>
        <v>0</v>
      </c>
      <c r="Q383" s="164"/>
      <c r="R383" s="19">
        <f t="shared" si="49"/>
        <v>0</v>
      </c>
      <c r="S383" s="164">
        <f t="shared" si="50"/>
        <v>0</v>
      </c>
      <c r="T383" s="20">
        <v>5</v>
      </c>
      <c r="U383" s="20"/>
      <c r="V383" s="161" t="str">
        <f t="array" ref="V383">IF(ISERROR(L383/K383),"",L383/K383)</f>
        <v/>
      </c>
      <c r="W383" s="20"/>
      <c r="X383" s="20"/>
      <c r="Y383" s="20"/>
      <c r="Z383" s="20"/>
      <c r="AA383" s="20"/>
      <c r="AB383" s="20"/>
      <c r="AC383" s="20"/>
    </row>
    <row r="384" spans="1:29" s="2" customFormat="1" ht="21.95" customHeight="1">
      <c r="A384" s="160">
        <v>300182</v>
      </c>
      <c r="B384" s="153">
        <v>18501</v>
      </c>
      <c r="C384" s="248" t="s">
        <v>161</v>
      </c>
      <c r="D384" s="248" t="s">
        <v>160</v>
      </c>
      <c r="E384" s="166" t="s">
        <v>80</v>
      </c>
      <c r="F384" s="165"/>
      <c r="G384" s="164"/>
      <c r="H384" s="164"/>
      <c r="I384" s="164"/>
      <c r="J384" s="164"/>
      <c r="K384" s="164">
        <f t="shared" si="46"/>
        <v>0</v>
      </c>
      <c r="L384" s="164">
        <f t="shared" si="47"/>
        <v>0</v>
      </c>
      <c r="M384" s="164">
        <v>649.1</v>
      </c>
      <c r="N384" s="164">
        <f t="shared" si="52"/>
        <v>5.1496255394770252</v>
      </c>
      <c r="O384" s="164"/>
      <c r="P384" s="164">
        <f t="shared" si="48"/>
        <v>0</v>
      </c>
      <c r="Q384" s="164"/>
      <c r="R384" s="19">
        <f t="shared" si="49"/>
        <v>0</v>
      </c>
      <c r="S384" s="164">
        <f t="shared" si="50"/>
        <v>0</v>
      </c>
      <c r="T384" s="20">
        <v>5</v>
      </c>
      <c r="U384" s="20"/>
      <c r="V384" s="161" t="str">
        <f t="array" ref="V384">IF(ISERROR(L384/K384),"",L384/K384)</f>
        <v/>
      </c>
      <c r="W384" s="20"/>
      <c r="X384" s="20"/>
      <c r="Y384" s="20"/>
      <c r="Z384" s="20"/>
      <c r="AA384" s="20"/>
      <c r="AB384" s="20"/>
      <c r="AC384" s="20"/>
    </row>
    <row r="385" spans="1:29" s="2" customFormat="1" ht="21.95" customHeight="1">
      <c r="A385" s="160">
        <v>300185</v>
      </c>
      <c r="B385" s="153">
        <v>18501</v>
      </c>
      <c r="C385" s="248" t="s">
        <v>161</v>
      </c>
      <c r="D385" s="248" t="s">
        <v>160</v>
      </c>
      <c r="E385" s="166" t="s">
        <v>135</v>
      </c>
      <c r="F385" s="165"/>
      <c r="G385" s="164"/>
      <c r="H385" s="164"/>
      <c r="I385" s="164"/>
      <c r="J385" s="164"/>
      <c r="K385" s="164">
        <f t="shared" si="46"/>
        <v>0</v>
      </c>
      <c r="L385" s="164">
        <f t="shared" si="47"/>
        <v>0</v>
      </c>
      <c r="M385" s="164">
        <v>638</v>
      </c>
      <c r="N385" s="164">
        <f t="shared" si="52"/>
        <v>6.0738766184310737</v>
      </c>
      <c r="O385" s="164"/>
      <c r="P385" s="164">
        <f t="shared" si="48"/>
        <v>0</v>
      </c>
      <c r="Q385" s="164"/>
      <c r="R385" s="19">
        <f t="shared" si="49"/>
        <v>0</v>
      </c>
      <c r="S385" s="164">
        <f t="shared" si="50"/>
        <v>0</v>
      </c>
      <c r="T385" s="20">
        <v>6</v>
      </c>
      <c r="U385" s="20"/>
      <c r="V385" s="161" t="str">
        <f t="array" ref="V385">IF(ISERROR(L385/K385),"",L385/K385)</f>
        <v/>
      </c>
      <c r="W385" s="20"/>
      <c r="X385" s="20"/>
      <c r="Y385" s="20"/>
      <c r="Z385" s="20"/>
      <c r="AA385" s="20"/>
      <c r="AB385" s="20"/>
      <c r="AC385" s="20"/>
    </row>
    <row r="386" spans="1:29" s="2" customFormat="1" ht="21.95" customHeight="1">
      <c r="A386" s="160">
        <v>300272</v>
      </c>
      <c r="B386" s="153">
        <v>18502</v>
      </c>
      <c r="C386" s="248" t="s">
        <v>162</v>
      </c>
      <c r="D386" s="248"/>
      <c r="E386" s="166" t="s">
        <v>42</v>
      </c>
      <c r="F386" s="165"/>
      <c r="G386" s="164"/>
      <c r="H386" s="164"/>
      <c r="I386" s="164"/>
      <c r="J386" s="164"/>
      <c r="K386" s="164">
        <f t="shared" si="46"/>
        <v>0</v>
      </c>
      <c r="L386" s="164">
        <f t="shared" si="47"/>
        <v>0</v>
      </c>
      <c r="M386" s="164">
        <v>523.9</v>
      </c>
      <c r="N386" s="164">
        <f>+M386*1000/(128*4*13*60)*T386</f>
        <v>5.247395833333333</v>
      </c>
      <c r="O386" s="164"/>
      <c r="P386" s="164">
        <f t="shared" si="48"/>
        <v>0</v>
      </c>
      <c r="Q386" s="164"/>
      <c r="R386" s="19">
        <f t="shared" si="49"/>
        <v>0</v>
      </c>
      <c r="S386" s="164">
        <f t="shared" si="50"/>
        <v>0</v>
      </c>
      <c r="T386" s="20">
        <v>4</v>
      </c>
      <c r="U386" s="20"/>
      <c r="V386" s="161" t="str">
        <f t="array" ref="V386">IF(ISERROR(L386/K386),"",L386/K386)</f>
        <v/>
      </c>
      <c r="W386" s="20"/>
      <c r="X386" s="20"/>
      <c r="Y386" s="20"/>
      <c r="Z386" s="20"/>
      <c r="AA386" s="20"/>
      <c r="AB386" s="20"/>
      <c r="AC386" s="20"/>
    </row>
    <row r="387" spans="1:29" s="2" customFormat="1" ht="21.95" customHeight="1">
      <c r="A387" s="160">
        <v>300273</v>
      </c>
      <c r="B387" s="153">
        <v>18502</v>
      </c>
      <c r="C387" s="248" t="s">
        <v>162</v>
      </c>
      <c r="D387" s="248"/>
      <c r="E387" s="166" t="s">
        <v>163</v>
      </c>
      <c r="F387" s="165"/>
      <c r="G387" s="164"/>
      <c r="H387" s="164"/>
      <c r="I387" s="164"/>
      <c r="J387" s="164"/>
      <c r="K387" s="164">
        <f t="shared" si="46"/>
        <v>0</v>
      </c>
      <c r="L387" s="164">
        <f t="shared" si="47"/>
        <v>0</v>
      </c>
      <c r="M387" s="164">
        <v>523.9</v>
      </c>
      <c r="N387" s="164">
        <f>+M387*1000/(128*4*13*60)*T387</f>
        <v>6.5592447916666661</v>
      </c>
      <c r="O387" s="164"/>
      <c r="P387" s="164">
        <f t="shared" si="48"/>
        <v>0</v>
      </c>
      <c r="Q387" s="164"/>
      <c r="R387" s="19">
        <f t="shared" si="49"/>
        <v>0</v>
      </c>
      <c r="S387" s="164">
        <f t="shared" si="50"/>
        <v>0</v>
      </c>
      <c r="T387" s="20">
        <v>5</v>
      </c>
      <c r="U387" s="20"/>
      <c r="V387" s="161" t="str">
        <f t="array" ref="V387">IF(ISERROR(L387/K387),"",L387/K387)</f>
        <v/>
      </c>
      <c r="W387" s="20"/>
      <c r="X387" s="20"/>
      <c r="Y387" s="20"/>
      <c r="Z387" s="20"/>
      <c r="AA387" s="20"/>
      <c r="AB387" s="20"/>
      <c r="AC387" s="20"/>
    </row>
    <row r="388" spans="1:29" s="2" customFormat="1" ht="21.95" customHeight="1">
      <c r="A388" s="160">
        <v>300274</v>
      </c>
      <c r="B388" s="153">
        <v>18502</v>
      </c>
      <c r="C388" s="248" t="s">
        <v>162</v>
      </c>
      <c r="D388" s="248"/>
      <c r="E388" s="166" t="s">
        <v>146</v>
      </c>
      <c r="F388" s="165"/>
      <c r="G388" s="164"/>
      <c r="H388" s="164"/>
      <c r="I388" s="164"/>
      <c r="J388" s="164"/>
      <c r="K388" s="164">
        <f t="shared" si="46"/>
        <v>0</v>
      </c>
      <c r="L388" s="164">
        <f t="shared" si="47"/>
        <v>0</v>
      </c>
      <c r="M388" s="164">
        <v>523.9</v>
      </c>
      <c r="N388" s="164">
        <f>+M388*1000/(128*4*13*60)*T388</f>
        <v>5.247395833333333</v>
      </c>
      <c r="O388" s="164"/>
      <c r="P388" s="164">
        <f t="shared" si="48"/>
        <v>0</v>
      </c>
      <c r="Q388" s="164"/>
      <c r="R388" s="19">
        <f t="shared" si="49"/>
        <v>0</v>
      </c>
      <c r="S388" s="164">
        <f t="shared" si="50"/>
        <v>0</v>
      </c>
      <c r="T388" s="20">
        <v>4</v>
      </c>
      <c r="U388" s="20"/>
      <c r="V388" s="161" t="str">
        <f t="array" ref="V388">IF(ISERROR(L388/K388),"",L388/K388)</f>
        <v/>
      </c>
      <c r="W388" s="20"/>
      <c r="X388" s="20"/>
      <c r="Y388" s="20"/>
      <c r="Z388" s="20"/>
      <c r="AA388" s="20"/>
      <c r="AB388" s="20"/>
      <c r="AC388" s="20"/>
    </row>
    <row r="389" spans="1:29" s="2" customFormat="1" ht="21.95" customHeight="1">
      <c r="A389" s="160">
        <v>300275</v>
      </c>
      <c r="B389" s="153">
        <v>18502</v>
      </c>
      <c r="C389" s="248" t="s">
        <v>162</v>
      </c>
      <c r="D389" s="248"/>
      <c r="E389" s="166" t="s">
        <v>164</v>
      </c>
      <c r="F389" s="165"/>
      <c r="G389" s="164"/>
      <c r="H389" s="164"/>
      <c r="I389" s="164"/>
      <c r="J389" s="164"/>
      <c r="K389" s="164">
        <f t="shared" si="46"/>
        <v>0</v>
      </c>
      <c r="L389" s="164">
        <f t="shared" si="47"/>
        <v>0</v>
      </c>
      <c r="M389" s="164">
        <v>523.9</v>
      </c>
      <c r="N389" s="164">
        <f>+M389*1000/(128*4*13*60)*T389</f>
        <v>5.247395833333333</v>
      </c>
      <c r="O389" s="164"/>
      <c r="P389" s="164">
        <f t="shared" si="48"/>
        <v>0</v>
      </c>
      <c r="Q389" s="164"/>
      <c r="R389" s="19">
        <f t="shared" si="49"/>
        <v>0</v>
      </c>
      <c r="S389" s="164">
        <f t="shared" si="50"/>
        <v>0</v>
      </c>
      <c r="T389" s="20">
        <v>4</v>
      </c>
      <c r="U389" s="20"/>
      <c r="V389" s="161" t="str">
        <f t="array" ref="V389">IF(ISERROR(L389/K389),"",L389/K389)</f>
        <v/>
      </c>
      <c r="W389" s="20"/>
      <c r="X389" s="20"/>
      <c r="Y389" s="20"/>
      <c r="Z389" s="20"/>
      <c r="AA389" s="20"/>
      <c r="AB389" s="20"/>
      <c r="AC389" s="20"/>
    </row>
    <row r="390" spans="1:29" s="2" customFormat="1" ht="21.95" customHeight="1">
      <c r="A390" s="160">
        <v>300285</v>
      </c>
      <c r="B390" s="153">
        <v>13001</v>
      </c>
      <c r="C390" s="248" t="s">
        <v>165</v>
      </c>
      <c r="D390" s="248"/>
      <c r="E390" s="166" t="s">
        <v>37</v>
      </c>
      <c r="F390" s="165"/>
      <c r="G390" s="164"/>
      <c r="H390" s="164"/>
      <c r="I390" s="164"/>
      <c r="J390" s="164"/>
      <c r="K390" s="164">
        <f t="shared" si="46"/>
        <v>0</v>
      </c>
      <c r="L390" s="164">
        <f t="shared" si="47"/>
        <v>0</v>
      </c>
      <c r="M390" s="164">
        <v>438.7</v>
      </c>
      <c r="N390" s="164">
        <f t="shared" ref="N390:N395" si="53">+M390*1000/(90*4*18*60)*T390</f>
        <v>5.6417181069958842</v>
      </c>
      <c r="O390" s="164"/>
      <c r="P390" s="164">
        <f t="shared" si="48"/>
        <v>0</v>
      </c>
      <c r="Q390" s="164"/>
      <c r="R390" s="19">
        <f t="shared" si="49"/>
        <v>0</v>
      </c>
      <c r="S390" s="164">
        <f t="shared" si="50"/>
        <v>0</v>
      </c>
      <c r="T390" s="20">
        <v>5</v>
      </c>
      <c r="U390" s="20"/>
      <c r="V390" s="161" t="str">
        <f t="array" ref="V390">IF(ISERROR(L390/K390),"",L390/K390)</f>
        <v/>
      </c>
      <c r="W390" s="20"/>
      <c r="X390" s="20"/>
      <c r="Y390" s="20"/>
      <c r="Z390" s="20"/>
      <c r="AA390" s="20"/>
      <c r="AB390" s="20"/>
      <c r="AC390" s="20"/>
    </row>
    <row r="391" spans="1:29" s="2" customFormat="1" ht="21.95" customHeight="1">
      <c r="A391" s="160">
        <v>300287</v>
      </c>
      <c r="B391" s="153">
        <v>13001</v>
      </c>
      <c r="C391" s="248" t="s">
        <v>165</v>
      </c>
      <c r="D391" s="248"/>
      <c r="E391" s="166" t="s">
        <v>57</v>
      </c>
      <c r="F391" s="165"/>
      <c r="G391" s="164"/>
      <c r="H391" s="164"/>
      <c r="I391" s="164"/>
      <c r="J391" s="164"/>
      <c r="K391" s="164">
        <f t="shared" si="46"/>
        <v>0</v>
      </c>
      <c r="L391" s="164">
        <f t="shared" si="47"/>
        <v>0</v>
      </c>
      <c r="M391" s="164">
        <v>438.7</v>
      </c>
      <c r="N391" s="164">
        <f t="shared" si="53"/>
        <v>5.6417181069958842</v>
      </c>
      <c r="O391" s="164"/>
      <c r="P391" s="164">
        <f t="shared" si="48"/>
        <v>0</v>
      </c>
      <c r="Q391" s="164"/>
      <c r="R391" s="19">
        <f t="shared" si="49"/>
        <v>0</v>
      </c>
      <c r="S391" s="164">
        <f t="shared" si="50"/>
        <v>0</v>
      </c>
      <c r="T391" s="20">
        <v>5</v>
      </c>
      <c r="U391" s="20"/>
      <c r="V391" s="161" t="str">
        <f t="array" ref="V391">IF(ISERROR(L391/K391),"",L391/K391)</f>
        <v/>
      </c>
      <c r="W391" s="20"/>
      <c r="X391" s="20"/>
      <c r="Y391" s="20"/>
      <c r="Z391" s="20"/>
      <c r="AA391" s="20"/>
      <c r="AB391" s="20"/>
      <c r="AC391" s="20"/>
    </row>
    <row r="392" spans="1:29" s="2" customFormat="1" ht="21.95" customHeight="1">
      <c r="A392" s="160">
        <v>300284</v>
      </c>
      <c r="B392" s="153">
        <v>13001</v>
      </c>
      <c r="C392" s="248" t="s">
        <v>165</v>
      </c>
      <c r="D392" s="248"/>
      <c r="E392" s="166" t="s">
        <v>41</v>
      </c>
      <c r="F392" s="165"/>
      <c r="G392" s="164"/>
      <c r="H392" s="164"/>
      <c r="I392" s="164"/>
      <c r="J392" s="164"/>
      <c r="K392" s="164">
        <f t="shared" si="46"/>
        <v>0</v>
      </c>
      <c r="L392" s="164">
        <f t="shared" si="47"/>
        <v>0</v>
      </c>
      <c r="M392" s="164">
        <v>438.7</v>
      </c>
      <c r="N392" s="164">
        <f t="shared" si="53"/>
        <v>5.6417181069958842</v>
      </c>
      <c r="O392" s="164"/>
      <c r="P392" s="164">
        <f t="shared" si="48"/>
        <v>0</v>
      </c>
      <c r="Q392" s="164"/>
      <c r="R392" s="19">
        <f t="shared" si="49"/>
        <v>0</v>
      </c>
      <c r="S392" s="164">
        <f t="shared" si="50"/>
        <v>0</v>
      </c>
      <c r="T392" s="20">
        <v>5</v>
      </c>
      <c r="U392" s="20"/>
      <c r="V392" s="161" t="str">
        <f t="array" ref="V392">IF(ISERROR(L392/K392),"",L392/K392)</f>
        <v/>
      </c>
      <c r="W392" s="20"/>
      <c r="X392" s="20"/>
      <c r="Y392" s="20"/>
      <c r="Z392" s="20"/>
      <c r="AA392" s="20"/>
      <c r="AB392" s="20"/>
      <c r="AC392" s="20"/>
    </row>
    <row r="393" spans="1:29" s="2" customFormat="1" ht="21.95" customHeight="1">
      <c r="A393" s="160">
        <v>300283</v>
      </c>
      <c r="B393" s="153">
        <v>13001</v>
      </c>
      <c r="C393" s="248" t="s">
        <v>165</v>
      </c>
      <c r="D393" s="248"/>
      <c r="E393" s="166" t="s">
        <v>35</v>
      </c>
      <c r="F393" s="165"/>
      <c r="G393" s="164"/>
      <c r="H393" s="164"/>
      <c r="I393" s="164"/>
      <c r="J393" s="154"/>
      <c r="K393" s="154">
        <f t="shared" si="46"/>
        <v>0</v>
      </c>
      <c r="L393" s="154">
        <f t="shared" si="47"/>
        <v>0</v>
      </c>
      <c r="M393" s="164">
        <v>438.7</v>
      </c>
      <c r="N393" s="164">
        <f t="shared" si="53"/>
        <v>5.6417181069958842</v>
      </c>
      <c r="O393" s="154"/>
      <c r="P393" s="164">
        <f t="shared" si="48"/>
        <v>0</v>
      </c>
      <c r="Q393" s="164"/>
      <c r="R393" s="19">
        <f t="shared" si="49"/>
        <v>0</v>
      </c>
      <c r="S393" s="164">
        <f t="shared" si="50"/>
        <v>0</v>
      </c>
      <c r="T393" s="20">
        <v>5</v>
      </c>
      <c r="U393" s="20"/>
      <c r="V393" s="161" t="str">
        <f t="array" ref="V393">IF(ISERROR(L393/K393),"",L393/K393)</f>
        <v/>
      </c>
      <c r="W393" s="20"/>
      <c r="X393" s="20"/>
      <c r="Y393" s="20"/>
      <c r="Z393" s="20"/>
      <c r="AA393" s="20"/>
      <c r="AB393" s="20"/>
      <c r="AC393" s="20"/>
    </row>
    <row r="394" spans="1:29" s="2" customFormat="1" ht="21.95" customHeight="1">
      <c r="A394" s="160">
        <v>300289</v>
      </c>
      <c r="B394" s="153">
        <v>13001</v>
      </c>
      <c r="C394" s="248" t="s">
        <v>165</v>
      </c>
      <c r="D394" s="248"/>
      <c r="E394" s="166" t="s">
        <v>66</v>
      </c>
      <c r="F394" s="165"/>
      <c r="G394" s="154"/>
      <c r="H394" s="154"/>
      <c r="I394" s="154"/>
      <c r="J394" s="116"/>
      <c r="K394" s="154">
        <f t="shared" si="46"/>
        <v>0</v>
      </c>
      <c r="L394" s="154">
        <f t="shared" si="47"/>
        <v>0</v>
      </c>
      <c r="M394" s="164">
        <v>438.7</v>
      </c>
      <c r="N394" s="164">
        <f t="shared" si="53"/>
        <v>5.6417181069958842</v>
      </c>
      <c r="O394" s="154"/>
      <c r="P394" s="164">
        <f t="shared" si="48"/>
        <v>0</v>
      </c>
      <c r="Q394" s="164"/>
      <c r="R394" s="19">
        <f t="shared" si="49"/>
        <v>0</v>
      </c>
      <c r="S394" s="164">
        <f t="shared" si="50"/>
        <v>0</v>
      </c>
      <c r="T394" s="20">
        <v>5</v>
      </c>
      <c r="U394" s="20"/>
      <c r="V394" s="161" t="str">
        <f t="array" ref="V394">IF(ISERROR(L394/K394),"",L394/K394)</f>
        <v/>
      </c>
      <c r="W394" s="20"/>
      <c r="X394" s="20"/>
      <c r="Y394" s="20"/>
      <c r="Z394" s="20"/>
      <c r="AA394" s="20"/>
      <c r="AB394" s="20"/>
      <c r="AC394" s="20"/>
    </row>
    <row r="395" spans="1:29" s="2" customFormat="1" ht="21.95" customHeight="1">
      <c r="A395" s="160">
        <v>300288</v>
      </c>
      <c r="B395" s="153">
        <v>13001</v>
      </c>
      <c r="C395" s="248" t="s">
        <v>165</v>
      </c>
      <c r="D395" s="248"/>
      <c r="E395" s="166" t="s">
        <v>166</v>
      </c>
      <c r="F395" s="165"/>
      <c r="G395" s="159"/>
      <c r="H395" s="164"/>
      <c r="I395" s="164"/>
      <c r="J395" s="164"/>
      <c r="K395" s="164">
        <f t="shared" si="46"/>
        <v>0</v>
      </c>
      <c r="L395" s="164">
        <f t="shared" si="47"/>
        <v>0</v>
      </c>
      <c r="M395" s="164">
        <v>438.7</v>
      </c>
      <c r="N395" s="164">
        <f t="shared" si="53"/>
        <v>5.6417181069958842</v>
      </c>
      <c r="O395" s="164"/>
      <c r="P395" s="164">
        <f t="shared" si="48"/>
        <v>0</v>
      </c>
      <c r="Q395" s="164"/>
      <c r="R395" s="19">
        <f t="shared" si="49"/>
        <v>0</v>
      </c>
      <c r="S395" s="164">
        <f t="shared" si="50"/>
        <v>0</v>
      </c>
      <c r="T395" s="20">
        <v>5</v>
      </c>
      <c r="U395" s="20"/>
      <c r="V395" s="161" t="str">
        <f t="array" ref="V395">IF(ISERROR(L395/K395),"",L395/K395)</f>
        <v/>
      </c>
      <c r="W395" s="20"/>
      <c r="X395" s="20"/>
      <c r="Y395" s="20"/>
      <c r="Z395" s="20"/>
      <c r="AA395" s="20"/>
      <c r="AB395" s="20"/>
      <c r="AC395" s="20"/>
    </row>
    <row r="396" spans="1:29" s="2" customFormat="1" ht="21.95" customHeight="1">
      <c r="A396" s="157">
        <v>300355</v>
      </c>
      <c r="B396" s="124">
        <v>13001</v>
      </c>
      <c r="C396" s="262" t="s">
        <v>168</v>
      </c>
      <c r="D396" s="263"/>
      <c r="E396" s="53" t="s">
        <v>35</v>
      </c>
      <c r="F396" s="165"/>
      <c r="G396" s="159"/>
      <c r="H396" s="164"/>
      <c r="I396" s="164"/>
      <c r="J396" s="164"/>
      <c r="K396" s="154">
        <f t="shared" si="46"/>
        <v>0</v>
      </c>
      <c r="L396" s="164">
        <f t="shared" si="47"/>
        <v>0</v>
      </c>
      <c r="M396" s="164">
        <v>438</v>
      </c>
      <c r="N396" s="164">
        <f>+M396*1000/(110*4*18*60)*T396</f>
        <v>4.6085858585858581</v>
      </c>
      <c r="O396" s="164"/>
      <c r="P396" s="164">
        <f t="shared" si="48"/>
        <v>0</v>
      </c>
      <c r="Q396" s="164"/>
      <c r="R396" s="19">
        <f t="shared" si="49"/>
        <v>0</v>
      </c>
      <c r="S396" s="164">
        <f t="shared" si="50"/>
        <v>0</v>
      </c>
      <c r="T396" s="20">
        <v>5</v>
      </c>
      <c r="U396" s="20"/>
      <c r="V396" s="161" t="str">
        <f t="array" ref="V396">IF(ISERROR(L396/K396),"",L396/K396)</f>
        <v/>
      </c>
      <c r="W396" s="20"/>
      <c r="X396" s="20"/>
      <c r="Y396" s="20"/>
      <c r="Z396" s="20"/>
      <c r="AA396" s="20"/>
      <c r="AB396" s="20"/>
      <c r="AC396" s="20"/>
    </row>
    <row r="397" spans="1:29" s="2" customFormat="1" ht="21.95" customHeight="1">
      <c r="A397" s="157">
        <v>300356</v>
      </c>
      <c r="B397" s="124">
        <v>13001</v>
      </c>
      <c r="C397" s="262" t="s">
        <v>168</v>
      </c>
      <c r="D397" s="263"/>
      <c r="E397" s="54" t="s">
        <v>41</v>
      </c>
      <c r="F397" s="165"/>
      <c r="G397" s="159"/>
      <c r="H397" s="164"/>
      <c r="I397" s="164"/>
      <c r="J397" s="164"/>
      <c r="K397" s="154">
        <f t="shared" si="46"/>
        <v>0</v>
      </c>
      <c r="L397" s="164">
        <f t="shared" si="47"/>
        <v>0</v>
      </c>
      <c r="M397" s="164">
        <v>438</v>
      </c>
      <c r="N397" s="164">
        <f>+M397*1000/(110*4*18*60)*T397</f>
        <v>4.6085858585858581</v>
      </c>
      <c r="O397" s="164"/>
      <c r="P397" s="164">
        <f t="shared" si="48"/>
        <v>0</v>
      </c>
      <c r="Q397" s="164"/>
      <c r="R397" s="19">
        <f t="shared" si="49"/>
        <v>0</v>
      </c>
      <c r="S397" s="164">
        <f t="shared" si="50"/>
        <v>0</v>
      </c>
      <c r="T397" s="20">
        <v>5</v>
      </c>
      <c r="U397" s="20"/>
      <c r="V397" s="161" t="str">
        <f t="array" ref="V397">IF(ISERROR(L397/K397),"",L397/K397)</f>
        <v/>
      </c>
      <c r="W397" s="20"/>
      <c r="X397" s="20"/>
      <c r="Y397" s="20"/>
      <c r="Z397" s="20"/>
      <c r="AA397" s="20"/>
      <c r="AB397" s="20"/>
      <c r="AC397" s="20"/>
    </row>
    <row r="398" spans="1:29" ht="21.95" customHeight="1">
      <c r="A398" s="157">
        <v>300357</v>
      </c>
      <c r="B398" s="153" t="s">
        <v>170</v>
      </c>
      <c r="C398" s="259" t="s">
        <v>168</v>
      </c>
      <c r="D398" s="260"/>
      <c r="E398" s="168" t="s">
        <v>37</v>
      </c>
      <c r="F398" s="13"/>
      <c r="G398" s="159"/>
      <c r="H398" s="164"/>
      <c r="I398" s="164"/>
      <c r="J398" s="164"/>
      <c r="K398" s="154">
        <f t="shared" si="46"/>
        <v>0</v>
      </c>
      <c r="L398" s="164">
        <f t="shared" si="47"/>
        <v>0</v>
      </c>
      <c r="M398" s="164">
        <v>438</v>
      </c>
      <c r="N398" s="15">
        <f>+M398*1000/(110*4*18*60)*T398</f>
        <v>4.6085858585858581</v>
      </c>
      <c r="O398" s="164"/>
      <c r="P398" s="164">
        <f t="shared" si="48"/>
        <v>0</v>
      </c>
      <c r="Q398" s="164"/>
      <c r="R398" s="19">
        <f t="shared" si="49"/>
        <v>0</v>
      </c>
      <c r="S398" s="164">
        <f t="shared" si="50"/>
        <v>0</v>
      </c>
      <c r="T398" s="20">
        <v>5</v>
      </c>
      <c r="U398" s="20"/>
      <c r="V398" s="161" t="str">
        <f t="array" ref="V398">IF(ISERROR(L398/K398),"",L398/K398)</f>
        <v/>
      </c>
      <c r="W398" s="20"/>
      <c r="X398" s="20"/>
      <c r="Y398" s="20"/>
      <c r="Z398" s="20"/>
      <c r="AA398" s="20"/>
      <c r="AB398" s="20"/>
      <c r="AC398" s="20"/>
    </row>
    <row r="399" spans="1:29" ht="21.95" customHeight="1">
      <c r="A399" s="157">
        <v>300358</v>
      </c>
      <c r="B399" s="153" t="s">
        <v>171</v>
      </c>
      <c r="C399" s="259" t="s">
        <v>168</v>
      </c>
      <c r="D399" s="260"/>
      <c r="E399" s="168" t="s">
        <v>66</v>
      </c>
      <c r="F399" s="13"/>
      <c r="G399" s="159"/>
      <c r="H399" s="164"/>
      <c r="I399" s="164"/>
      <c r="J399" s="164"/>
      <c r="K399" s="154">
        <f t="shared" si="46"/>
        <v>0</v>
      </c>
      <c r="L399" s="164">
        <f t="shared" si="47"/>
        <v>0</v>
      </c>
      <c r="M399" s="164">
        <v>438</v>
      </c>
      <c r="N399" s="15">
        <f>+M399*1000/(110*4*18*60)*T399</f>
        <v>4.6085858585858581</v>
      </c>
      <c r="O399" s="164"/>
      <c r="P399" s="164">
        <f t="shared" si="48"/>
        <v>0</v>
      </c>
      <c r="Q399" s="164"/>
      <c r="R399" s="19">
        <f t="shared" si="49"/>
        <v>0</v>
      </c>
      <c r="S399" s="164">
        <f t="shared" si="50"/>
        <v>0</v>
      </c>
      <c r="T399" s="20">
        <v>5</v>
      </c>
      <c r="U399" s="20"/>
      <c r="V399" s="161" t="str">
        <f t="array" ref="V399">IF(ISERROR(L399/K399),"",L399/K399)</f>
        <v/>
      </c>
      <c r="W399" s="20"/>
      <c r="X399" s="20"/>
      <c r="Y399" s="20"/>
      <c r="Z399" s="20"/>
      <c r="AA399" s="20"/>
      <c r="AB399" s="20"/>
      <c r="AC399" s="20"/>
    </row>
    <row r="400" spans="1:29" ht="21.95" customHeight="1">
      <c r="A400" s="160">
        <v>300438</v>
      </c>
      <c r="B400" s="153" t="s">
        <v>87</v>
      </c>
      <c r="C400" s="248" t="s">
        <v>312</v>
      </c>
      <c r="D400" s="248" t="s">
        <v>89</v>
      </c>
      <c r="E400" s="166" t="s">
        <v>35</v>
      </c>
      <c r="F400" s="13"/>
      <c r="G400" s="110"/>
      <c r="H400" s="110"/>
      <c r="I400" s="110"/>
      <c r="J400" s="110"/>
      <c r="K400" s="164">
        <f>G400*M400</f>
        <v>0</v>
      </c>
      <c r="L400" s="164">
        <f>I400*M400</f>
        <v>0</v>
      </c>
      <c r="M400" s="164">
        <v>336.6</v>
      </c>
      <c r="N400" s="164">
        <f>+M400*1000/(45*10*18*60)*T400</f>
        <v>1.3851851851851851</v>
      </c>
      <c r="O400" s="164"/>
      <c r="P400" s="164">
        <f>N400*I400+O400*U400</f>
        <v>0</v>
      </c>
      <c r="Q400" s="164"/>
      <c r="R400" s="19">
        <f>Q400*U400</f>
        <v>0</v>
      </c>
      <c r="S400" s="164">
        <f>R400-P400</f>
        <v>0</v>
      </c>
      <c r="T400" s="20">
        <v>2</v>
      </c>
      <c r="U400" s="20"/>
      <c r="V400" s="161"/>
      <c r="W400" s="20"/>
      <c r="X400" s="20"/>
      <c r="Y400" s="20"/>
      <c r="Z400" s="20"/>
      <c r="AA400" s="20"/>
      <c r="AB400" s="20"/>
      <c r="AC400" s="20"/>
    </row>
    <row r="401" spans="1:29" ht="21.95" customHeight="1">
      <c r="A401" s="160">
        <v>300439</v>
      </c>
      <c r="B401" s="153" t="s">
        <v>87</v>
      </c>
      <c r="C401" s="248" t="s">
        <v>312</v>
      </c>
      <c r="D401" s="248" t="s">
        <v>89</v>
      </c>
      <c r="E401" s="166" t="s">
        <v>66</v>
      </c>
      <c r="F401" s="13"/>
      <c r="G401" s="110"/>
      <c r="H401" s="110"/>
      <c r="I401" s="110"/>
      <c r="J401" s="110"/>
      <c r="K401" s="164">
        <f>G401*M401</f>
        <v>0</v>
      </c>
      <c r="L401" s="164">
        <f>I401*M401</f>
        <v>0</v>
      </c>
      <c r="M401" s="164">
        <v>336.6</v>
      </c>
      <c r="N401" s="164">
        <f>+M401*1000/(45*10*18*60)*T401</f>
        <v>1.3851851851851851</v>
      </c>
      <c r="O401" s="164"/>
      <c r="P401" s="164">
        <f>N401*I401+O401*U401</f>
        <v>0</v>
      </c>
      <c r="Q401" s="164"/>
      <c r="R401" s="19">
        <f>Q401*U401</f>
        <v>0</v>
      </c>
      <c r="S401" s="164">
        <f>R401-P401</f>
        <v>0</v>
      </c>
      <c r="T401" s="20">
        <v>2</v>
      </c>
      <c r="U401" s="20"/>
      <c r="V401" s="161"/>
      <c r="W401" s="20"/>
      <c r="X401" s="20"/>
      <c r="Y401" s="20"/>
      <c r="Z401" s="20"/>
      <c r="AA401" s="20"/>
      <c r="AB401" s="20"/>
      <c r="AC401" s="20"/>
    </row>
    <row r="402" spans="1:29" ht="21.95" customHeight="1">
      <c r="A402" s="160">
        <v>300440</v>
      </c>
      <c r="B402" s="153" t="s">
        <v>87</v>
      </c>
      <c r="C402" s="248" t="s">
        <v>312</v>
      </c>
      <c r="D402" s="248" t="s">
        <v>89</v>
      </c>
      <c r="E402" s="166" t="s">
        <v>41</v>
      </c>
      <c r="F402" s="13"/>
      <c r="G402" s="110"/>
      <c r="H402" s="110"/>
      <c r="I402" s="110"/>
      <c r="J402" s="110"/>
      <c r="K402" s="164">
        <f>G402*M402</f>
        <v>0</v>
      </c>
      <c r="L402" s="164">
        <f>I402*M402</f>
        <v>0</v>
      </c>
      <c r="M402" s="164">
        <v>336.6</v>
      </c>
      <c r="N402" s="164">
        <f>+M402*1000/(45*10*18*60)*T402</f>
        <v>1.3851851851851851</v>
      </c>
      <c r="O402" s="164"/>
      <c r="P402" s="164">
        <f>N402*I402+O402*U402</f>
        <v>0</v>
      </c>
      <c r="Q402" s="164"/>
      <c r="R402" s="19">
        <f>Q402*U402</f>
        <v>0</v>
      </c>
      <c r="S402" s="164">
        <f>R402-P402</f>
        <v>0</v>
      </c>
      <c r="T402" s="20">
        <v>2</v>
      </c>
      <c r="U402" s="20"/>
      <c r="V402" s="161"/>
      <c r="W402" s="20"/>
      <c r="X402" s="20"/>
      <c r="Y402" s="20"/>
      <c r="Z402" s="20"/>
      <c r="AA402" s="20"/>
      <c r="AB402" s="20"/>
      <c r="AC402" s="20"/>
    </row>
    <row r="403" spans="1:29" ht="21.95" customHeight="1">
      <c r="A403" s="160">
        <v>300441</v>
      </c>
      <c r="B403" s="153" t="s">
        <v>87</v>
      </c>
      <c r="C403" s="248" t="s">
        <v>312</v>
      </c>
      <c r="D403" s="248" t="s">
        <v>89</v>
      </c>
      <c r="E403" s="166" t="s">
        <v>37</v>
      </c>
      <c r="F403" s="13"/>
      <c r="G403" s="110"/>
      <c r="H403" s="110"/>
      <c r="I403" s="110"/>
      <c r="J403" s="110"/>
      <c r="K403" s="164">
        <f>G403*M403</f>
        <v>0</v>
      </c>
      <c r="L403" s="164">
        <f>I403*M403</f>
        <v>0</v>
      </c>
      <c r="M403" s="164">
        <v>336.6</v>
      </c>
      <c r="N403" s="164">
        <f>+M403*1000/(45*10*18*60)*T403</f>
        <v>1.3851851851851851</v>
      </c>
      <c r="O403" s="164"/>
      <c r="P403" s="164">
        <f>N403*I403+O403*U403</f>
        <v>0</v>
      </c>
      <c r="Q403" s="164"/>
      <c r="R403" s="19">
        <f>Q403*U403</f>
        <v>0</v>
      </c>
      <c r="S403" s="164">
        <f>R403-P403</f>
        <v>0</v>
      </c>
      <c r="T403" s="20">
        <v>2</v>
      </c>
      <c r="U403" s="20"/>
      <c r="V403" s="161"/>
      <c r="W403" s="20"/>
      <c r="X403" s="20"/>
      <c r="Y403" s="20"/>
      <c r="Z403" s="20"/>
      <c r="AA403" s="20"/>
      <c r="AB403" s="20"/>
      <c r="AC403" s="20"/>
    </row>
    <row r="404" spans="1:29" s="2" customFormat="1" ht="22.5" customHeight="1">
      <c r="A404" s="157">
        <v>300406</v>
      </c>
      <c r="B404" s="153" t="s">
        <v>171</v>
      </c>
      <c r="C404" s="259" t="s">
        <v>172</v>
      </c>
      <c r="D404" s="260"/>
      <c r="E404" s="168" t="s">
        <v>149</v>
      </c>
      <c r="F404" s="27"/>
      <c r="G404" s="159"/>
      <c r="H404" s="164"/>
      <c r="I404" s="164"/>
      <c r="J404" s="164"/>
      <c r="K404" s="154">
        <f t="shared" ref="K404:K407" si="54">G404*M404</f>
        <v>0</v>
      </c>
      <c r="L404" s="164">
        <f t="shared" ref="L404:L407" si="55">I404*M404</f>
        <v>0</v>
      </c>
      <c r="M404" s="164">
        <v>628.29999999999995</v>
      </c>
      <c r="N404" s="15">
        <f>+M404*1000/(132*4*18*60)*T404</f>
        <v>5.5090838945005611</v>
      </c>
      <c r="O404" s="164"/>
      <c r="P404" s="164">
        <f t="shared" ref="P404:P407" si="56">N404*I404+O404*U404</f>
        <v>0</v>
      </c>
      <c r="Q404" s="164"/>
      <c r="R404" s="19">
        <f t="shared" ref="R404:R407" si="57">Q404*U404</f>
        <v>0</v>
      </c>
      <c r="S404" s="164">
        <f t="shared" ref="S404:S407" si="58">R404-P404</f>
        <v>0</v>
      </c>
      <c r="T404" s="20">
        <v>5</v>
      </c>
      <c r="U404" s="20"/>
      <c r="V404" s="161" t="str">
        <f t="array" ref="V404">IF(ISERROR(L404/K404),"",L404/K404)</f>
        <v/>
      </c>
      <c r="W404" s="20"/>
      <c r="X404" s="20"/>
      <c r="Y404" s="20"/>
      <c r="Z404" s="20"/>
      <c r="AA404" s="20"/>
      <c r="AB404" s="20"/>
      <c r="AC404" s="20"/>
    </row>
    <row r="405" spans="1:29" s="2" customFormat="1" ht="22.5" customHeight="1">
      <c r="A405" s="157">
        <v>300407</v>
      </c>
      <c r="B405" s="153" t="s">
        <v>171</v>
      </c>
      <c r="C405" s="259" t="s">
        <v>172</v>
      </c>
      <c r="D405" s="260"/>
      <c r="E405" s="168" t="s">
        <v>173</v>
      </c>
      <c r="F405" s="27"/>
      <c r="G405" s="159"/>
      <c r="H405" s="164"/>
      <c r="I405" s="164"/>
      <c r="J405" s="164"/>
      <c r="K405" s="154">
        <f t="shared" si="54"/>
        <v>0</v>
      </c>
      <c r="L405" s="164">
        <f t="shared" si="55"/>
        <v>0</v>
      </c>
      <c r="M405" s="164">
        <v>628.29999999999995</v>
      </c>
      <c r="N405" s="15">
        <f>+M405*1000/(132*4*18*60)*T405</f>
        <v>5.5090838945005611</v>
      </c>
      <c r="O405" s="164"/>
      <c r="P405" s="164">
        <f t="shared" si="56"/>
        <v>0</v>
      </c>
      <c r="Q405" s="164"/>
      <c r="R405" s="19">
        <f t="shared" si="57"/>
        <v>0</v>
      </c>
      <c r="S405" s="164">
        <f t="shared" si="58"/>
        <v>0</v>
      </c>
      <c r="T405" s="20">
        <v>5</v>
      </c>
      <c r="U405" s="20"/>
      <c r="V405" s="161" t="str">
        <f t="array" ref="V405">IF(ISERROR(L405/K405),"",L405/K405)</f>
        <v/>
      </c>
      <c r="W405" s="20"/>
      <c r="X405" s="20"/>
      <c r="Y405" s="20"/>
      <c r="Z405" s="20"/>
      <c r="AA405" s="20"/>
      <c r="AB405" s="20"/>
      <c r="AC405" s="20"/>
    </row>
    <row r="406" spans="1:29" s="2" customFormat="1" ht="22.5" customHeight="1">
      <c r="A406" s="157">
        <v>300408</v>
      </c>
      <c r="B406" s="153" t="s">
        <v>171</v>
      </c>
      <c r="C406" s="259" t="s">
        <v>172</v>
      </c>
      <c r="D406" s="260"/>
      <c r="E406" s="168" t="s">
        <v>41</v>
      </c>
      <c r="F406" s="27"/>
      <c r="G406" s="159"/>
      <c r="H406" s="164"/>
      <c r="I406" s="164"/>
      <c r="J406" s="164"/>
      <c r="K406" s="154">
        <f t="shared" si="54"/>
        <v>0</v>
      </c>
      <c r="L406" s="164">
        <f t="shared" si="55"/>
        <v>0</v>
      </c>
      <c r="M406" s="164">
        <v>628.29999999999995</v>
      </c>
      <c r="N406" s="15">
        <f>+M406*1000/(132*4*18*60)*T406</f>
        <v>5.5090838945005611</v>
      </c>
      <c r="O406" s="164"/>
      <c r="P406" s="164">
        <f t="shared" si="56"/>
        <v>0</v>
      </c>
      <c r="Q406" s="164"/>
      <c r="R406" s="19">
        <f t="shared" si="57"/>
        <v>0</v>
      </c>
      <c r="S406" s="164">
        <f t="shared" si="58"/>
        <v>0</v>
      </c>
      <c r="T406" s="20">
        <v>5</v>
      </c>
      <c r="U406" s="20"/>
      <c r="V406" s="161" t="str">
        <f t="array" ref="V406">IF(ISERROR(L406/K406),"",L406/K406)</f>
        <v/>
      </c>
      <c r="W406" s="20"/>
      <c r="X406" s="20"/>
      <c r="Y406" s="20"/>
      <c r="Z406" s="20"/>
      <c r="AA406" s="20"/>
      <c r="AB406" s="20"/>
      <c r="AC406" s="20"/>
    </row>
    <row r="407" spans="1:29" s="2" customFormat="1" ht="22.5" customHeight="1">
      <c r="A407" s="157">
        <v>300409</v>
      </c>
      <c r="B407" s="153" t="s">
        <v>171</v>
      </c>
      <c r="C407" s="259" t="s">
        <v>172</v>
      </c>
      <c r="D407" s="260"/>
      <c r="E407" s="168" t="s">
        <v>174</v>
      </c>
      <c r="F407" s="27"/>
      <c r="G407" s="159"/>
      <c r="H407" s="164"/>
      <c r="I407" s="164"/>
      <c r="J407" s="164"/>
      <c r="K407" s="154">
        <f t="shared" si="54"/>
        <v>0</v>
      </c>
      <c r="L407" s="164">
        <f t="shared" si="55"/>
        <v>0</v>
      </c>
      <c r="M407" s="164">
        <v>628.29999999999995</v>
      </c>
      <c r="N407" s="15">
        <f>+M407*1000/(132*4*18*60)*T407</f>
        <v>5.5090838945005611</v>
      </c>
      <c r="O407" s="164"/>
      <c r="P407" s="164">
        <f t="shared" si="56"/>
        <v>0</v>
      </c>
      <c r="Q407" s="164"/>
      <c r="R407" s="19">
        <f t="shared" si="57"/>
        <v>0</v>
      </c>
      <c r="S407" s="164">
        <f t="shared" si="58"/>
        <v>0</v>
      </c>
      <c r="T407" s="20">
        <v>5</v>
      </c>
      <c r="U407" s="20"/>
      <c r="V407" s="161" t="str">
        <f t="array" ref="V407">IF(ISERROR(L407/K407),"",L407/K407)</f>
        <v/>
      </c>
      <c r="W407" s="20"/>
      <c r="X407" s="20"/>
      <c r="Y407" s="20"/>
      <c r="Z407" s="20"/>
      <c r="AA407" s="20"/>
      <c r="AB407" s="20"/>
      <c r="AC407" s="20"/>
    </row>
    <row r="408" spans="1:29" ht="21.95" customHeight="1">
      <c r="A408" s="276" t="s">
        <v>175</v>
      </c>
      <c r="B408" s="277"/>
      <c r="C408" s="277"/>
      <c r="D408" s="277"/>
      <c r="E408" s="277"/>
      <c r="F408" s="278"/>
      <c r="G408" s="164">
        <f t="array" ref="G408">SUM(IF(ISERROR(G215:G407),“”,G215:G407))</f>
        <v>0</v>
      </c>
      <c r="H408" s="164">
        <f t="array" ref="H408">SUM(IF(ISERROR(H215:H407),“”,H215:H407))</f>
        <v>0</v>
      </c>
      <c r="I408" s="164">
        <f t="array" ref="I408">SUM(IF(ISERROR(I215:I407),“”,I215:I407))</f>
        <v>0</v>
      </c>
      <c r="J408" s="164">
        <f t="array" ref="J408">SUM(IF(ISERROR(J215:J407),“”,J215:J407))</f>
        <v>0</v>
      </c>
      <c r="K408" s="164">
        <f t="array" ref="K408">SUM(IF(ISERROR(K215:K407),“”,K215:K407))</f>
        <v>0</v>
      </c>
      <c r="L408" s="117">
        <f>SUM(L215:L399)</f>
        <v>0</v>
      </c>
      <c r="M408" s="164"/>
      <c r="N408" s="164"/>
      <c r="O408" s="164">
        <f t="array" ref="O408">SUM(IF(ISERROR(O215:O407),“”,O215:O407))</f>
        <v>0</v>
      </c>
      <c r="P408" s="56">
        <f>SUM((P215:P399),(W413:X418))</f>
        <v>0</v>
      </c>
      <c r="Q408" s="164"/>
      <c r="R408" s="56">
        <f>SUM((R215:R399),(Y413:Z418))</f>
        <v>0</v>
      </c>
      <c r="S408" s="164">
        <f t="array" ref="S408">SUM(IF(ISERROR(S215:S407),“”,S215:S407))</f>
        <v>0</v>
      </c>
      <c r="T408" s="164"/>
      <c r="U408" s="164"/>
      <c r="V408" s="161" t="str">
        <f t="array" ref="V408">IF(ISERROR(L408/K408),"",L408/K408)</f>
        <v/>
      </c>
      <c r="W408" s="164">
        <f t="array" ref="W408">SUM(IF(ISERROR(W215:W407),“”,W215:W407))</f>
        <v>0</v>
      </c>
      <c r="X408" s="164">
        <f t="array" ref="X408">SUM(IF(ISERROR(X215:X407),“”,X215:X407))</f>
        <v>0</v>
      </c>
      <c r="Y408" s="164">
        <f t="array" ref="Y408">SUM(IF(ISERROR(Y215:Y407),“”,Y215:Y407))</f>
        <v>0</v>
      </c>
      <c r="Z408" s="164">
        <f t="array" ref="Z408">SUM(IF(ISERROR(Z215:Z407),“”,Z215:Z407))</f>
        <v>0</v>
      </c>
      <c r="AA408" s="164">
        <f t="array" ref="AA408">SUM(IF(ISERROR(AA215:AA407),“”,AA215:AA407))</f>
        <v>0</v>
      </c>
      <c r="AB408" s="164">
        <f t="array" ref="AB408">SUM(IF(ISERROR(AB215:AB407),“”,AB215:AB407))</f>
        <v>0</v>
      </c>
      <c r="AC408" s="164">
        <f t="array" ref="AC408">SUM(IF(ISERROR(AC215:AC407),“”,AC215:AC407))</f>
        <v>0</v>
      </c>
    </row>
    <row r="409" spans="1:29" ht="21.95" customHeight="1">
      <c r="A409" s="315"/>
      <c r="B409" s="316"/>
      <c r="C409" s="316"/>
      <c r="D409" s="316"/>
      <c r="E409" s="316"/>
      <c r="F409" s="317"/>
      <c r="G409" s="55" t="s">
        <v>222</v>
      </c>
      <c r="H409" s="55"/>
      <c r="I409" s="55"/>
      <c r="J409" s="55"/>
      <c r="K409" s="318" t="s">
        <v>176</v>
      </c>
      <c r="L409" s="319"/>
      <c r="M409" s="319"/>
      <c r="N409" s="320"/>
      <c r="O409" s="273" t="str">
        <f t="array" ref="O409">IF(ISERROR(P408/R408),"",P408/R408)</f>
        <v/>
      </c>
      <c r="P409" s="274"/>
      <c r="Q409" s="274"/>
      <c r="R409" s="275"/>
      <c r="S409" s="44"/>
      <c r="T409" s="45"/>
      <c r="U409" s="45"/>
      <c r="V409" s="45"/>
      <c r="W409" s="276">
        <f>SUM(W408:AC408)</f>
        <v>0</v>
      </c>
      <c r="X409" s="277"/>
      <c r="Y409" s="277"/>
      <c r="Z409" s="277"/>
      <c r="AA409" s="277"/>
      <c r="AB409" s="277"/>
      <c r="AC409" s="278"/>
    </row>
    <row r="410" spans="1:29" ht="21.95" customHeight="1">
      <c r="A410" s="279" t="s">
        <v>177</v>
      </c>
      <c r="B410" s="279"/>
      <c r="C410" s="279" t="s">
        <v>178</v>
      </c>
      <c r="D410" s="279"/>
      <c r="E410" s="279" t="s">
        <v>179</v>
      </c>
      <c r="F410" s="279"/>
      <c r="G410" s="279" t="s">
        <v>180</v>
      </c>
      <c r="H410" s="279"/>
      <c r="I410" s="279" t="s">
        <v>181</v>
      </c>
      <c r="J410" s="279"/>
      <c r="K410" s="279" t="s">
        <v>182</v>
      </c>
      <c r="L410" s="279"/>
      <c r="M410" s="266" t="s">
        <v>183</v>
      </c>
      <c r="N410" s="267"/>
      <c r="O410" s="321" t="s">
        <v>184</v>
      </c>
      <c r="P410" s="321"/>
      <c r="Q410" s="280" t="s">
        <v>185</v>
      </c>
      <c r="R410" s="280"/>
      <c r="S410" s="280" t="s">
        <v>186</v>
      </c>
      <c r="T410" s="280"/>
      <c r="U410" s="280" t="s">
        <v>187</v>
      </c>
      <c r="V410" s="280"/>
      <c r="W410" s="280" t="s">
        <v>188</v>
      </c>
      <c r="X410" s="280"/>
      <c r="Y410" s="280" t="s">
        <v>189</v>
      </c>
      <c r="Z410" s="280"/>
      <c r="AA410" s="280" t="s">
        <v>190</v>
      </c>
      <c r="AB410" s="280"/>
      <c r="AC410" s="280"/>
    </row>
    <row r="411" spans="1:29" ht="21.95" customHeight="1">
      <c r="A411" s="279"/>
      <c r="B411" s="279"/>
      <c r="C411" s="279" t="s">
        <v>191</v>
      </c>
      <c r="D411" s="279"/>
      <c r="E411" s="279"/>
      <c r="F411" s="279"/>
      <c r="G411" s="279"/>
      <c r="H411" s="279"/>
      <c r="I411" s="279">
        <f>G411-E411</f>
        <v>0</v>
      </c>
      <c r="J411" s="279"/>
      <c r="K411" s="281" t="str">
        <f t="array" ref="K411">IF(ISERROR(I411/E411),"",I411/E411)</f>
        <v/>
      </c>
      <c r="L411" s="281"/>
      <c r="M411" s="266"/>
      <c r="N411" s="267"/>
      <c r="O411" s="321"/>
      <c r="P411" s="321"/>
      <c r="Q411" s="280"/>
      <c r="R411" s="280"/>
      <c r="S411" s="280"/>
      <c r="T411" s="280"/>
      <c r="U411" s="280"/>
      <c r="V411" s="280"/>
      <c r="W411" s="280"/>
      <c r="X411" s="280"/>
      <c r="Y411" s="280"/>
      <c r="Z411" s="280"/>
      <c r="AA411" s="280"/>
      <c r="AB411" s="280"/>
      <c r="AC411" s="280"/>
    </row>
    <row r="412" spans="1:29" ht="21.95" customHeight="1">
      <c r="A412" s="279"/>
      <c r="B412" s="279"/>
      <c r="C412" s="279" t="s">
        <v>192</v>
      </c>
      <c r="D412" s="279"/>
      <c r="E412" s="279"/>
      <c r="F412" s="279"/>
      <c r="G412" s="279"/>
      <c r="H412" s="279"/>
      <c r="I412" s="279">
        <f>G412-E412</f>
        <v>0</v>
      </c>
      <c r="J412" s="279"/>
      <c r="K412" s="281" t="str">
        <f t="array" ref="K412">IF(ISERROR(I412/E412),"",I412/E412)</f>
        <v/>
      </c>
      <c r="L412" s="281"/>
      <c r="M412" s="266"/>
      <c r="N412" s="267"/>
      <c r="O412" s="321"/>
      <c r="P412" s="321"/>
      <c r="Q412" s="283" t="s">
        <v>193</v>
      </c>
      <c r="R412" s="283"/>
      <c r="S412" s="284"/>
      <c r="T412" s="284"/>
      <c r="U412" s="284"/>
      <c r="V412" s="284"/>
      <c r="W412" s="283">
        <f>S412*9</f>
        <v>0</v>
      </c>
      <c r="X412" s="283"/>
      <c r="Y412" s="283">
        <f>U412*9</f>
        <v>0</v>
      </c>
      <c r="Z412" s="283"/>
      <c r="AA412" s="283">
        <f t="shared" ref="AA412:AA419" si="59">Y412-W412</f>
        <v>0</v>
      </c>
      <c r="AB412" s="283"/>
      <c r="AC412" s="283"/>
    </row>
    <row r="413" spans="1:29" ht="21.95" customHeight="1">
      <c r="A413" s="279"/>
      <c r="B413" s="279"/>
      <c r="C413" s="279" t="s">
        <v>194</v>
      </c>
      <c r="D413" s="279"/>
      <c r="E413" s="279"/>
      <c r="F413" s="279"/>
      <c r="G413" s="279"/>
      <c r="H413" s="279"/>
      <c r="I413" s="279">
        <f>G413-E413</f>
        <v>0</v>
      </c>
      <c r="J413" s="279"/>
      <c r="K413" s="281" t="str">
        <f t="array" ref="K413">IF(ISERROR(I413/E413),"",I413/E413)</f>
        <v/>
      </c>
      <c r="L413" s="281"/>
      <c r="M413" s="266"/>
      <c r="N413" s="267"/>
      <c r="O413" s="321"/>
      <c r="P413" s="321"/>
      <c r="Q413" s="283" t="s">
        <v>195</v>
      </c>
      <c r="R413" s="283"/>
      <c r="S413" s="284"/>
      <c r="T413" s="284"/>
      <c r="U413" s="284"/>
      <c r="V413" s="284"/>
      <c r="W413" s="283">
        <f t="shared" ref="W413:W419" si="60">S413*9</f>
        <v>0</v>
      </c>
      <c r="X413" s="283"/>
      <c r="Y413" s="283">
        <f t="shared" ref="Y413:Y419" si="61">U413*9</f>
        <v>0</v>
      </c>
      <c r="Z413" s="283"/>
      <c r="AA413" s="283">
        <f t="shared" si="59"/>
        <v>0</v>
      </c>
      <c r="AB413" s="283"/>
      <c r="AC413" s="283"/>
    </row>
    <row r="414" spans="1:29" ht="21.95" customHeight="1">
      <c r="A414" s="307" t="s">
        <v>196</v>
      </c>
      <c r="B414" s="308"/>
      <c r="C414" s="298" t="s">
        <v>197</v>
      </c>
      <c r="D414" s="299"/>
      <c r="E414" s="299"/>
      <c r="F414" s="300"/>
      <c r="G414" s="313" t="s">
        <v>198</v>
      </c>
      <c r="H414" s="313"/>
      <c r="I414" s="291" t="s">
        <v>199</v>
      </c>
      <c r="J414" s="292"/>
      <c r="K414" s="291" t="s">
        <v>200</v>
      </c>
      <c r="L414" s="292"/>
      <c r="M414" s="291" t="s">
        <v>201</v>
      </c>
      <c r="N414" s="292"/>
      <c r="O414" s="321"/>
      <c r="P414" s="321"/>
      <c r="Q414" s="283" t="s">
        <v>202</v>
      </c>
      <c r="R414" s="283"/>
      <c r="S414" s="283"/>
      <c r="T414" s="283"/>
      <c r="U414" s="284"/>
      <c r="V414" s="284"/>
      <c r="W414" s="283">
        <f t="shared" si="60"/>
        <v>0</v>
      </c>
      <c r="X414" s="283"/>
      <c r="Y414" s="283">
        <f t="shared" si="61"/>
        <v>0</v>
      </c>
      <c r="Z414" s="283"/>
      <c r="AA414" s="283">
        <f t="shared" si="59"/>
        <v>0</v>
      </c>
      <c r="AB414" s="283"/>
      <c r="AC414" s="283"/>
    </row>
    <row r="415" spans="1:29" ht="21.95" customHeight="1">
      <c r="A415" s="309"/>
      <c r="B415" s="310"/>
      <c r="C415" s="36" t="s">
        <v>203</v>
      </c>
      <c r="D415" s="37" t="s">
        <v>204</v>
      </c>
      <c r="E415" s="38"/>
      <c r="F415" s="162">
        <v>5</v>
      </c>
      <c r="G415" s="324"/>
      <c r="H415" s="324"/>
      <c r="I415" s="325"/>
      <c r="J415" s="326"/>
      <c r="K415" s="289">
        <f>G415-I415</f>
        <v>0</v>
      </c>
      <c r="L415" s="289"/>
      <c r="M415" s="290" t="str">
        <f t="array" ref="M415">IF(ISERROR(K415/L408),"",K415/(L408/1000))</f>
        <v/>
      </c>
      <c r="N415" s="290"/>
      <c r="O415" s="321"/>
      <c r="P415" s="321"/>
      <c r="Q415" s="283" t="s">
        <v>205</v>
      </c>
      <c r="R415" s="283"/>
      <c r="S415" s="283"/>
      <c r="T415" s="283"/>
      <c r="U415" s="284"/>
      <c r="V415" s="284"/>
      <c r="W415" s="283">
        <f t="shared" si="60"/>
        <v>0</v>
      </c>
      <c r="X415" s="283"/>
      <c r="Y415" s="283">
        <f t="shared" si="61"/>
        <v>0</v>
      </c>
      <c r="Z415" s="283"/>
      <c r="AA415" s="283">
        <f t="shared" si="59"/>
        <v>0</v>
      </c>
      <c r="AB415" s="283"/>
      <c r="AC415" s="283"/>
    </row>
    <row r="416" spans="1:29" ht="21.95" customHeight="1">
      <c r="A416" s="309"/>
      <c r="B416" s="310"/>
      <c r="C416" s="36" t="s">
        <v>206</v>
      </c>
      <c r="D416" s="37" t="s">
        <v>207</v>
      </c>
      <c r="E416" s="38"/>
      <c r="F416" s="162">
        <v>105</v>
      </c>
      <c r="G416" s="322"/>
      <c r="H416" s="323"/>
      <c r="I416" s="322"/>
      <c r="J416" s="323"/>
      <c r="K416" s="289">
        <f>G416-I416</f>
        <v>0</v>
      </c>
      <c r="L416" s="289"/>
      <c r="M416" s="290" t="str">
        <f t="array" ref="M416">IF(ISERROR(K416/L408),"",K416/(L408/1000))</f>
        <v/>
      </c>
      <c r="N416" s="290"/>
      <c r="O416" s="321"/>
      <c r="P416" s="321"/>
      <c r="Q416" s="283" t="s">
        <v>208</v>
      </c>
      <c r="R416" s="283"/>
      <c r="S416" s="283"/>
      <c r="T416" s="283"/>
      <c r="U416" s="284"/>
      <c r="V416" s="284"/>
      <c r="W416" s="283">
        <f t="shared" si="60"/>
        <v>0</v>
      </c>
      <c r="X416" s="283"/>
      <c r="Y416" s="283">
        <f t="shared" si="61"/>
        <v>0</v>
      </c>
      <c r="Z416" s="283"/>
      <c r="AA416" s="283">
        <f t="shared" si="59"/>
        <v>0</v>
      </c>
      <c r="AB416" s="283"/>
      <c r="AC416" s="283"/>
    </row>
    <row r="417" spans="1:29" ht="21.95" customHeight="1">
      <c r="A417" s="309"/>
      <c r="B417" s="310"/>
      <c r="C417" s="36" t="s">
        <v>209</v>
      </c>
      <c r="D417" s="37" t="s">
        <v>210</v>
      </c>
      <c r="E417" s="38"/>
      <c r="F417" s="162">
        <v>0.55000000000000004</v>
      </c>
      <c r="G417" s="324"/>
      <c r="H417" s="324"/>
      <c r="I417" s="327"/>
      <c r="J417" s="328"/>
      <c r="K417" s="289">
        <f>G417-I417</f>
        <v>0</v>
      </c>
      <c r="L417" s="289"/>
      <c r="M417" s="293" t="str">
        <f t="array" ref="M417">IF(ISERROR(K417/L408),"",K417/(L408/1000))</f>
        <v/>
      </c>
      <c r="N417" s="293"/>
      <c r="O417" s="321"/>
      <c r="P417" s="321"/>
      <c r="Q417" s="283" t="s">
        <v>211</v>
      </c>
      <c r="R417" s="283"/>
      <c r="S417" s="283"/>
      <c r="T417" s="283"/>
      <c r="U417" s="284"/>
      <c r="V417" s="284"/>
      <c r="W417" s="283">
        <f t="shared" si="60"/>
        <v>0</v>
      </c>
      <c r="X417" s="283"/>
      <c r="Y417" s="283">
        <f t="shared" si="61"/>
        <v>0</v>
      </c>
      <c r="Z417" s="283"/>
      <c r="AA417" s="283">
        <f t="shared" si="59"/>
        <v>0</v>
      </c>
      <c r="AB417" s="283"/>
      <c r="AC417" s="283"/>
    </row>
    <row r="418" spans="1:29" ht="21.95" customHeight="1">
      <c r="A418" s="309"/>
      <c r="B418" s="310"/>
      <c r="C418" s="39" t="s">
        <v>212</v>
      </c>
      <c r="D418" s="298" t="s">
        <v>213</v>
      </c>
      <c r="E418" s="299"/>
      <c r="F418" s="299"/>
      <c r="G418" s="299"/>
      <c r="H418" s="299"/>
      <c r="I418" s="299"/>
      <c r="J418" s="300"/>
      <c r="K418" s="301"/>
      <c r="L418" s="301"/>
      <c r="M418" s="294" t="str">
        <f t="array" ref="M418">IF(ISERROR((K418+K419)/L408),"",((K418+K419)*1000)/(L408/1000))</f>
        <v/>
      </c>
      <c r="N418" s="295"/>
      <c r="O418" s="321"/>
      <c r="P418" s="321"/>
      <c r="Q418" s="283" t="s">
        <v>214</v>
      </c>
      <c r="R418" s="283"/>
      <c r="S418" s="329"/>
      <c r="T418" s="329"/>
      <c r="U418" s="284"/>
      <c r="V418" s="284"/>
      <c r="W418" s="283">
        <f t="shared" si="60"/>
        <v>0</v>
      </c>
      <c r="X418" s="283"/>
      <c r="Y418" s="283">
        <f t="shared" si="61"/>
        <v>0</v>
      </c>
      <c r="Z418" s="283"/>
      <c r="AA418" s="283">
        <f t="shared" si="59"/>
        <v>0</v>
      </c>
      <c r="AB418" s="283"/>
      <c r="AC418" s="283"/>
    </row>
    <row r="419" spans="1:29" ht="21.95" customHeight="1">
      <c r="A419" s="309"/>
      <c r="B419" s="310"/>
      <c r="C419" s="39" t="s">
        <v>212</v>
      </c>
      <c r="D419" s="298" t="s">
        <v>215</v>
      </c>
      <c r="E419" s="299"/>
      <c r="F419" s="299"/>
      <c r="G419" s="299"/>
      <c r="H419" s="299"/>
      <c r="I419" s="299"/>
      <c r="J419" s="300"/>
      <c r="K419" s="301"/>
      <c r="L419" s="301"/>
      <c r="M419" s="296"/>
      <c r="N419" s="297"/>
      <c r="O419" s="321"/>
      <c r="P419" s="321"/>
      <c r="Q419" s="283" t="s">
        <v>216</v>
      </c>
      <c r="R419" s="283"/>
      <c r="S419" s="284">
        <f>SUM(S412:T418)</f>
        <v>0</v>
      </c>
      <c r="T419" s="284"/>
      <c r="U419" s="284">
        <f>SUM(U412:V418)</f>
        <v>0</v>
      </c>
      <c r="V419" s="284"/>
      <c r="W419" s="283">
        <f t="shared" si="60"/>
        <v>0</v>
      </c>
      <c r="X419" s="283"/>
      <c r="Y419" s="283">
        <f t="shared" si="61"/>
        <v>0</v>
      </c>
      <c r="Z419" s="283"/>
      <c r="AA419" s="283">
        <f t="shared" si="59"/>
        <v>0</v>
      </c>
      <c r="AB419" s="283"/>
      <c r="AC419" s="283"/>
    </row>
    <row r="420" spans="1:29" ht="21.95" customHeight="1">
      <c r="A420" s="311"/>
      <c r="B420" s="312"/>
      <c r="C420" s="301" t="s">
        <v>217</v>
      </c>
      <c r="D420" s="301"/>
      <c r="E420" s="301"/>
      <c r="F420" s="301"/>
      <c r="G420" s="302" t="str">
        <f>IF(ISERROR(K417/K419),"",K417/K419)</f>
        <v/>
      </c>
      <c r="H420" s="303"/>
      <c r="I420" s="301" t="s">
        <v>218</v>
      </c>
      <c r="J420" s="301"/>
      <c r="K420" s="301"/>
      <c r="L420" s="301"/>
      <c r="M420" s="302" t="str">
        <f>IF(ISERROR(K417/K418),"",K417/K418)</f>
        <v/>
      </c>
      <c r="N420" s="303"/>
      <c r="O420" s="321"/>
      <c r="P420" s="321"/>
      <c r="Q420" s="280" t="s">
        <v>219</v>
      </c>
      <c r="R420" s="280"/>
      <c r="S420" s="330" t="str">
        <f t="array" ref="S420">IF(ISERROR(L408/Y419),"",L408/Y419)</f>
        <v/>
      </c>
      <c r="T420" s="331"/>
      <c r="U420" s="331"/>
      <c r="V420" s="331"/>
      <c r="W420" s="331"/>
      <c r="X420" s="331"/>
      <c r="Y420" s="331"/>
      <c r="Z420" s="331"/>
      <c r="AA420" s="331"/>
      <c r="AB420" s="331"/>
      <c r="AC420" s="332"/>
    </row>
    <row r="421" spans="1:29" ht="21.95" customHeight="1">
      <c r="A421" s="57" t="s">
        <v>223</v>
      </c>
      <c r="B421" s="57"/>
      <c r="C421" s="58"/>
      <c r="D421" s="58"/>
      <c r="E421" s="58"/>
      <c r="F421" s="58"/>
      <c r="G421" s="59"/>
      <c r="H421" s="59"/>
      <c r="I421" s="59"/>
      <c r="J421" s="58"/>
      <c r="K421" s="76"/>
      <c r="L421" s="77"/>
      <c r="M421" s="50"/>
      <c r="N421" s="50"/>
      <c r="O421" s="34"/>
      <c r="P421" s="34"/>
      <c r="Q421" s="86"/>
      <c r="R421" s="87"/>
      <c r="S421" s="87"/>
      <c r="T421" s="87"/>
      <c r="U421" s="87"/>
      <c r="V421" s="87"/>
      <c r="W421" s="87"/>
      <c r="X421" s="87"/>
      <c r="Y421" s="86"/>
      <c r="Z421" s="86"/>
      <c r="AA421" s="86"/>
      <c r="AB421" s="86"/>
      <c r="AC421" s="86"/>
    </row>
    <row r="422" spans="1:29" ht="21.95" customHeight="1">
      <c r="A422" s="60" t="s">
        <v>224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0"/>
      <c r="O422" s="49"/>
      <c r="P422" s="50"/>
      <c r="Q422" s="58"/>
      <c r="R422" s="88"/>
      <c r="S422" s="88"/>
      <c r="T422" s="88"/>
      <c r="U422" s="88"/>
      <c r="V422" s="88"/>
      <c r="W422" s="88"/>
      <c r="X422" s="88"/>
      <c r="Y422" s="58"/>
      <c r="Z422" s="58"/>
      <c r="AA422" s="58"/>
      <c r="AB422" s="58"/>
      <c r="AC422" s="58"/>
    </row>
    <row r="423" spans="1:29" ht="21.95" customHeight="1">
      <c r="A423" s="279" t="s">
        <v>225</v>
      </c>
      <c r="B423" s="279"/>
      <c r="C423" s="337">
        <f>K199+K408</f>
        <v>0</v>
      </c>
      <c r="D423" s="337"/>
      <c r="E423" s="333" t="s">
        <v>226</v>
      </c>
      <c r="F423" s="333"/>
      <c r="G423" s="333">
        <f>L199+L408</f>
        <v>0</v>
      </c>
      <c r="H423" s="333"/>
      <c r="I423" s="340" t="s">
        <v>227</v>
      </c>
      <c r="J423" s="340"/>
      <c r="K423" s="339" t="str">
        <f>IF(ISERROR(G423/C423),"",G423/C423)</f>
        <v/>
      </c>
      <c r="L423" s="339"/>
      <c r="M423" s="333" t="s">
        <v>228</v>
      </c>
      <c r="N423" s="333"/>
      <c r="O423" s="334" t="str">
        <f>IF(ISERROR(G423/G424),"",G423/G424)</f>
        <v/>
      </c>
      <c r="P423" s="334"/>
      <c r="Q423" s="335"/>
      <c r="R423" s="335"/>
      <c r="S423" s="88" t="str">
        <f>IF(ISERROR(G423/(R452+Y210+#REF!)),"",G423/(R452+Y210+#REF!))</f>
        <v/>
      </c>
      <c r="T423" s="88"/>
      <c r="U423" s="88"/>
      <c r="V423" s="88"/>
      <c r="W423" s="88"/>
      <c r="X423" s="88"/>
      <c r="Y423" s="58"/>
      <c r="Z423" s="58"/>
      <c r="AA423" s="58"/>
      <c r="AB423" s="58"/>
      <c r="AC423" s="58"/>
    </row>
    <row r="424" spans="1:29" ht="21.95" customHeight="1">
      <c r="A424" s="336" t="s">
        <v>229</v>
      </c>
      <c r="B424" s="336"/>
      <c r="C424" s="337">
        <f>P199+P408</f>
        <v>0</v>
      </c>
      <c r="D424" s="337"/>
      <c r="E424" s="338" t="s">
        <v>18</v>
      </c>
      <c r="F424" s="338"/>
      <c r="G424" s="333">
        <f>R199+R408</f>
        <v>0</v>
      </c>
      <c r="H424" s="333"/>
      <c r="I424" s="313" t="s">
        <v>176</v>
      </c>
      <c r="J424" s="313"/>
      <c r="K424" s="339" t="str">
        <f>IF(ISERROR(C424/G424),"",C424/G424)</f>
        <v/>
      </c>
      <c r="L424" s="339"/>
      <c r="M424" s="279" t="s">
        <v>230</v>
      </c>
      <c r="N424" s="279"/>
      <c r="O424" s="333">
        <f>W200+W409</f>
        <v>0</v>
      </c>
      <c r="P424" s="279"/>
      <c r="Q424" s="279" t="s">
        <v>231</v>
      </c>
      <c r="R424" s="279"/>
      <c r="S424" s="339" t="str">
        <f t="array" ref="S424">IF(ISERROR(O424/G424),"",O424/G424)</f>
        <v/>
      </c>
      <c r="T424" s="339"/>
      <c r="U424" s="88"/>
      <c r="V424" s="88"/>
      <c r="W424" s="88"/>
      <c r="X424" s="88"/>
      <c r="Y424" s="58"/>
      <c r="Z424" s="58"/>
      <c r="AA424" s="58"/>
      <c r="AB424" s="58"/>
      <c r="AC424" s="58"/>
    </row>
    <row r="425" spans="1:29" ht="21.95" customHeight="1">
      <c r="A425" s="60" t="s">
        <v>232</v>
      </c>
      <c r="B425" s="61"/>
      <c r="C425" s="62"/>
      <c r="D425" s="62"/>
      <c r="E425" s="63"/>
      <c r="F425" s="63"/>
      <c r="G425" s="21"/>
      <c r="H425" s="21"/>
      <c r="I425" s="78"/>
      <c r="J425" s="78"/>
      <c r="K425" s="2"/>
      <c r="M425" s="79"/>
      <c r="N425" s="79"/>
      <c r="O425" s="80"/>
      <c r="P425" s="78"/>
      <c r="Q425" s="89"/>
      <c r="R425" s="79"/>
      <c r="S425" s="90"/>
      <c r="T425" s="90"/>
      <c r="U425" s="88"/>
      <c r="V425" s="88"/>
      <c r="W425" s="88"/>
      <c r="X425" s="88"/>
      <c r="Y425" s="58"/>
      <c r="Z425" s="58"/>
      <c r="AA425" s="58"/>
      <c r="AB425" s="58"/>
      <c r="AC425" s="58"/>
    </row>
    <row r="426" spans="1:29" ht="21.95" customHeight="1">
      <c r="A426" s="64" t="s">
        <v>233</v>
      </c>
      <c r="B426" s="64"/>
      <c r="C426" s="337">
        <f>K206+K415</f>
        <v>0</v>
      </c>
      <c r="D426" s="337"/>
      <c r="E426" s="333" t="s">
        <v>234</v>
      </c>
      <c r="F426" s="333"/>
      <c r="G426" s="293" t="str">
        <f t="array" ref="G426">IF(ISERROR(C426/G423),"",C426/(G423/1000))</f>
        <v/>
      </c>
      <c r="H426" s="293"/>
      <c r="I426" s="81" t="str">
        <f t="array" ref="I426">IF(ISERROR(C430/G425),"",C430/(G425/1000))</f>
        <v/>
      </c>
      <c r="J426" s="34"/>
      <c r="K426" s="2"/>
      <c r="M426" s="5"/>
      <c r="N426" s="5"/>
      <c r="P426" s="5"/>
      <c r="Q426" s="58"/>
      <c r="R426" s="88"/>
      <c r="S426" s="88"/>
      <c r="T426" s="88"/>
      <c r="U426" s="88"/>
      <c r="V426" s="88"/>
      <c r="W426" s="88"/>
      <c r="X426" s="88"/>
      <c r="Y426" s="58"/>
      <c r="Z426" s="58"/>
      <c r="AA426" s="58"/>
      <c r="AB426" s="58"/>
      <c r="AC426" s="58"/>
    </row>
    <row r="427" spans="1:29" ht="21.95" customHeight="1">
      <c r="A427" s="64" t="s">
        <v>235</v>
      </c>
      <c r="B427" s="64"/>
      <c r="C427" s="337">
        <f>K207+K416</f>
        <v>0</v>
      </c>
      <c r="D427" s="337"/>
      <c r="E427" s="333" t="s">
        <v>236</v>
      </c>
      <c r="F427" s="333"/>
      <c r="G427" s="293" t="str">
        <f>IF(ISERROR(C427/G423),"",C427/(G423/1000))</f>
        <v/>
      </c>
      <c r="H427" s="293"/>
      <c r="I427" s="81"/>
      <c r="J427" s="34"/>
      <c r="K427" s="34"/>
      <c r="L427" s="34"/>
      <c r="M427" s="58"/>
      <c r="N427" s="58"/>
      <c r="O427" s="58"/>
      <c r="P427" s="58"/>
      <c r="Q427" s="58"/>
      <c r="R427" s="88"/>
      <c r="S427" s="88"/>
      <c r="T427" s="88"/>
      <c r="U427" s="88"/>
      <c r="V427" s="88"/>
      <c r="W427" s="88"/>
      <c r="X427" s="88"/>
      <c r="Y427" s="58"/>
      <c r="Z427" s="58"/>
      <c r="AA427" s="58"/>
      <c r="AB427" s="58"/>
      <c r="AC427" s="58"/>
    </row>
    <row r="428" spans="1:29" ht="21.95" customHeight="1">
      <c r="A428" s="64" t="s">
        <v>237</v>
      </c>
      <c r="B428" s="64"/>
      <c r="C428" s="337">
        <f>K208+K417</f>
        <v>0</v>
      </c>
      <c r="D428" s="337"/>
      <c r="E428" s="333" t="s">
        <v>238</v>
      </c>
      <c r="F428" s="333"/>
      <c r="G428" s="293" t="str">
        <f>IF(ISERROR(C428/G423),"",C428/(G423/1000))</f>
        <v/>
      </c>
      <c r="H428" s="293"/>
      <c r="K428" s="2"/>
      <c r="M428" s="5"/>
      <c r="N428" s="5"/>
      <c r="O428" s="58"/>
      <c r="P428" s="58"/>
      <c r="Q428" s="58"/>
      <c r="R428" s="88"/>
      <c r="S428" s="88"/>
      <c r="T428" s="88"/>
      <c r="U428" s="88"/>
      <c r="V428" s="88"/>
      <c r="W428" s="88"/>
      <c r="X428" s="88"/>
      <c r="Y428" s="58"/>
      <c r="Z428" s="58"/>
      <c r="AA428" s="58"/>
      <c r="AB428" s="58"/>
      <c r="AC428" s="58"/>
    </row>
    <row r="429" spans="1:29" ht="21.95" customHeight="1">
      <c r="A429" s="64" t="s">
        <v>239</v>
      </c>
      <c r="B429" s="64"/>
      <c r="C429" s="337">
        <f>K209+K418</f>
        <v>0</v>
      </c>
      <c r="D429" s="337"/>
      <c r="E429" s="333" t="s">
        <v>240</v>
      </c>
      <c r="F429" s="333"/>
      <c r="G429" s="341" t="str">
        <f>IF(ISERROR(C429/G423),"",C429/(G423/1000))</f>
        <v/>
      </c>
      <c r="H429" s="341"/>
      <c r="I429" s="333" t="s">
        <v>241</v>
      </c>
      <c r="J429" s="333"/>
      <c r="K429" s="342" t="str">
        <f>IF(ISERROR(C428/C429),"",C428/C429)</f>
        <v/>
      </c>
      <c r="L429" s="342"/>
      <c r="M429" s="82"/>
      <c r="N429" s="58"/>
      <c r="O429" s="58"/>
      <c r="P429" s="58"/>
      <c r="Q429" s="58"/>
      <c r="R429" s="88"/>
      <c r="S429" s="88"/>
      <c r="T429" s="88"/>
      <c r="U429" s="88"/>
      <c r="V429" s="88"/>
      <c r="W429" s="88"/>
      <c r="X429" s="88"/>
      <c r="Y429" s="58"/>
      <c r="Z429" s="58"/>
      <c r="AA429" s="58"/>
      <c r="AB429" s="58"/>
      <c r="AC429" s="58"/>
    </row>
    <row r="430" spans="1:29" ht="21.95" customHeight="1">
      <c r="A430" s="64" t="s">
        <v>242</v>
      </c>
      <c r="B430" s="64"/>
      <c r="C430" s="337">
        <f>K210+K419</f>
        <v>0</v>
      </c>
      <c r="D430" s="337"/>
      <c r="E430" s="333" t="s">
        <v>243</v>
      </c>
      <c r="F430" s="333"/>
      <c r="G430" s="341" t="str">
        <f>IF(ISERROR(C430/G423),"",C430/(G423/1000))</f>
        <v/>
      </c>
      <c r="H430" s="341"/>
      <c r="I430" s="333" t="s">
        <v>244</v>
      </c>
      <c r="J430" s="333"/>
      <c r="K430" s="342" t="str">
        <f>IF(ISERROR(C428/C430),"",C428/C430)</f>
        <v/>
      </c>
      <c r="L430" s="342"/>
      <c r="M430" s="82"/>
      <c r="N430" s="58"/>
      <c r="O430" s="58"/>
      <c r="P430" s="58"/>
      <c r="Q430" s="58"/>
      <c r="R430" s="88"/>
      <c r="S430" s="88"/>
      <c r="T430" s="88"/>
      <c r="U430" s="88"/>
      <c r="V430" s="88"/>
      <c r="W430" s="88"/>
      <c r="X430" s="88"/>
      <c r="Y430" s="58"/>
      <c r="Z430" s="58"/>
      <c r="AA430" s="58"/>
      <c r="AB430" s="58"/>
      <c r="AC430" s="58"/>
    </row>
    <row r="431" spans="1:29" ht="21.95" customHeight="1">
      <c r="A431" s="60" t="s">
        <v>245</v>
      </c>
      <c r="B431" s="2"/>
      <c r="C431" s="2"/>
      <c r="D431" s="2"/>
      <c r="E431" s="2"/>
      <c r="F431" s="2"/>
      <c r="G431" s="59"/>
      <c r="H431" s="59"/>
      <c r="I431" s="59"/>
      <c r="J431" s="59"/>
      <c r="K431" s="59"/>
      <c r="L431" s="59"/>
      <c r="M431" s="49"/>
      <c r="N431" s="49"/>
      <c r="O431" s="49"/>
      <c r="P431" s="49"/>
      <c r="Q431" s="91"/>
      <c r="R431" s="92"/>
      <c r="S431" s="93"/>
      <c r="T431" s="93"/>
      <c r="U431" s="94"/>
      <c r="V431" s="94"/>
      <c r="W431" s="94"/>
      <c r="X431" s="94"/>
      <c r="Y431" s="107"/>
      <c r="Z431" s="107"/>
      <c r="AA431" s="2"/>
      <c r="AB431" s="2"/>
      <c r="AC431" s="2"/>
    </row>
    <row r="432" spans="1:29" ht="21.95" customHeight="1">
      <c r="A432" s="65" t="s">
        <v>246</v>
      </c>
      <c r="B432" s="65"/>
      <c r="C432" s="345">
        <f>+E411+E202</f>
        <v>0</v>
      </c>
      <c r="D432" s="346"/>
      <c r="E432" s="333" t="s">
        <v>247</v>
      </c>
      <c r="F432" s="351"/>
      <c r="G432" s="347">
        <f>+G411+G202</f>
        <v>0</v>
      </c>
      <c r="H432" s="348"/>
      <c r="I432" s="333" t="s">
        <v>248</v>
      </c>
      <c r="J432" s="351"/>
      <c r="K432" s="315">
        <f>G432-C432</f>
        <v>0</v>
      </c>
      <c r="L432" s="317"/>
      <c r="M432" s="352" t="s">
        <v>249</v>
      </c>
      <c r="N432" s="352"/>
      <c r="O432" s="343" t="str">
        <f t="array" ref="O432">IF(ISERROR(K432/C432),"",K432/C432)</f>
        <v/>
      </c>
      <c r="P432" s="344"/>
      <c r="R432" s="90"/>
      <c r="S432" s="93"/>
      <c r="T432" s="62"/>
      <c r="U432" s="94"/>
      <c r="V432" s="94"/>
      <c r="W432" s="94"/>
      <c r="X432" s="94"/>
      <c r="Y432" s="107"/>
      <c r="Z432" s="107"/>
      <c r="AA432" s="58"/>
      <c r="AB432" s="58"/>
      <c r="AC432" s="58"/>
    </row>
    <row r="433" spans="1:29" ht="21.95" customHeight="1">
      <c r="A433" s="65" t="s">
        <v>250</v>
      </c>
      <c r="B433" s="65"/>
      <c r="C433" s="345">
        <f>+E412+E203</f>
        <v>0</v>
      </c>
      <c r="D433" s="346"/>
      <c r="E433" s="333" t="s">
        <v>251</v>
      </c>
      <c r="F433" s="333"/>
      <c r="G433" s="347">
        <f>+G412+G203</f>
        <v>0</v>
      </c>
      <c r="H433" s="348"/>
      <c r="I433" s="333" t="s">
        <v>252</v>
      </c>
      <c r="J433" s="333"/>
      <c r="K433" s="315">
        <f>G433-C433</f>
        <v>0</v>
      </c>
      <c r="L433" s="317"/>
      <c r="M433" s="349" t="s">
        <v>253</v>
      </c>
      <c r="N433" s="350"/>
      <c r="O433" s="343" t="str">
        <f t="array" ref="O433">IF(ISERROR(K433/C433),"",K433/C433)</f>
        <v/>
      </c>
      <c r="P433" s="344"/>
      <c r="R433" s="90"/>
      <c r="S433" s="93"/>
      <c r="T433" s="62"/>
      <c r="U433" s="94"/>
      <c r="V433" s="94"/>
      <c r="W433" s="94"/>
      <c r="X433" s="94"/>
      <c r="Y433" s="107"/>
      <c r="Z433" s="107"/>
      <c r="AA433" s="58"/>
      <c r="AB433" s="58"/>
      <c r="AC433" s="58"/>
    </row>
    <row r="434" spans="1:29" ht="21.95" customHeight="1">
      <c r="A434" s="65" t="s">
        <v>254</v>
      </c>
      <c r="B434" s="65"/>
      <c r="C434" s="345">
        <f>+E413+E204</f>
        <v>0</v>
      </c>
      <c r="D434" s="346"/>
      <c r="E434" s="333" t="s">
        <v>255</v>
      </c>
      <c r="F434" s="351"/>
      <c r="G434" s="347">
        <f>+G413+G204</f>
        <v>0</v>
      </c>
      <c r="H434" s="348"/>
      <c r="I434" s="333" t="s">
        <v>256</v>
      </c>
      <c r="J434" s="351"/>
      <c r="K434" s="315">
        <f>G434-C434</f>
        <v>0</v>
      </c>
      <c r="L434" s="317"/>
      <c r="M434" s="349" t="s">
        <v>257</v>
      </c>
      <c r="N434" s="350"/>
      <c r="O434" s="343" t="str">
        <f t="array" ref="O434">IF(ISERROR(K434/C434),"",K434/C434)</f>
        <v/>
      </c>
      <c r="P434" s="344"/>
      <c r="R434" s="90"/>
      <c r="S434" s="93"/>
      <c r="T434" s="62"/>
      <c r="U434" s="94"/>
      <c r="V434" s="94"/>
      <c r="W434" s="94"/>
      <c r="X434" s="94"/>
      <c r="Y434" s="107"/>
      <c r="Z434" s="107"/>
      <c r="AA434" s="58"/>
      <c r="AB434" s="58"/>
      <c r="AC434" s="58"/>
    </row>
    <row r="435" spans="1:29" ht="21.95" customHeight="1">
      <c r="A435" s="12" t="s">
        <v>258</v>
      </c>
      <c r="B435" s="31"/>
      <c r="C435" s="31"/>
      <c r="D435" s="31"/>
      <c r="E435" s="31"/>
      <c r="F435" s="31"/>
      <c r="G435" s="66"/>
      <c r="H435" s="66"/>
      <c r="I435" s="66"/>
      <c r="J435" s="66"/>
      <c r="K435" s="66"/>
      <c r="L435" s="66"/>
      <c r="M435" s="66"/>
      <c r="N435" s="66"/>
      <c r="O435" s="66"/>
      <c r="P435" s="66"/>
      <c r="Q435" s="95"/>
      <c r="R435" s="96"/>
      <c r="S435" s="97"/>
      <c r="T435" s="98"/>
      <c r="U435" s="98"/>
      <c r="V435" s="98"/>
      <c r="W435" s="98"/>
      <c r="X435" s="98"/>
      <c r="Y435" s="108"/>
      <c r="Z435" s="108"/>
      <c r="AA435" s="108"/>
      <c r="AB435" s="108"/>
      <c r="AC435" s="108"/>
    </row>
    <row r="436" spans="1:29" ht="21.95" customHeight="1">
      <c r="A436" s="248" t="s">
        <v>259</v>
      </c>
      <c r="B436" s="248"/>
      <c r="C436" s="153" t="s">
        <v>260</v>
      </c>
      <c r="D436" s="153" t="s">
        <v>261</v>
      </c>
      <c r="E436" s="153" t="s">
        <v>262</v>
      </c>
      <c r="F436" s="153" t="s">
        <v>263</v>
      </c>
      <c r="G436" s="153" t="s">
        <v>264</v>
      </c>
      <c r="H436" s="154" t="s">
        <v>265</v>
      </c>
      <c r="I436" s="154" t="s">
        <v>266</v>
      </c>
      <c r="J436" s="154" t="s">
        <v>267</v>
      </c>
      <c r="K436" s="154" t="s">
        <v>268</v>
      </c>
      <c r="L436" s="154" t="s">
        <v>269</v>
      </c>
      <c r="M436" s="154" t="s">
        <v>270</v>
      </c>
      <c r="N436" s="154" t="s">
        <v>271</v>
      </c>
      <c r="O436" s="154" t="s">
        <v>272</v>
      </c>
      <c r="P436" s="169" t="s">
        <v>273</v>
      </c>
      <c r="Q436" s="154" t="s">
        <v>274</v>
      </c>
      <c r="R436" s="158" t="s">
        <v>189</v>
      </c>
      <c r="S436" s="153" t="s">
        <v>275</v>
      </c>
      <c r="T436" s="155" t="s">
        <v>276</v>
      </c>
      <c r="U436" s="153" t="s">
        <v>277</v>
      </c>
      <c r="V436" s="99"/>
      <c r="W436" s="99"/>
      <c r="X436" s="100"/>
      <c r="Y436" s="99"/>
      <c r="Z436" s="99"/>
      <c r="AA436" s="109"/>
      <c r="AB436" s="109"/>
      <c r="AC436" s="99"/>
    </row>
    <row r="437" spans="1:29" ht="21.95" customHeight="1">
      <c r="A437" s="283" t="s">
        <v>278</v>
      </c>
      <c r="B437" s="283"/>
      <c r="C437" s="67">
        <f t="shared" ref="C437:C442" si="62">SUM(D437:F437)-O437-P437-G437</f>
        <v>0</v>
      </c>
      <c r="D437" s="153"/>
      <c r="E437" s="153"/>
      <c r="F437" s="153"/>
      <c r="G437" s="153"/>
      <c r="H437" s="154"/>
      <c r="I437" s="154"/>
      <c r="J437" s="83">
        <f t="shared" ref="J437:J452" si="63">C437-H437-I437</f>
        <v>0</v>
      </c>
      <c r="K437" s="67"/>
      <c r="L437" s="67"/>
      <c r="M437" s="67"/>
      <c r="N437" s="67"/>
      <c r="O437" s="67"/>
      <c r="P437" s="118"/>
      <c r="Q437" s="83">
        <f t="shared" ref="Q437:Q452" si="64">J437-K437-L437</f>
        <v>0</v>
      </c>
      <c r="R437" s="158">
        <f>Q437*11-M437-N437</f>
        <v>0</v>
      </c>
      <c r="S437" s="101" t="str">
        <f t="array" ref="S437">IF(ISERROR(Q437/J437),"",Q437/J437)</f>
        <v/>
      </c>
      <c r="T437" s="119" t="str">
        <f t="array" ref="T437">IF(ISERROR((O437:P437)/C437),"",SUM(O437:P437)/C437)</f>
        <v/>
      </c>
      <c r="U437" s="101" t="str">
        <f t="array" ref="U437">IF(ISERROR((O437:P437)/C437),"",SUM(O437:P437)/C437)</f>
        <v/>
      </c>
      <c r="V437" s="99"/>
      <c r="W437" s="99"/>
      <c r="X437" s="100"/>
      <c r="Y437" s="99"/>
      <c r="Z437" s="99"/>
      <c r="AA437" s="109"/>
      <c r="AB437" s="109"/>
      <c r="AC437" s="99"/>
    </row>
    <row r="438" spans="1:29" ht="21.95" customHeight="1">
      <c r="A438" s="283" t="s">
        <v>279</v>
      </c>
      <c r="B438" s="283"/>
      <c r="C438" s="67">
        <f t="shared" si="62"/>
        <v>0</v>
      </c>
      <c r="D438" s="153"/>
      <c r="E438" s="153"/>
      <c r="F438" s="153"/>
      <c r="G438" s="153"/>
      <c r="H438" s="154"/>
      <c r="I438" s="154"/>
      <c r="J438" s="83">
        <f t="shared" si="63"/>
        <v>0</v>
      </c>
      <c r="K438" s="67"/>
      <c r="L438" s="67"/>
      <c r="M438" s="67"/>
      <c r="N438" s="67"/>
      <c r="O438" s="67"/>
      <c r="P438" s="118"/>
      <c r="Q438" s="83">
        <f t="shared" si="64"/>
        <v>0</v>
      </c>
      <c r="R438" s="158">
        <f t="shared" ref="R438:R443" si="65">Q438*11-M438-N438</f>
        <v>0</v>
      </c>
      <c r="S438" s="101" t="str">
        <f t="array" ref="S438">IF(ISERROR(Q438/J438),"",Q438/J438)</f>
        <v/>
      </c>
      <c r="T438" s="119" t="str">
        <f t="array" ref="T438">IF(ISERROR((O438:P438)/C438),"",SUM(O438:P438)/C438)</f>
        <v/>
      </c>
      <c r="U438" s="101" t="str">
        <f t="array" ref="U438">IF(ISERROR((O438:P438)/C438),"",SUM(O438:P438)/C438)</f>
        <v/>
      </c>
      <c r="V438" s="99"/>
      <c r="W438" s="99"/>
      <c r="X438" s="100"/>
      <c r="Y438" s="99"/>
      <c r="Z438" s="99"/>
      <c r="AA438" s="109"/>
      <c r="AB438" s="109"/>
      <c r="AC438" s="99"/>
    </row>
    <row r="439" spans="1:29" ht="21.95" customHeight="1">
      <c r="A439" s="283" t="s">
        <v>280</v>
      </c>
      <c r="B439" s="283"/>
      <c r="C439" s="67">
        <f t="shared" si="62"/>
        <v>0</v>
      </c>
      <c r="D439" s="153"/>
      <c r="E439" s="153"/>
      <c r="F439" s="153"/>
      <c r="G439" s="153"/>
      <c r="H439" s="154"/>
      <c r="I439" s="154"/>
      <c r="J439" s="83">
        <f t="shared" si="63"/>
        <v>0</v>
      </c>
      <c r="K439" s="67"/>
      <c r="L439" s="67"/>
      <c r="M439" s="67"/>
      <c r="N439" s="67"/>
      <c r="O439" s="67"/>
      <c r="P439" s="118"/>
      <c r="Q439" s="83">
        <f t="shared" si="64"/>
        <v>0</v>
      </c>
      <c r="R439" s="158">
        <f t="shared" si="65"/>
        <v>0</v>
      </c>
      <c r="S439" s="101" t="str">
        <f t="array" ref="S439">IF(ISERROR(Q439/J439),"",Q439/J439)</f>
        <v/>
      </c>
      <c r="T439" s="119" t="str">
        <f t="array" ref="T439">IF(ISERROR((O439:P439)/C439),"",SUM(O439:P439)/C439)</f>
        <v/>
      </c>
      <c r="U439" s="101"/>
      <c r="V439" s="99"/>
      <c r="W439" s="99"/>
      <c r="X439" s="100"/>
      <c r="Y439" s="99"/>
      <c r="Z439" s="99"/>
      <c r="AA439" s="109"/>
      <c r="AB439" s="109"/>
      <c r="AC439" s="99"/>
    </row>
    <row r="440" spans="1:29" ht="21.95" customHeight="1">
      <c r="A440" s="283" t="s">
        <v>281</v>
      </c>
      <c r="B440" s="283"/>
      <c r="C440" s="67">
        <f t="shared" si="62"/>
        <v>0</v>
      </c>
      <c r="D440" s="153"/>
      <c r="E440" s="153"/>
      <c r="F440" s="153"/>
      <c r="G440" s="153"/>
      <c r="H440" s="154"/>
      <c r="I440" s="154"/>
      <c r="J440" s="83">
        <f t="shared" si="63"/>
        <v>0</v>
      </c>
      <c r="K440" s="67"/>
      <c r="L440" s="67"/>
      <c r="M440" s="67"/>
      <c r="N440" s="67"/>
      <c r="O440" s="67"/>
      <c r="P440" s="118"/>
      <c r="Q440" s="83">
        <f t="shared" si="64"/>
        <v>0</v>
      </c>
      <c r="R440" s="158">
        <f t="shared" si="65"/>
        <v>0</v>
      </c>
      <c r="S440" s="101" t="str">
        <f t="array" ref="S440">IF(ISERROR(Q440/J440),"",Q440/J440)</f>
        <v/>
      </c>
      <c r="T440" s="119" t="str">
        <f t="array" ref="T440">IF(ISERROR((O440:P440)/C440),"",SUM(O440:P440)/C440)</f>
        <v/>
      </c>
      <c r="U440" s="101"/>
      <c r="V440" s="99"/>
      <c r="W440" s="99"/>
      <c r="X440" s="100"/>
      <c r="Y440" s="99"/>
      <c r="Z440" s="99"/>
      <c r="AA440" s="109"/>
      <c r="AB440" s="109"/>
      <c r="AC440" s="99"/>
    </row>
    <row r="441" spans="1:29" ht="21.95" customHeight="1">
      <c r="A441" s="283" t="s">
        <v>282</v>
      </c>
      <c r="B441" s="283"/>
      <c r="C441" s="67">
        <f t="shared" si="62"/>
        <v>0</v>
      </c>
      <c r="D441" s="153"/>
      <c r="E441" s="153"/>
      <c r="F441" s="153"/>
      <c r="G441" s="153"/>
      <c r="H441" s="154"/>
      <c r="I441" s="154"/>
      <c r="J441" s="83">
        <f t="shared" si="63"/>
        <v>0</v>
      </c>
      <c r="K441" s="67"/>
      <c r="L441" s="67"/>
      <c r="M441" s="67"/>
      <c r="N441" s="67"/>
      <c r="O441" s="67"/>
      <c r="P441" s="118"/>
      <c r="Q441" s="83">
        <f t="shared" si="64"/>
        <v>0</v>
      </c>
      <c r="R441" s="158">
        <f t="shared" si="65"/>
        <v>0</v>
      </c>
      <c r="S441" s="101" t="str">
        <f t="array" ref="S441">IF(ISERROR(Q441/J441),"",Q441/J441)</f>
        <v/>
      </c>
      <c r="T441" s="119" t="str">
        <f t="array" ref="T441">IF(ISERROR((O441:P441)/C441),"",SUM(O441:P441)/C441)</f>
        <v/>
      </c>
      <c r="U441" s="101"/>
      <c r="V441" s="99"/>
      <c r="W441" s="99"/>
      <c r="X441" s="100"/>
      <c r="Y441" s="99"/>
      <c r="Z441" s="99"/>
      <c r="AA441" s="109"/>
      <c r="AB441" s="109"/>
      <c r="AC441" s="99"/>
    </row>
    <row r="442" spans="1:29" ht="21.95" customHeight="1">
      <c r="A442" s="283" t="s">
        <v>283</v>
      </c>
      <c r="B442" s="283"/>
      <c r="C442" s="67">
        <f t="shared" si="62"/>
        <v>0</v>
      </c>
      <c r="D442" s="67"/>
      <c r="E442" s="67"/>
      <c r="F442" s="67"/>
      <c r="G442" s="67"/>
      <c r="H442" s="67"/>
      <c r="I442" s="67"/>
      <c r="J442" s="83">
        <f t="shared" si="63"/>
        <v>0</v>
      </c>
      <c r="K442" s="67"/>
      <c r="L442" s="67"/>
      <c r="M442" s="67"/>
      <c r="N442" s="67"/>
      <c r="O442" s="67"/>
      <c r="P442" s="67"/>
      <c r="Q442" s="83">
        <f t="shared" si="64"/>
        <v>0</v>
      </c>
      <c r="R442" s="158">
        <f t="shared" si="65"/>
        <v>0</v>
      </c>
      <c r="S442" s="101" t="str">
        <f t="array" ref="S442">IF(ISERROR(Q442/J442),"",Q442/J442)</f>
        <v/>
      </c>
      <c r="T442" s="119" t="str">
        <f t="array" ref="T442">IF(ISERROR((O442:P442)/C442),"",SUM(O442:P442)/C442)</f>
        <v/>
      </c>
      <c r="U442" s="101"/>
      <c r="V442" s="102"/>
      <c r="W442" s="102"/>
      <c r="X442" s="100"/>
      <c r="Y442" s="102"/>
      <c r="Z442" s="102"/>
      <c r="AA442" s="109"/>
      <c r="AB442" s="109"/>
      <c r="AC442" s="102"/>
    </row>
    <row r="443" spans="1:29" ht="21.95" customHeight="1">
      <c r="A443" s="356" t="s">
        <v>284</v>
      </c>
      <c r="B443" s="357"/>
      <c r="C443" s="68">
        <f t="shared" ref="C443:C452" si="66">SUM(D443:F443)-O443-P443-G443</f>
        <v>0</v>
      </c>
      <c r="D443" s="68">
        <f>SUM(D437:D442)</f>
        <v>0</v>
      </c>
      <c r="E443" s="68">
        <f t="shared" ref="E443:P443" si="67">SUM(E437:E442)</f>
        <v>0</v>
      </c>
      <c r="F443" s="68">
        <f t="shared" si="67"/>
        <v>0</v>
      </c>
      <c r="G443" s="68">
        <f t="shared" si="67"/>
        <v>0</v>
      </c>
      <c r="H443" s="68">
        <f t="shared" si="67"/>
        <v>0</v>
      </c>
      <c r="I443" s="68">
        <f t="shared" si="67"/>
        <v>0</v>
      </c>
      <c r="J443" s="84">
        <f t="shared" si="63"/>
        <v>0</v>
      </c>
      <c r="K443" s="68">
        <f t="shared" si="67"/>
        <v>0</v>
      </c>
      <c r="L443" s="68">
        <f t="shared" si="67"/>
        <v>0</v>
      </c>
      <c r="M443" s="68">
        <f t="shared" si="67"/>
        <v>0</v>
      </c>
      <c r="N443" s="68">
        <f t="shared" si="67"/>
        <v>0</v>
      </c>
      <c r="O443" s="68">
        <f t="shared" si="67"/>
        <v>0</v>
      </c>
      <c r="P443" s="68">
        <f t="shared" si="67"/>
        <v>0</v>
      </c>
      <c r="Q443" s="83">
        <f t="shared" si="64"/>
        <v>0</v>
      </c>
      <c r="R443" s="158">
        <f t="shared" si="65"/>
        <v>0</v>
      </c>
      <c r="S443" s="120" t="str">
        <f t="array" ref="S443">IF(ISERROR(Q443/J443),"",Q443/J443)</f>
        <v/>
      </c>
      <c r="T443" s="121" t="str">
        <f t="array" ref="T443">IF(ISERROR((O443:P443)/C443),"",SUM(O443:P443)/C443)</f>
        <v/>
      </c>
      <c r="U443" s="101" t="str">
        <f t="array" ref="U443">IF(ISERROR((O443:P443)/C443),"",SUM(O443:P443)/C443)</f>
        <v/>
      </c>
      <c r="V443" s="102"/>
      <c r="W443" s="102"/>
      <c r="X443" s="100"/>
      <c r="Y443" s="102"/>
      <c r="Z443" s="102"/>
      <c r="AA443" s="109"/>
      <c r="AB443" s="109"/>
      <c r="AC443" s="102"/>
    </row>
    <row r="444" spans="1:29" ht="21.95" customHeight="1">
      <c r="A444" s="283" t="s">
        <v>285</v>
      </c>
      <c r="B444" s="283"/>
      <c r="C444" s="67">
        <f t="shared" si="66"/>
        <v>0</v>
      </c>
      <c r="D444" s="67"/>
      <c r="E444" s="67"/>
      <c r="F444" s="67"/>
      <c r="G444" s="67"/>
      <c r="H444" s="67"/>
      <c r="I444" s="67"/>
      <c r="J444" s="83">
        <f t="shared" si="63"/>
        <v>0</v>
      </c>
      <c r="K444" s="67"/>
      <c r="L444" s="67"/>
      <c r="M444" s="67"/>
      <c r="N444" s="67"/>
      <c r="O444" s="67"/>
      <c r="P444" s="67"/>
      <c r="Q444" s="83">
        <f t="shared" si="64"/>
        <v>0</v>
      </c>
      <c r="R444" s="158">
        <f>Q444*11.5-M444-N444</f>
        <v>0</v>
      </c>
      <c r="S444" s="101" t="str">
        <f t="array" ref="S444">IF(ISERROR(Q444/J444),"",Q444/J444)</f>
        <v/>
      </c>
      <c r="T444" s="101" t="str">
        <f t="array" ref="T444">IF(ISERROR((O444:P444)/C444),"",SUM(O444:P444)/C444)</f>
        <v/>
      </c>
      <c r="U444" s="101" t="str">
        <f t="array" ref="U444">IF(ISERROR((O444:P444)/C444),"",SUM(O444:P444)/C444)</f>
        <v/>
      </c>
      <c r="V444" s="102"/>
      <c r="W444" s="102"/>
      <c r="X444" s="100"/>
      <c r="Y444" s="102"/>
      <c r="Z444" s="102"/>
      <c r="AA444" s="109"/>
      <c r="AB444" s="109"/>
      <c r="AC444" s="102"/>
    </row>
    <row r="445" spans="1:29" ht="21.95" customHeight="1">
      <c r="A445" s="283" t="s">
        <v>286</v>
      </c>
      <c r="B445" s="283"/>
      <c r="C445" s="67">
        <f t="shared" si="66"/>
        <v>0</v>
      </c>
      <c r="D445" s="67"/>
      <c r="E445" s="67"/>
      <c r="F445" s="67"/>
      <c r="G445" s="67"/>
      <c r="H445" s="67"/>
      <c r="I445" s="67"/>
      <c r="J445" s="83">
        <f t="shared" si="63"/>
        <v>0</v>
      </c>
      <c r="K445" s="67"/>
      <c r="L445" s="67"/>
      <c r="M445" s="67"/>
      <c r="N445" s="67"/>
      <c r="O445" s="67"/>
      <c r="P445" s="67"/>
      <c r="Q445" s="83">
        <f t="shared" si="64"/>
        <v>0</v>
      </c>
      <c r="R445" s="158">
        <f t="shared" ref="R445:R450" si="68">Q445*11.5-M445-N445</f>
        <v>0</v>
      </c>
      <c r="S445" s="101" t="str">
        <f t="array" ref="S445">IF(ISERROR(Q445/J445),"",Q445/J445)</f>
        <v/>
      </c>
      <c r="T445" s="101" t="str">
        <f t="array" ref="T445">IF(ISERROR((O445:P445)/C445),"",SUM(O445:P445)/C445)</f>
        <v/>
      </c>
      <c r="U445" s="101" t="str">
        <f t="array" ref="U445">IF(ISERROR((O445:P445)/C445),"",SUM(O445:P445)/C445)</f>
        <v/>
      </c>
      <c r="V445" s="102"/>
      <c r="W445" s="102"/>
      <c r="X445" s="100"/>
      <c r="Y445" s="102"/>
      <c r="Z445" s="102"/>
      <c r="AA445" s="109"/>
      <c r="AB445" s="109"/>
      <c r="AC445" s="102"/>
    </row>
    <row r="446" spans="1:29" ht="21.95" customHeight="1">
      <c r="A446" s="283" t="s">
        <v>287</v>
      </c>
      <c r="B446" s="283"/>
      <c r="C446" s="67">
        <f t="shared" si="66"/>
        <v>0</v>
      </c>
      <c r="D446" s="67"/>
      <c r="E446" s="67"/>
      <c r="F446" s="67"/>
      <c r="G446" s="67"/>
      <c r="H446" s="67"/>
      <c r="I446" s="67"/>
      <c r="J446" s="83">
        <f t="shared" si="63"/>
        <v>0</v>
      </c>
      <c r="K446" s="67"/>
      <c r="L446" s="67"/>
      <c r="M446" s="67"/>
      <c r="N446" s="67"/>
      <c r="P446" s="67"/>
      <c r="Q446" s="83">
        <f t="shared" si="64"/>
        <v>0</v>
      </c>
      <c r="R446" s="158">
        <f t="shared" si="68"/>
        <v>0</v>
      </c>
      <c r="S446" s="101" t="str">
        <f t="array" ref="S446">IF(ISERROR(Q446/J446),"",Q446/J446)</f>
        <v/>
      </c>
      <c r="T446" s="101" t="str">
        <f t="array" ref="T446">IF(ISERROR((O446:P446)/C446),"",SUM(O446:P446)/C446)</f>
        <v/>
      </c>
      <c r="U446" s="101"/>
      <c r="V446" s="102"/>
      <c r="W446" s="102"/>
      <c r="X446" s="100"/>
      <c r="Y446" s="102"/>
      <c r="Z446" s="102"/>
      <c r="AA446" s="109"/>
      <c r="AB446" s="109"/>
      <c r="AC446" s="102"/>
    </row>
    <row r="447" spans="1:29" ht="21.95" customHeight="1">
      <c r="A447" s="283" t="s">
        <v>288</v>
      </c>
      <c r="B447" s="283"/>
      <c r="C447" s="67">
        <f t="shared" si="66"/>
        <v>0</v>
      </c>
      <c r="D447" s="67"/>
      <c r="E447" s="67"/>
      <c r="F447" s="67"/>
      <c r="G447" s="67"/>
      <c r="H447" s="67"/>
      <c r="I447" s="67"/>
      <c r="J447" s="83">
        <f t="shared" si="63"/>
        <v>0</v>
      </c>
      <c r="K447" s="67"/>
      <c r="L447" s="67"/>
      <c r="M447" s="67"/>
      <c r="N447" s="67"/>
      <c r="O447" s="67"/>
      <c r="P447" s="67"/>
      <c r="Q447" s="83">
        <f t="shared" si="64"/>
        <v>0</v>
      </c>
      <c r="R447" s="158">
        <f t="shared" si="68"/>
        <v>0</v>
      </c>
      <c r="S447" s="101" t="str">
        <f t="array" ref="S447">IF(ISERROR(Q447/J447),"",Q447/J447)</f>
        <v/>
      </c>
      <c r="T447" s="101" t="str">
        <f t="array" ref="T447">IF(ISERROR((O447:P447)/C447),"",SUM(O447:P447)/C447)</f>
        <v/>
      </c>
      <c r="U447" s="101"/>
      <c r="V447" s="102"/>
      <c r="W447" s="102"/>
      <c r="X447" s="100"/>
      <c r="Y447" s="102"/>
      <c r="Z447" s="102"/>
      <c r="AA447" s="109"/>
      <c r="AB447" s="109"/>
      <c r="AC447" s="102"/>
    </row>
    <row r="448" spans="1:29" ht="21.95" customHeight="1">
      <c r="A448" s="283" t="s">
        <v>289</v>
      </c>
      <c r="B448" s="283"/>
      <c r="C448" s="67">
        <f t="shared" si="66"/>
        <v>0</v>
      </c>
      <c r="D448" s="67"/>
      <c r="E448" s="67"/>
      <c r="F448" s="67"/>
      <c r="G448" s="67"/>
      <c r="H448" s="67"/>
      <c r="I448" s="67"/>
      <c r="J448" s="83">
        <f t="shared" si="63"/>
        <v>0</v>
      </c>
      <c r="K448" s="67"/>
      <c r="L448" s="67"/>
      <c r="M448" s="110"/>
      <c r="N448" s="67"/>
      <c r="O448" s="67"/>
      <c r="P448" s="67"/>
      <c r="Q448" s="83">
        <f t="shared" si="64"/>
        <v>0</v>
      </c>
      <c r="R448" s="158">
        <f t="shared" si="68"/>
        <v>0</v>
      </c>
      <c r="S448" s="101" t="str">
        <f t="array" ref="S448">IF(ISERROR(Q448/J448),"",Q448/J448)</f>
        <v/>
      </c>
      <c r="T448" s="101" t="str">
        <f t="array" ref="T448">IF(ISERROR((O448:P448)/C448),"",SUM(O448:P448)/C448)</f>
        <v/>
      </c>
      <c r="U448" s="101"/>
      <c r="V448" s="102"/>
      <c r="W448" s="102"/>
      <c r="X448" s="100"/>
      <c r="Y448" s="102"/>
      <c r="Z448" s="102"/>
      <c r="AA448" s="109"/>
      <c r="AB448" s="109"/>
      <c r="AC448" s="102"/>
    </row>
    <row r="449" spans="1:29" ht="21.95" customHeight="1">
      <c r="A449" s="283" t="s">
        <v>290</v>
      </c>
      <c r="B449" s="283"/>
      <c r="C449" s="67">
        <f t="shared" si="66"/>
        <v>0</v>
      </c>
      <c r="D449" s="67"/>
      <c r="E449" s="67"/>
      <c r="F449" s="67"/>
      <c r="G449" s="67"/>
      <c r="H449" s="67"/>
      <c r="I449" s="67"/>
      <c r="J449" s="83">
        <f t="shared" si="63"/>
        <v>0</v>
      </c>
      <c r="K449" s="67"/>
      <c r="L449" s="67"/>
      <c r="M449" s="67"/>
      <c r="N449" s="67"/>
      <c r="O449" s="67"/>
      <c r="P449" s="67"/>
      <c r="Q449" s="83">
        <f t="shared" si="64"/>
        <v>0</v>
      </c>
      <c r="R449" s="158">
        <f t="shared" si="68"/>
        <v>0</v>
      </c>
      <c r="S449" s="101" t="str">
        <f t="array" ref="S449">IF(ISERROR(Q449/J449),"",Q449/J449)</f>
        <v/>
      </c>
      <c r="T449" s="101" t="str">
        <f t="array" ref="T449">IF(ISERROR((O449:P449)/C449),"",SUM(O449:P449)/C449)</f>
        <v/>
      </c>
      <c r="U449" s="101"/>
      <c r="V449" s="102"/>
      <c r="W449" s="102"/>
      <c r="X449" s="100"/>
      <c r="Y449" s="102"/>
      <c r="Z449" s="102"/>
      <c r="AA449" s="109"/>
      <c r="AB449" s="109"/>
      <c r="AC449" s="102"/>
    </row>
    <row r="450" spans="1:29" ht="21.95" customHeight="1">
      <c r="A450" s="353" t="s">
        <v>284</v>
      </c>
      <c r="B450" s="354"/>
      <c r="C450" s="69">
        <f t="shared" si="66"/>
        <v>0</v>
      </c>
      <c r="D450" s="69">
        <f t="shared" ref="D450:I450" si="69">SUM(D444:D449)</f>
        <v>0</v>
      </c>
      <c r="E450" s="69">
        <f t="shared" si="69"/>
        <v>0</v>
      </c>
      <c r="F450" s="69">
        <f t="shared" si="69"/>
        <v>0</v>
      </c>
      <c r="G450" s="69">
        <f t="shared" si="69"/>
        <v>0</v>
      </c>
      <c r="H450" s="69">
        <f t="shared" si="69"/>
        <v>0</v>
      </c>
      <c r="I450" s="69">
        <f t="shared" si="69"/>
        <v>0</v>
      </c>
      <c r="J450" s="85">
        <f t="shared" si="63"/>
        <v>0</v>
      </c>
      <c r="K450" s="69">
        <f t="shared" ref="K450:P450" si="70">SUM(K444:K449)</f>
        <v>0</v>
      </c>
      <c r="L450" s="69">
        <f t="shared" si="70"/>
        <v>0</v>
      </c>
      <c r="M450" s="69">
        <f t="shared" si="70"/>
        <v>0</v>
      </c>
      <c r="N450" s="69">
        <f t="shared" si="70"/>
        <v>0</v>
      </c>
      <c r="O450" s="69">
        <f t="shared" si="70"/>
        <v>0</v>
      </c>
      <c r="P450" s="69">
        <f t="shared" si="70"/>
        <v>0</v>
      </c>
      <c r="Q450" s="83">
        <f t="shared" si="64"/>
        <v>0</v>
      </c>
      <c r="R450" s="158">
        <f t="shared" si="68"/>
        <v>0</v>
      </c>
      <c r="S450" s="122" t="str">
        <f t="array" ref="S450">IF(ISERROR(Q450/J450),"",Q450/J450)</f>
        <v/>
      </c>
      <c r="T450" s="122" t="str">
        <f t="array" ref="T450">IF(ISERROR((O450:P450)/C450),"",SUM(O450:P450)/C450)</f>
        <v/>
      </c>
      <c r="U450" s="101" t="str">
        <f t="array" ref="U450">IF(ISERROR((O450:P450)/C450),"",SUM(O450:P450)/C450)</f>
        <v/>
      </c>
      <c r="V450" s="102"/>
      <c r="W450" s="102"/>
      <c r="X450" s="100"/>
      <c r="Y450" s="102"/>
      <c r="Z450" s="102"/>
      <c r="AA450" s="109"/>
      <c r="AB450" s="109"/>
      <c r="AC450" s="102"/>
    </row>
    <row r="451" spans="1:29" ht="21.95" customHeight="1">
      <c r="A451" s="283" t="s">
        <v>291</v>
      </c>
      <c r="B451" s="283"/>
      <c r="C451" s="67">
        <f t="shared" si="66"/>
        <v>0</v>
      </c>
      <c r="D451" s="153"/>
      <c r="E451" s="153"/>
      <c r="F451" s="153"/>
      <c r="G451" s="153"/>
      <c r="H451" s="154"/>
      <c r="I451" s="83"/>
      <c r="J451" s="83">
        <f t="shared" si="63"/>
        <v>0</v>
      </c>
      <c r="K451" s="154"/>
      <c r="L451" s="154"/>
      <c r="M451" s="154"/>
      <c r="N451" s="154"/>
      <c r="O451" s="154"/>
      <c r="P451" s="169"/>
      <c r="Q451" s="83">
        <f t="shared" si="64"/>
        <v>0</v>
      </c>
      <c r="R451" s="158">
        <f>Q451*11-M451-N451</f>
        <v>0</v>
      </c>
      <c r="S451" s="120" t="str">
        <f t="array" ref="S451">IF(ISERROR(Q451/J451),"",Q451/J451)</f>
        <v/>
      </c>
      <c r="T451" s="121" t="str">
        <f t="array" ref="T451">IF(ISERROR((O451:P451)/C451),"",SUM(O451:P451)/C451)</f>
        <v/>
      </c>
      <c r="U451" s="101" t="str">
        <f t="array" ref="U451">IF(ISERROR((O451:P451)/C451),"",SUM(O451:P451)/C451)</f>
        <v/>
      </c>
      <c r="V451" s="99"/>
      <c r="W451" s="99"/>
      <c r="X451" s="100"/>
      <c r="Y451" s="99"/>
      <c r="Z451" s="99"/>
      <c r="AA451" s="109"/>
      <c r="AB451" s="109"/>
      <c r="AC451" s="99"/>
    </row>
    <row r="452" spans="1:29" ht="21.95" customHeight="1">
      <c r="A452" s="355" t="s">
        <v>292</v>
      </c>
      <c r="B452" s="355"/>
      <c r="C452" s="69">
        <f t="shared" si="66"/>
        <v>0</v>
      </c>
      <c r="D452" s="69">
        <f>+D451+D450+D443</f>
        <v>0</v>
      </c>
      <c r="E452" s="69">
        <f>+E443+E450+E451</f>
        <v>0</v>
      </c>
      <c r="F452" s="69">
        <f>+F443+F450+F451</f>
        <v>0</v>
      </c>
      <c r="G452" s="69">
        <f>+G443+G450+G451</f>
        <v>0</v>
      </c>
      <c r="H452" s="69">
        <f>+H443+H450+H451</f>
        <v>0</v>
      </c>
      <c r="I452" s="69">
        <f>+I443+I450+I451</f>
        <v>0</v>
      </c>
      <c r="J452" s="85">
        <f t="shared" si="63"/>
        <v>0</v>
      </c>
      <c r="K452" s="69">
        <f t="shared" ref="K452:P452" si="71">+K443+K450+K451</f>
        <v>0</v>
      </c>
      <c r="L452" s="69">
        <f t="shared" si="71"/>
        <v>0</v>
      </c>
      <c r="M452" s="69">
        <f t="shared" si="71"/>
        <v>0</v>
      </c>
      <c r="N452" s="69">
        <f t="shared" si="71"/>
        <v>0</v>
      </c>
      <c r="O452" s="69">
        <f t="shared" si="71"/>
        <v>0</v>
      </c>
      <c r="P452" s="69">
        <f t="shared" si="71"/>
        <v>0</v>
      </c>
      <c r="Q452" s="83">
        <f t="shared" si="64"/>
        <v>0</v>
      </c>
      <c r="R452" s="67">
        <f>R443+R450+R451</f>
        <v>0</v>
      </c>
      <c r="S452" s="123" t="str">
        <f t="array" ref="S452">IF(ISERROR(Q452/J452),"",Q452/J452)</f>
        <v/>
      </c>
      <c r="T452" s="167" t="str">
        <f t="array" ref="T452">IF(ISERROR((O452:P452)/C452),"",SUM(O452:P452)/C452)</f>
        <v/>
      </c>
      <c r="U452" s="101" t="str">
        <f t="array" ref="U452">IF(ISERROR((O452:P452)/C452),"",SUM(O452:P452)/C452)</f>
        <v/>
      </c>
      <c r="V452" s="102"/>
      <c r="W452" s="102"/>
      <c r="X452" s="100"/>
      <c r="Y452" s="102"/>
      <c r="Z452" s="102"/>
      <c r="AA452" s="109"/>
      <c r="AB452" s="109"/>
      <c r="AC452" s="102"/>
    </row>
    <row r="453" spans="1:29" ht="21.95" customHeight="1">
      <c r="A453" s="70"/>
      <c r="B453" s="70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103"/>
      <c r="R453" s="104"/>
      <c r="S453" s="105"/>
      <c r="T453" s="105"/>
      <c r="U453" s="52"/>
      <c r="V453" s="102"/>
      <c r="W453" s="102"/>
      <c r="X453" s="100"/>
      <c r="Y453" s="102"/>
      <c r="Z453" s="102"/>
      <c r="AA453" s="109"/>
      <c r="AB453" s="109"/>
      <c r="AC453" s="102"/>
    </row>
    <row r="454" spans="1:29" ht="21.95" customHeight="1">
      <c r="A454" s="2"/>
      <c r="B454" s="2"/>
      <c r="C454" s="72"/>
      <c r="D454" s="73"/>
      <c r="E454" s="73" t="s">
        <v>293</v>
      </c>
      <c r="F454" s="74"/>
      <c r="G454" s="75"/>
      <c r="H454" s="75"/>
      <c r="I454" s="75"/>
      <c r="J454" s="75"/>
      <c r="K454" s="75"/>
      <c r="L454" s="75"/>
      <c r="M454" s="75"/>
      <c r="N454" s="75"/>
      <c r="O454" s="75"/>
      <c r="P454" s="75" t="s">
        <v>294</v>
      </c>
      <c r="Q454" s="75"/>
      <c r="R454" s="75"/>
      <c r="S454" s="106"/>
      <c r="T454" s="73"/>
      <c r="U454" s="73"/>
      <c r="V454" s="73"/>
      <c r="W454" s="73"/>
      <c r="X454" s="73"/>
      <c r="Y454" s="73"/>
      <c r="Z454" s="73"/>
      <c r="AA454" s="109"/>
      <c r="AB454" s="109"/>
      <c r="AC454" s="73"/>
    </row>
  </sheetData>
  <mergeCells count="732">
    <mergeCell ref="A2:AC2"/>
    <mergeCell ref="A4:A5"/>
    <mergeCell ref="B4:B5"/>
    <mergeCell ref="C4:D5"/>
    <mergeCell ref="E4:E5"/>
    <mergeCell ref="F4:F5"/>
    <mergeCell ref="G4:G5"/>
    <mergeCell ref="H4:H5"/>
    <mergeCell ref="I4:I5"/>
    <mergeCell ref="J4:J5"/>
    <mergeCell ref="Q4:R4"/>
    <mergeCell ref="S4:S5"/>
    <mergeCell ref="T4:T5"/>
    <mergeCell ref="U4:U5"/>
    <mergeCell ref="V4:V5"/>
    <mergeCell ref="W4:AC4"/>
    <mergeCell ref="K4:K5"/>
    <mergeCell ref="L4:L5"/>
    <mergeCell ref="M4:M5"/>
    <mergeCell ref="N4:N5"/>
    <mergeCell ref="O4:O5"/>
    <mergeCell ref="P4:P5"/>
    <mergeCell ref="C12:D12"/>
    <mergeCell ref="C13:D13"/>
    <mergeCell ref="C14:D14"/>
    <mergeCell ref="C15:D15"/>
    <mergeCell ref="C16:D16"/>
    <mergeCell ref="C17:D17"/>
    <mergeCell ref="C6:D6"/>
    <mergeCell ref="C7:D7"/>
    <mergeCell ref="C8:D8"/>
    <mergeCell ref="C9:D9"/>
    <mergeCell ref="C10:D10"/>
    <mergeCell ref="C11:D11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48:D48"/>
    <mergeCell ref="C49:D49"/>
    <mergeCell ref="C50:D50"/>
    <mergeCell ref="C51:D51"/>
    <mergeCell ref="C52:D52"/>
    <mergeCell ref="C53:D53"/>
    <mergeCell ref="C42:D42"/>
    <mergeCell ref="C43:D43"/>
    <mergeCell ref="C44:D44"/>
    <mergeCell ref="C45:D45"/>
    <mergeCell ref="C46:D46"/>
    <mergeCell ref="C47:D47"/>
    <mergeCell ref="C60:D60"/>
    <mergeCell ref="C61:D61"/>
    <mergeCell ref="C62:D62"/>
    <mergeCell ref="C63:D63"/>
    <mergeCell ref="C64:D64"/>
    <mergeCell ref="C65:D65"/>
    <mergeCell ref="C54:D54"/>
    <mergeCell ref="C55:D55"/>
    <mergeCell ref="C56:D56"/>
    <mergeCell ref="C57:D57"/>
    <mergeCell ref="C58:D58"/>
    <mergeCell ref="C59:D59"/>
    <mergeCell ref="C72:D72"/>
    <mergeCell ref="C73:D73"/>
    <mergeCell ref="C74:D74"/>
    <mergeCell ref="C75:D75"/>
    <mergeCell ref="C76:D76"/>
    <mergeCell ref="C77:D77"/>
    <mergeCell ref="C66:D66"/>
    <mergeCell ref="C67:D67"/>
    <mergeCell ref="C68:D68"/>
    <mergeCell ref="C69:D69"/>
    <mergeCell ref="C70:D70"/>
    <mergeCell ref="C71:D71"/>
    <mergeCell ref="C84:D84"/>
    <mergeCell ref="C85:D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96:D96"/>
    <mergeCell ref="C97:D97"/>
    <mergeCell ref="C98:D98"/>
    <mergeCell ref="C99:D99"/>
    <mergeCell ref="C100:D100"/>
    <mergeCell ref="C101:D101"/>
    <mergeCell ref="C90:D90"/>
    <mergeCell ref="C91:D91"/>
    <mergeCell ref="C92:D92"/>
    <mergeCell ref="C93:D93"/>
    <mergeCell ref="C94:D94"/>
    <mergeCell ref="C95:D95"/>
    <mergeCell ref="C108:D108"/>
    <mergeCell ref="C109:D109"/>
    <mergeCell ref="C110:D110"/>
    <mergeCell ref="C111:D111"/>
    <mergeCell ref="C112:D112"/>
    <mergeCell ref="C113:D113"/>
    <mergeCell ref="C102:D102"/>
    <mergeCell ref="C103:D103"/>
    <mergeCell ref="C104:D104"/>
    <mergeCell ref="C105:D105"/>
    <mergeCell ref="C106:D106"/>
    <mergeCell ref="C107:D107"/>
    <mergeCell ref="C120:D120"/>
    <mergeCell ref="C121:D121"/>
    <mergeCell ref="C122:D122"/>
    <mergeCell ref="C123:D123"/>
    <mergeCell ref="C124:D124"/>
    <mergeCell ref="C125:D125"/>
    <mergeCell ref="C114:D114"/>
    <mergeCell ref="C115:D115"/>
    <mergeCell ref="C116:D116"/>
    <mergeCell ref="C117:D117"/>
    <mergeCell ref="C118:D118"/>
    <mergeCell ref="C119:D119"/>
    <mergeCell ref="C132:D132"/>
    <mergeCell ref="C133:D133"/>
    <mergeCell ref="C134:D134"/>
    <mergeCell ref="C135:D135"/>
    <mergeCell ref="C136:D136"/>
    <mergeCell ref="C137:D137"/>
    <mergeCell ref="C126:D126"/>
    <mergeCell ref="C127:D127"/>
    <mergeCell ref="C128:D128"/>
    <mergeCell ref="C129:D129"/>
    <mergeCell ref="C130:D130"/>
    <mergeCell ref="C131:D131"/>
    <mergeCell ref="C144:D144"/>
    <mergeCell ref="C145:D145"/>
    <mergeCell ref="C146:D146"/>
    <mergeCell ref="C147:D147"/>
    <mergeCell ref="C148:D148"/>
    <mergeCell ref="C149:D149"/>
    <mergeCell ref="C138:D138"/>
    <mergeCell ref="C139:D139"/>
    <mergeCell ref="C140:D140"/>
    <mergeCell ref="C141:D141"/>
    <mergeCell ref="C142:D142"/>
    <mergeCell ref="C143:D143"/>
    <mergeCell ref="C156:D156"/>
    <mergeCell ref="C157:D157"/>
    <mergeCell ref="C158:D158"/>
    <mergeCell ref="C159:D159"/>
    <mergeCell ref="C160:D160"/>
    <mergeCell ref="C161:D161"/>
    <mergeCell ref="C150:D150"/>
    <mergeCell ref="C151:D151"/>
    <mergeCell ref="C152:D152"/>
    <mergeCell ref="C153:D153"/>
    <mergeCell ref="C154:D154"/>
    <mergeCell ref="C155:D155"/>
    <mergeCell ref="C168:D168"/>
    <mergeCell ref="C169:D169"/>
    <mergeCell ref="C170:D170"/>
    <mergeCell ref="C171:D171"/>
    <mergeCell ref="C172:D172"/>
    <mergeCell ref="C173:D173"/>
    <mergeCell ref="C162:D162"/>
    <mergeCell ref="C163:D163"/>
    <mergeCell ref="C164:D164"/>
    <mergeCell ref="C165:D165"/>
    <mergeCell ref="C166:D166"/>
    <mergeCell ref="C167:D167"/>
    <mergeCell ref="C180:D180"/>
    <mergeCell ref="C181:D181"/>
    <mergeCell ref="C182:D182"/>
    <mergeCell ref="C183:D183"/>
    <mergeCell ref="C184:D184"/>
    <mergeCell ref="C185:D185"/>
    <mergeCell ref="C174:D174"/>
    <mergeCell ref="C175:D175"/>
    <mergeCell ref="C176:D176"/>
    <mergeCell ref="C177:D177"/>
    <mergeCell ref="C178:D178"/>
    <mergeCell ref="C179:D179"/>
    <mergeCell ref="C192:D192"/>
    <mergeCell ref="C193:D193"/>
    <mergeCell ref="C194:D194"/>
    <mergeCell ref="C195:D195"/>
    <mergeCell ref="C196:D196"/>
    <mergeCell ref="C197:D197"/>
    <mergeCell ref="C186:D186"/>
    <mergeCell ref="C187:D187"/>
    <mergeCell ref="C188:D188"/>
    <mergeCell ref="C189:D189"/>
    <mergeCell ref="C190:D190"/>
    <mergeCell ref="C191:D191"/>
    <mergeCell ref="C198:D198"/>
    <mergeCell ref="A199:F199"/>
    <mergeCell ref="K200:N200"/>
    <mergeCell ref="O200:R200"/>
    <mergeCell ref="W200:AC200"/>
    <mergeCell ref="A201:B204"/>
    <mergeCell ref="C201:D201"/>
    <mergeCell ref="E201:F201"/>
    <mergeCell ref="G201:H201"/>
    <mergeCell ref="I201:J201"/>
    <mergeCell ref="W201:X202"/>
    <mergeCell ref="Y201:Z202"/>
    <mergeCell ref="AA201:AC202"/>
    <mergeCell ref="C202:D202"/>
    <mergeCell ref="E202:F202"/>
    <mergeCell ref="G202:H202"/>
    <mergeCell ref="I202:J202"/>
    <mergeCell ref="K202:L202"/>
    <mergeCell ref="M202:N202"/>
    <mergeCell ref="K201:L201"/>
    <mergeCell ref="M201:N201"/>
    <mergeCell ref="O201:P211"/>
    <mergeCell ref="Q201:R202"/>
    <mergeCell ref="S201:T202"/>
    <mergeCell ref="U201:V202"/>
    <mergeCell ref="Q203:R203"/>
    <mergeCell ref="S203:T203"/>
    <mergeCell ref="U203:V203"/>
    <mergeCell ref="S204:T204"/>
    <mergeCell ref="W203:X203"/>
    <mergeCell ref="Y203:Z203"/>
    <mergeCell ref="AA203:AC203"/>
    <mergeCell ref="C204:D204"/>
    <mergeCell ref="E204:F204"/>
    <mergeCell ref="G204:H204"/>
    <mergeCell ref="I204:J204"/>
    <mergeCell ref="K204:L204"/>
    <mergeCell ref="M204:N204"/>
    <mergeCell ref="Q204:R204"/>
    <mergeCell ref="C203:D203"/>
    <mergeCell ref="E203:F203"/>
    <mergeCell ref="G203:H203"/>
    <mergeCell ref="I203:J203"/>
    <mergeCell ref="K203:L203"/>
    <mergeCell ref="M203:N203"/>
    <mergeCell ref="Q205:R205"/>
    <mergeCell ref="S205:T205"/>
    <mergeCell ref="U205:V205"/>
    <mergeCell ref="W205:X205"/>
    <mergeCell ref="Y205:Z205"/>
    <mergeCell ref="AA205:AC205"/>
    <mergeCell ref="U204:V204"/>
    <mergeCell ref="W204:X204"/>
    <mergeCell ref="Y204:Z204"/>
    <mergeCell ref="AA204:AC204"/>
    <mergeCell ref="U206:V206"/>
    <mergeCell ref="W206:X206"/>
    <mergeCell ref="Y206:Z206"/>
    <mergeCell ref="AA206:AC206"/>
    <mergeCell ref="G207:H207"/>
    <mergeCell ref="I207:J207"/>
    <mergeCell ref="K207:L207"/>
    <mergeCell ref="M207:N207"/>
    <mergeCell ref="Q207:R207"/>
    <mergeCell ref="S207:T207"/>
    <mergeCell ref="G206:H206"/>
    <mergeCell ref="I206:J206"/>
    <mergeCell ref="K206:L206"/>
    <mergeCell ref="M206:N206"/>
    <mergeCell ref="Q206:R206"/>
    <mergeCell ref="S206:T206"/>
    <mergeCell ref="U207:V207"/>
    <mergeCell ref="W207:X207"/>
    <mergeCell ref="Y207:Z207"/>
    <mergeCell ref="AA207:AC207"/>
    <mergeCell ref="G208:H208"/>
    <mergeCell ref="I208:J208"/>
    <mergeCell ref="K208:L208"/>
    <mergeCell ref="M208:N208"/>
    <mergeCell ref="Q208:R208"/>
    <mergeCell ref="S208:T208"/>
    <mergeCell ref="U208:V208"/>
    <mergeCell ref="W208:X208"/>
    <mergeCell ref="Y208:Z208"/>
    <mergeCell ref="K209:L209"/>
    <mergeCell ref="M209:N210"/>
    <mergeCell ref="Q209:R209"/>
    <mergeCell ref="S209:T209"/>
    <mergeCell ref="U209:V209"/>
    <mergeCell ref="W209:X209"/>
    <mergeCell ref="Y209:Z209"/>
    <mergeCell ref="AA209:AC209"/>
    <mergeCell ref="D210:J210"/>
    <mergeCell ref="K210:L210"/>
    <mergeCell ref="Q210:R210"/>
    <mergeCell ref="S210:T210"/>
    <mergeCell ref="U210:V210"/>
    <mergeCell ref="W210:X210"/>
    <mergeCell ref="Y210:Z210"/>
    <mergeCell ref="A213:A214"/>
    <mergeCell ref="B213:B214"/>
    <mergeCell ref="C213:D214"/>
    <mergeCell ref="E213:E214"/>
    <mergeCell ref="F213:F214"/>
    <mergeCell ref="G213:G214"/>
    <mergeCell ref="AA210:AC210"/>
    <mergeCell ref="C211:F211"/>
    <mergeCell ref="G211:H211"/>
    <mergeCell ref="I211:L211"/>
    <mergeCell ref="M211:N211"/>
    <mergeCell ref="Q211:R211"/>
    <mergeCell ref="S211:AC211"/>
    <mergeCell ref="A205:B211"/>
    <mergeCell ref="C205:F205"/>
    <mergeCell ref="G205:H205"/>
    <mergeCell ref="I205:J205"/>
    <mergeCell ref="K205:L205"/>
    <mergeCell ref="M205:N205"/>
    <mergeCell ref="U213:U214"/>
    <mergeCell ref="V213:V214"/>
    <mergeCell ref="W213:AC213"/>
    <mergeCell ref="AA208:AC208"/>
    <mergeCell ref="D209:J209"/>
    <mergeCell ref="C215:D215"/>
    <mergeCell ref="C216:D216"/>
    <mergeCell ref="C217:D217"/>
    <mergeCell ref="N213:N214"/>
    <mergeCell ref="O213:O214"/>
    <mergeCell ref="P213:P214"/>
    <mergeCell ref="Q213:R213"/>
    <mergeCell ref="S213:S214"/>
    <mergeCell ref="T213:T214"/>
    <mergeCell ref="H213:H214"/>
    <mergeCell ref="I213:I214"/>
    <mergeCell ref="J213:J214"/>
    <mergeCell ref="K213:K214"/>
    <mergeCell ref="L213:L214"/>
    <mergeCell ref="M213:M214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32:D332"/>
    <mergeCell ref="C333:D333"/>
    <mergeCell ref="C334:D334"/>
    <mergeCell ref="C335:D335"/>
    <mergeCell ref="C336:D336"/>
    <mergeCell ref="C337:D337"/>
    <mergeCell ref="C326:D326"/>
    <mergeCell ref="C327:D327"/>
    <mergeCell ref="C328:D328"/>
    <mergeCell ref="C329:D329"/>
    <mergeCell ref="C330:D330"/>
    <mergeCell ref="C331:D331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56:D356"/>
    <mergeCell ref="C357:D357"/>
    <mergeCell ref="C358:D358"/>
    <mergeCell ref="C359:D359"/>
    <mergeCell ref="C360:D360"/>
    <mergeCell ref="C361:D361"/>
    <mergeCell ref="C350:D350"/>
    <mergeCell ref="C351:D351"/>
    <mergeCell ref="C352:D352"/>
    <mergeCell ref="C353:D353"/>
    <mergeCell ref="C354:D354"/>
    <mergeCell ref="C355:D355"/>
    <mergeCell ref="C368:D368"/>
    <mergeCell ref="C369:D369"/>
    <mergeCell ref="C370:D370"/>
    <mergeCell ref="C371:D371"/>
    <mergeCell ref="C372:D372"/>
    <mergeCell ref="C373:D373"/>
    <mergeCell ref="C362:D362"/>
    <mergeCell ref="C363:D363"/>
    <mergeCell ref="C364:D364"/>
    <mergeCell ref="C365:D365"/>
    <mergeCell ref="C366:D366"/>
    <mergeCell ref="C367:D367"/>
    <mergeCell ref="C380:D380"/>
    <mergeCell ref="C381:D381"/>
    <mergeCell ref="C382:D382"/>
    <mergeCell ref="C383:D383"/>
    <mergeCell ref="C384:D384"/>
    <mergeCell ref="C385:D385"/>
    <mergeCell ref="C374:D374"/>
    <mergeCell ref="C375:D375"/>
    <mergeCell ref="C376:D376"/>
    <mergeCell ref="C377:D377"/>
    <mergeCell ref="C378:D378"/>
    <mergeCell ref="C379:D379"/>
    <mergeCell ref="C392:D392"/>
    <mergeCell ref="C393:D393"/>
    <mergeCell ref="C394:D394"/>
    <mergeCell ref="C395:D395"/>
    <mergeCell ref="C396:D396"/>
    <mergeCell ref="C397:D397"/>
    <mergeCell ref="C386:D386"/>
    <mergeCell ref="C387:D387"/>
    <mergeCell ref="C388:D388"/>
    <mergeCell ref="C389:D389"/>
    <mergeCell ref="C390:D390"/>
    <mergeCell ref="C391:D391"/>
    <mergeCell ref="C404:D404"/>
    <mergeCell ref="C405:D405"/>
    <mergeCell ref="C406:D406"/>
    <mergeCell ref="C407:D407"/>
    <mergeCell ref="A408:F408"/>
    <mergeCell ref="A409:F409"/>
    <mergeCell ref="C398:D398"/>
    <mergeCell ref="C399:D399"/>
    <mergeCell ref="C400:D400"/>
    <mergeCell ref="C401:D401"/>
    <mergeCell ref="C402:D402"/>
    <mergeCell ref="C403:D403"/>
    <mergeCell ref="K409:N409"/>
    <mergeCell ref="O409:R409"/>
    <mergeCell ref="W409:AC409"/>
    <mergeCell ref="A410:B413"/>
    <mergeCell ref="C410:D410"/>
    <mergeCell ref="E410:F410"/>
    <mergeCell ref="G410:H410"/>
    <mergeCell ref="I410:J410"/>
    <mergeCell ref="K410:L410"/>
    <mergeCell ref="M410:N410"/>
    <mergeCell ref="AA410:AC411"/>
    <mergeCell ref="C411:D411"/>
    <mergeCell ref="E411:F411"/>
    <mergeCell ref="G411:H411"/>
    <mergeCell ref="I411:J411"/>
    <mergeCell ref="K411:L411"/>
    <mergeCell ref="M411:N411"/>
    <mergeCell ref="O410:P420"/>
    <mergeCell ref="Q410:R411"/>
    <mergeCell ref="S410:T411"/>
    <mergeCell ref="U410:V411"/>
    <mergeCell ref="W410:X411"/>
    <mergeCell ref="Y410:Z411"/>
    <mergeCell ref="Q412:R412"/>
    <mergeCell ref="A414:B420"/>
    <mergeCell ref="C414:F414"/>
    <mergeCell ref="G414:H414"/>
    <mergeCell ref="I414:J414"/>
    <mergeCell ref="K414:L414"/>
    <mergeCell ref="M414:N414"/>
    <mergeCell ref="Q414:R414"/>
    <mergeCell ref="S414:T414"/>
    <mergeCell ref="U414:V414"/>
    <mergeCell ref="G416:H416"/>
    <mergeCell ref="I416:J416"/>
    <mergeCell ref="K416:L416"/>
    <mergeCell ref="M416:N416"/>
    <mergeCell ref="Q416:R416"/>
    <mergeCell ref="S416:T416"/>
    <mergeCell ref="G415:H415"/>
    <mergeCell ref="I415:J415"/>
    <mergeCell ref="K415:L415"/>
    <mergeCell ref="M415:N415"/>
    <mergeCell ref="Q415:R415"/>
    <mergeCell ref="S415:T415"/>
    <mergeCell ref="U416:V416"/>
    <mergeCell ref="D418:J418"/>
    <mergeCell ref="K418:L418"/>
    <mergeCell ref="Y412:Z412"/>
    <mergeCell ref="AA412:AC412"/>
    <mergeCell ref="C413:D413"/>
    <mergeCell ref="E413:F413"/>
    <mergeCell ref="G413:H413"/>
    <mergeCell ref="I413:J413"/>
    <mergeCell ref="K413:L413"/>
    <mergeCell ref="M413:N413"/>
    <mergeCell ref="Q413:R413"/>
    <mergeCell ref="S413:T413"/>
    <mergeCell ref="C412:D412"/>
    <mergeCell ref="E412:F412"/>
    <mergeCell ref="G412:H412"/>
    <mergeCell ref="I412:J412"/>
    <mergeCell ref="K412:L412"/>
    <mergeCell ref="M412:N412"/>
    <mergeCell ref="S412:T412"/>
    <mergeCell ref="U412:V412"/>
    <mergeCell ref="W412:X412"/>
    <mergeCell ref="Y414:Z414"/>
    <mergeCell ref="AA414:AC414"/>
    <mergeCell ref="U413:V413"/>
    <mergeCell ref="W413:X413"/>
    <mergeCell ref="Y413:Z413"/>
    <mergeCell ref="AA413:AC413"/>
    <mergeCell ref="U415:V415"/>
    <mergeCell ref="W415:X415"/>
    <mergeCell ref="Y415:Z415"/>
    <mergeCell ref="AA415:AC415"/>
    <mergeCell ref="W414:X414"/>
    <mergeCell ref="W416:X416"/>
    <mergeCell ref="Y416:Z416"/>
    <mergeCell ref="AA416:AC416"/>
    <mergeCell ref="G417:H417"/>
    <mergeCell ref="I417:J417"/>
    <mergeCell ref="K417:L417"/>
    <mergeCell ref="M417:N417"/>
    <mergeCell ref="Q417:R417"/>
    <mergeCell ref="S417:T417"/>
    <mergeCell ref="U417:V417"/>
    <mergeCell ref="W417:X417"/>
    <mergeCell ref="Y417:Z417"/>
    <mergeCell ref="AA417:AC417"/>
    <mergeCell ref="M418:N419"/>
    <mergeCell ref="Q418:R418"/>
    <mergeCell ref="S418:T418"/>
    <mergeCell ref="U418:V418"/>
    <mergeCell ref="AA419:AC419"/>
    <mergeCell ref="C420:F420"/>
    <mergeCell ref="G420:H420"/>
    <mergeCell ref="I420:L420"/>
    <mergeCell ref="M420:N420"/>
    <mergeCell ref="Q420:R420"/>
    <mergeCell ref="S420:AC420"/>
    <mergeCell ref="W418:X418"/>
    <mergeCell ref="Y418:Z418"/>
    <mergeCell ref="AA418:AC418"/>
    <mergeCell ref="D419:J419"/>
    <mergeCell ref="K419:L419"/>
    <mergeCell ref="Q419:R419"/>
    <mergeCell ref="S419:T419"/>
    <mergeCell ref="U419:V419"/>
    <mergeCell ref="W419:X419"/>
    <mergeCell ref="Y419:Z419"/>
    <mergeCell ref="M423:N423"/>
    <mergeCell ref="O423:P423"/>
    <mergeCell ref="Q423:R423"/>
    <mergeCell ref="A424:B424"/>
    <mergeCell ref="C424:D424"/>
    <mergeCell ref="E424:F424"/>
    <mergeCell ref="G424:H424"/>
    <mergeCell ref="I424:J424"/>
    <mergeCell ref="K424:L424"/>
    <mergeCell ref="M424:N424"/>
    <mergeCell ref="A423:B423"/>
    <mergeCell ref="C423:D423"/>
    <mergeCell ref="E423:F423"/>
    <mergeCell ref="G423:H423"/>
    <mergeCell ref="I423:J423"/>
    <mergeCell ref="K423:L423"/>
    <mergeCell ref="C427:D427"/>
    <mergeCell ref="E427:F427"/>
    <mergeCell ref="G427:H427"/>
    <mergeCell ref="C428:D428"/>
    <mergeCell ref="E428:F428"/>
    <mergeCell ref="G428:H428"/>
    <mergeCell ref="O424:P424"/>
    <mergeCell ref="Q424:R424"/>
    <mergeCell ref="S424:T424"/>
    <mergeCell ref="C426:D426"/>
    <mergeCell ref="E426:F426"/>
    <mergeCell ref="G426:H426"/>
    <mergeCell ref="C429:D429"/>
    <mergeCell ref="E429:F429"/>
    <mergeCell ref="G429:H429"/>
    <mergeCell ref="I429:J429"/>
    <mergeCell ref="K429:L429"/>
    <mergeCell ref="C430:D430"/>
    <mergeCell ref="E430:F430"/>
    <mergeCell ref="G430:H430"/>
    <mergeCell ref="I430:J430"/>
    <mergeCell ref="K430:L430"/>
    <mergeCell ref="O432:P432"/>
    <mergeCell ref="C433:D433"/>
    <mergeCell ref="E433:F433"/>
    <mergeCell ref="G433:H433"/>
    <mergeCell ref="I433:J433"/>
    <mergeCell ref="K433:L433"/>
    <mergeCell ref="M433:N433"/>
    <mergeCell ref="O433:P433"/>
    <mergeCell ref="C432:D432"/>
    <mergeCell ref="E432:F432"/>
    <mergeCell ref="G432:H432"/>
    <mergeCell ref="I432:J432"/>
    <mergeCell ref="K432:L432"/>
    <mergeCell ref="M432:N432"/>
    <mergeCell ref="O434:P434"/>
    <mergeCell ref="A436:B436"/>
    <mergeCell ref="A437:B437"/>
    <mergeCell ref="A438:B438"/>
    <mergeCell ref="A439:B439"/>
    <mergeCell ref="A440:B440"/>
    <mergeCell ref="C434:D434"/>
    <mergeCell ref="E434:F434"/>
    <mergeCell ref="G434:H434"/>
    <mergeCell ref="I434:J434"/>
    <mergeCell ref="K434:L434"/>
    <mergeCell ref="M434:N434"/>
    <mergeCell ref="A447:B447"/>
    <mergeCell ref="A448:B448"/>
    <mergeCell ref="A449:B449"/>
    <mergeCell ref="A450:B450"/>
    <mergeCell ref="A451:B451"/>
    <mergeCell ref="A452:B452"/>
    <mergeCell ref="A441:B441"/>
    <mergeCell ref="A442:B442"/>
    <mergeCell ref="A443:B443"/>
    <mergeCell ref="A444:B444"/>
    <mergeCell ref="A445:B445"/>
    <mergeCell ref="A446:B446"/>
  </mergeCells>
  <phoneticPr fontId="17" type="noConversion"/>
  <pageMargins left="0.69930555555555596" right="0.69930555555555596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34</vt:i4>
      </vt:variant>
    </vt:vector>
  </HeadingPairs>
  <TitlesOfParts>
    <vt:vector size="34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27</vt:lpstr>
      <vt:lpstr>26</vt:lpstr>
      <vt:lpstr>28</vt:lpstr>
      <vt:lpstr>29</vt:lpstr>
      <vt:lpstr>30</vt:lpstr>
      <vt:lpstr>汇总</vt:lpstr>
      <vt:lpstr>Sheet33</vt:lpstr>
      <vt:lpstr>Sheet30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微软用户</cp:lastModifiedBy>
  <dcterms:created xsi:type="dcterms:W3CDTF">2006-09-13T11:21:00Z</dcterms:created>
  <dcterms:modified xsi:type="dcterms:W3CDTF">2016-12-19T06:25:08Z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2052-10.1.0.5400</vt:lpwstr>
  </property>
</Properties>
</file>